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F:\Xa Ha Nam\Đường CC-LM-TX\Phê duyệt đợt 2\Hồ sơ trình phê duyệt đợt 2\"/>
    </mc:Choice>
  </mc:AlternateContent>
  <xr:revisionPtr revIDLastSave="0" documentId="13_ncr:1_{E54AFC62-FED6-4ED0-8FE0-769FA5EBA8E4}" xr6:coauthVersionLast="36" xr6:coauthVersionMax="36" xr10:uidLastSave="{00000000-0000-0000-0000-000000000000}"/>
  <bookViews>
    <workbookView xWindow="-120" yWindow="-120" windowWidth="29040" windowHeight="15720" tabRatio="860" firstSheet="3" activeTab="4" xr2:uid="{00000000-000D-0000-FFFF-FFFF00000000}"/>
  </bookViews>
  <sheets>
    <sheet name="XXXX" sheetId="342" state="veryHidden" r:id="rId1"/>
    <sheet name="foxz" sheetId="356" state="hidden" r:id="rId2"/>
    <sheet name="foxz_2" sheetId="545" state="veryHidden" r:id="rId3"/>
    <sheet name="Đơn giá cây cối" sheetId="266" r:id="rId4"/>
    <sheet name="THPA" sheetId="1049" r:id="rId5"/>
    <sheet name="1. Tuấn" sheetId="988" r:id="rId6"/>
    <sheet name="2.  Diễm Mười" sheetId="993" r:id="rId7"/>
    <sheet name="3. Truân" sheetId="996" r:id="rId8"/>
    <sheet name="4. Truân" sheetId="1059" r:id="rId9"/>
    <sheet name="5. Đào" sheetId="999" r:id="rId10"/>
    <sheet name="6. Sơn Phượng" sheetId="1000" r:id="rId11"/>
    <sheet name="7. Hạnh" sheetId="1003" r:id="rId12"/>
    <sheet name="8. Thắm" sheetId="1004" r:id="rId13"/>
    <sheet name="9. Mong" sheetId="1006" r:id="rId14"/>
    <sheet name="10. Tươi" sheetId="1007" r:id="rId15"/>
    <sheet name="11. Mong" sheetId="1065" r:id="rId16"/>
    <sheet name="12. Hiếu" sheetId="1066" r:id="rId17"/>
    <sheet name="13. Tùng" sheetId="1010" r:id="rId18"/>
    <sheet name="14. Nhì" sheetId="1014" r:id="rId19"/>
    <sheet name="15. Vượng" sheetId="1015" r:id="rId20"/>
    <sheet name="16. Lâm" sheetId="1017" r:id="rId21"/>
    <sheet name="17. Đức Nhung" sheetId="1018" r:id="rId22"/>
    <sheet name="18. Đức Nhung" sheetId="1028" r:id="rId23"/>
    <sheet name="19. Thuê" sheetId="1020" r:id="rId24"/>
    <sheet name="20. Luyên" sheetId="1021" r:id="rId25"/>
    <sheet name="21. Kiếm" sheetId="1022" r:id="rId26"/>
    <sheet name="22. Việt" sheetId="1023" r:id="rId27"/>
    <sheet name="23. Chức" sheetId="1025" r:id="rId28"/>
    <sheet name="24. Hận" sheetId="1026" r:id="rId29"/>
    <sheet name="25. Kiên" sheetId="1027" r:id="rId30"/>
    <sheet name="26. Ngọc" sheetId="1029" r:id="rId31"/>
    <sheet name="27. Xuân" sheetId="1030" r:id="rId32"/>
    <sheet name="28. Hiển" sheetId="1031" r:id="rId33"/>
    <sheet name="29. Thạch" sheetId="1040" r:id="rId34"/>
    <sheet name="30. Hà" sheetId="1041" r:id="rId35"/>
    <sheet name="31. Luật" sheetId="1042" r:id="rId36"/>
    <sheet name="32. Thách" sheetId="1043" r:id="rId37"/>
    <sheet name="33. Thắm" sheetId="1050" r:id="rId38"/>
    <sheet name="34. Chính" sheetId="1047" r:id="rId39"/>
    <sheet name="35. Thắng" sheetId="1016" r:id="rId40"/>
    <sheet name="36. Thơi" sheetId="1052" r:id="rId41"/>
    <sheet name="37. Thảnh Thảo" sheetId="1053" r:id="rId42"/>
    <sheet name="38. Thại" sheetId="1054" r:id="rId43"/>
    <sheet name="39. Thắng" sheetId="1055" r:id="rId44"/>
    <sheet name="40. Lành" sheetId="1056" r:id="rId45"/>
    <sheet name="41. Chiều" sheetId="1057" r:id="rId46"/>
    <sheet name="42. Đằng" sheetId="1058" r:id="rId47"/>
    <sheet name="43. Sơn" sheetId="1060" r:id="rId48"/>
    <sheet name="44. Bản" sheetId="1061" r:id="rId49"/>
    <sheet name="45. Huế" sheetId="1062" r:id="rId50"/>
    <sheet name="46. Quang" sheetId="1063" r:id="rId51"/>
    <sheet name="47. Biển" sheetId="1064" r:id="rId52"/>
    <sheet name="48. Long Hồng" sheetId="1069" r:id="rId53"/>
    <sheet name="49. Tính" sheetId="1071" r:id="rId54"/>
    <sheet name="50. Ngọc" sheetId="1074" r:id="rId55"/>
    <sheet name="51. Dung" sheetId="1075" r:id="rId56"/>
    <sheet name="52. Đạt" sheetId="1077" r:id="rId57"/>
    <sheet name="53. Sơn" sheetId="1078" r:id="rId58"/>
    <sheet name="54. Đăng" sheetId="1079" r:id="rId59"/>
    <sheet name="55. Mùi" sheetId="1080" r:id="rId60"/>
    <sheet name="56. Thài" sheetId="1083" r:id="rId61"/>
    <sheet name="57. Đồng" sheetId="1084" r:id="rId62"/>
    <sheet name="58. Mạnh Huế" sheetId="1085" r:id="rId63"/>
    <sheet name="59. Thương Sen" sheetId="1086" r:id="rId64"/>
    <sheet name="60. Tiến" sheetId="1087" r:id="rId65"/>
    <sheet name="61. Quý" sheetId="1088" r:id="rId66"/>
    <sheet name="62. Sáng" sheetId="1089" r:id="rId67"/>
    <sheet name="63. Minh" sheetId="1090" r:id="rId68"/>
    <sheet name="64. Tố" sheetId="1091" r:id="rId69"/>
    <sheet name="65. Quyên" sheetId="1092" r:id="rId70"/>
    <sheet name="66. Năm" sheetId="1093" r:id="rId71"/>
    <sheet name="67. Sơn" sheetId="1094" r:id="rId72"/>
    <sheet name="68. Quang" sheetId="1082" r:id="rId73"/>
    <sheet name="69. Hải" sheetId="1067" r:id="rId74"/>
    <sheet name="70. Hùng Ngát" sheetId="1070" r:id="rId75"/>
    <sheet name="71. Nghĩa" sheetId="1068" r:id="rId76"/>
    <sheet name="72. Sơn" sheetId="1096" r:id="rId77"/>
    <sheet name="73. Xuyên" sheetId="1097" r:id="rId78"/>
    <sheet name="74. Dương" sheetId="1098" r:id="rId79"/>
    <sheet name="XXXXXXXX" sheetId="13" state="veryHidden"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0" localSheetId="16">'[1]PNT-QUOT-#3'!#REF!</definedName>
    <definedName name="\0" localSheetId="53">'[1]PNT-QUOT-#3'!#REF!</definedName>
    <definedName name="\0" localSheetId="61">'[1]PNT-QUOT-#3'!#REF!</definedName>
    <definedName name="\0" localSheetId="62">'[1]PNT-QUOT-#3'!#REF!</definedName>
    <definedName name="\0" localSheetId="63">'[1]PNT-QUOT-#3'!#REF!</definedName>
    <definedName name="\0" localSheetId="66">'[1]PNT-QUOT-#3'!#REF!</definedName>
    <definedName name="\0" localSheetId="71">'[1]PNT-QUOT-#3'!#REF!</definedName>
    <definedName name="\0" localSheetId="74">'[1]PNT-QUOT-#3'!#REF!</definedName>
    <definedName name="\0" localSheetId="76">'[1]PNT-QUOT-#3'!#REF!</definedName>
    <definedName name="\0">'[1]PNT-QUOT-#3'!#REF!</definedName>
    <definedName name="\z" localSheetId="16">'[1]COAT&amp;WRAP-QIOT-#3'!#REF!</definedName>
    <definedName name="\z" localSheetId="53">'[1]COAT&amp;WRAP-QIOT-#3'!#REF!</definedName>
    <definedName name="\z" localSheetId="61">'[1]COAT&amp;WRAP-QIOT-#3'!#REF!</definedName>
    <definedName name="\z" localSheetId="62">'[1]COAT&amp;WRAP-QIOT-#3'!#REF!</definedName>
    <definedName name="\z" localSheetId="63">'[1]COAT&amp;WRAP-QIOT-#3'!#REF!</definedName>
    <definedName name="\z" localSheetId="66">'[1]COAT&amp;WRAP-QIOT-#3'!#REF!</definedName>
    <definedName name="\z" localSheetId="71">'[1]COAT&amp;WRAP-QIOT-#3'!#REF!</definedName>
    <definedName name="\z" localSheetId="74">'[1]COAT&amp;WRAP-QIOT-#3'!#REF!</definedName>
    <definedName name="\z" localSheetId="76">'[1]COAT&amp;WRAP-QIOT-#3'!#REF!</definedName>
    <definedName name="\z">'[1]COAT&amp;WRAP-QIOT-#3'!#REF!</definedName>
    <definedName name="_CS3" localSheetId="71">#REF!</definedName>
    <definedName name="_CS3" localSheetId="74">#REF!</definedName>
    <definedName name="_CS3">#REF!</definedName>
    <definedName name="_chi" localSheetId="16">#REF!</definedName>
    <definedName name="_chi" localSheetId="53">#REF!</definedName>
    <definedName name="_chi" localSheetId="61">#REF!</definedName>
    <definedName name="_chi" localSheetId="62">#REF!</definedName>
    <definedName name="_chi" localSheetId="63">#REF!</definedName>
    <definedName name="_chi" localSheetId="66">#REF!</definedName>
    <definedName name="_chi" localSheetId="71">#REF!</definedName>
    <definedName name="_chi" localSheetId="74">#REF!</definedName>
    <definedName name="_chi" localSheetId="76">#REF!</definedName>
    <definedName name="_chi">#REF!</definedName>
    <definedName name="A" localSheetId="16">'[1]PNT-QUOT-#3'!#REF!</definedName>
    <definedName name="A" localSheetId="53">'[1]PNT-QUOT-#3'!#REF!</definedName>
    <definedName name="A" localSheetId="61">'[1]PNT-QUOT-#3'!#REF!</definedName>
    <definedName name="A" localSheetId="62">'[1]PNT-QUOT-#3'!#REF!</definedName>
    <definedName name="A" localSheetId="63">'[1]PNT-QUOT-#3'!#REF!</definedName>
    <definedName name="A" localSheetId="66">'[1]PNT-QUOT-#3'!#REF!</definedName>
    <definedName name="A" localSheetId="71">'[1]PNT-QUOT-#3'!#REF!</definedName>
    <definedName name="A" localSheetId="74">'[1]PNT-QUOT-#3'!#REF!</definedName>
    <definedName name="A" localSheetId="76">'[1]PNT-QUOT-#3'!#REF!</definedName>
    <definedName name="A">'[1]PNT-QUOT-#3'!#REF!</definedName>
    <definedName name="AAA" localSheetId="16">'[2]MTL$-INTER'!#REF!</definedName>
    <definedName name="AAA" localSheetId="53">'[2]MTL$-INTER'!#REF!</definedName>
    <definedName name="AAA" localSheetId="61">'[2]MTL$-INTER'!#REF!</definedName>
    <definedName name="AAA" localSheetId="62">'[2]MTL$-INTER'!#REF!</definedName>
    <definedName name="AAA" localSheetId="63">'[2]MTL$-INTER'!#REF!</definedName>
    <definedName name="AAA" localSheetId="66">'[2]MTL$-INTER'!#REF!</definedName>
    <definedName name="AAA" localSheetId="71">'[2]MTL$-INTER'!#REF!</definedName>
    <definedName name="AAA" localSheetId="74">'[2]MTL$-INTER'!#REF!</definedName>
    <definedName name="AAA" localSheetId="76">'[2]MTL$-INTER'!#REF!</definedName>
    <definedName name="AAA">'[2]MTL$-INTER'!#REF!</definedName>
    <definedName name="B" localSheetId="16">'[1]PNT-QUOT-#3'!#REF!</definedName>
    <definedName name="B" localSheetId="53">'[1]PNT-QUOT-#3'!#REF!</definedName>
    <definedName name="B" localSheetId="61">'[1]PNT-QUOT-#3'!#REF!</definedName>
    <definedName name="B" localSheetId="62">'[1]PNT-QUOT-#3'!#REF!</definedName>
    <definedName name="B" localSheetId="63">'[1]PNT-QUOT-#3'!#REF!</definedName>
    <definedName name="B" localSheetId="66">'[1]PNT-QUOT-#3'!#REF!</definedName>
    <definedName name="B" localSheetId="71">'[1]PNT-QUOT-#3'!#REF!</definedName>
    <definedName name="B" localSheetId="74">'[1]PNT-QUOT-#3'!#REF!</definedName>
    <definedName name="B" localSheetId="76">'[1]PNT-QUOT-#3'!#REF!</definedName>
    <definedName name="B">'[1]PNT-QUOT-#3'!#REF!</definedName>
    <definedName name="bichphuong" localSheetId="16">'[3]Đơn giá cây cối'!$A$2:$A$1109</definedName>
    <definedName name="bichphuong" localSheetId="53">'[3]Đơn giá cây cối'!$A$2:$A$1109</definedName>
    <definedName name="bichphuong" localSheetId="61">'[4]Đơn giá cây cối'!$A$2:$A$1109</definedName>
    <definedName name="bichphuong" localSheetId="62">'[4]Đơn giá cây cối'!$A$2:$A$1109</definedName>
    <definedName name="bichphuong" localSheetId="63">'[5]Đơn giá cây cối'!$A$2:$A$1109</definedName>
    <definedName name="bichphuong" localSheetId="66">'[5]Đơn giá cây cối'!$A$2:$A$1109</definedName>
    <definedName name="bichphuong" localSheetId="71">'[6]Đơn giá cây cối'!$A$2:$A$1109</definedName>
    <definedName name="bichphuong" localSheetId="74">'[7]Đơn giá cây cối'!$A$2:$A$1109</definedName>
    <definedName name="bichphuong" localSheetId="76">'[3]Đơn giá cây cối'!$A$2:$A$1109</definedName>
    <definedName name="bichphuong">'Đơn giá cây cối'!$A$2:$A$1109</definedName>
    <definedName name="COAT" localSheetId="16">'[1]PNT-QUOT-#3'!#REF!</definedName>
    <definedName name="COAT" localSheetId="53">'[1]PNT-QUOT-#3'!#REF!</definedName>
    <definedName name="COAT" localSheetId="61">'[1]PNT-QUOT-#3'!#REF!</definedName>
    <definedName name="COAT" localSheetId="62">'[1]PNT-QUOT-#3'!#REF!</definedName>
    <definedName name="COAT" localSheetId="63">'[1]PNT-QUOT-#3'!#REF!</definedName>
    <definedName name="COAT" localSheetId="66">'[1]PNT-QUOT-#3'!#REF!</definedName>
    <definedName name="COAT" localSheetId="71">'[1]PNT-QUOT-#3'!#REF!</definedName>
    <definedName name="COAT" localSheetId="74">'[1]PNT-QUOT-#3'!#REF!</definedName>
    <definedName name="COAT" localSheetId="76">'[1]PNT-QUOT-#3'!#REF!</definedName>
    <definedName name="COAT">'[1]PNT-QUOT-#3'!#REF!</definedName>
    <definedName name="CS_10" localSheetId="74">#REF!</definedName>
    <definedName name="CS_10">#REF!</definedName>
    <definedName name="CS_100" localSheetId="74">#REF!</definedName>
    <definedName name="CS_100">#REF!</definedName>
    <definedName name="CS_10S" localSheetId="74">#REF!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data" localSheetId="16">'[8]Đơn giá cây cối'!$F$2:$F$1082</definedName>
    <definedName name="data" localSheetId="53">'[8]Đơn giá cây cối'!$F$2:$F$1082</definedName>
    <definedName name="data" localSheetId="61">'[8]Đơn giá cây cối'!$F$2:$F$1082</definedName>
    <definedName name="data" localSheetId="62">'[8]Đơn giá cây cối'!$F$2:$F$1082</definedName>
    <definedName name="data" localSheetId="63">'[8]Đơn giá cây cối'!$F$2:$F$1082</definedName>
    <definedName name="data" localSheetId="66">'[8]Đơn giá cây cối'!$F$2:$F$1082</definedName>
    <definedName name="data" localSheetId="71">'[8]Đơn giá cây cối'!$F$2:$F$1082</definedName>
    <definedName name="data" localSheetId="74">'[8]Đơn giá cây cối'!$F$2:$F$1082</definedName>
    <definedName name="data" localSheetId="76">'[8]Đơn giá cây cối'!$F$2:$F$1082</definedName>
    <definedName name="data">'[8]Đơn giá cây cối'!$F$2:$F$1082</definedName>
    <definedName name="FP" localSheetId="16">'[1]COAT&amp;WRAP-QIOT-#3'!#REF!</definedName>
    <definedName name="FP" localSheetId="53">'[1]COAT&amp;WRAP-QIOT-#3'!#REF!</definedName>
    <definedName name="FP" localSheetId="61">'[1]COAT&amp;WRAP-QIOT-#3'!#REF!</definedName>
    <definedName name="FP" localSheetId="62">'[1]COAT&amp;WRAP-QIOT-#3'!#REF!</definedName>
    <definedName name="FP" localSheetId="63">'[1]COAT&amp;WRAP-QIOT-#3'!#REF!</definedName>
    <definedName name="FP" localSheetId="66">'[1]COAT&amp;WRAP-QIOT-#3'!#REF!</definedName>
    <definedName name="FP" localSheetId="71">'[1]COAT&amp;WRAP-QIOT-#3'!#REF!</definedName>
    <definedName name="FP" localSheetId="74">'[1]COAT&amp;WRAP-QIOT-#3'!#REF!</definedName>
    <definedName name="FP" localSheetId="76">'[1]COAT&amp;WRAP-QIOT-#3'!#REF!</definedName>
    <definedName name="FP">'[1]COAT&amp;WRAP-QIOT-#3'!#REF!</definedName>
    <definedName name="GH_21" localSheetId="74">#REF!</definedName>
    <definedName name="GH_21">#REF!</definedName>
    <definedName name="IO" localSheetId="16">'[1]COAT&amp;WRAP-QIOT-#3'!#REF!</definedName>
    <definedName name="IO" localSheetId="53">'[1]COAT&amp;WRAP-QIOT-#3'!#REF!</definedName>
    <definedName name="IO" localSheetId="61">'[1]COAT&amp;WRAP-QIOT-#3'!#REF!</definedName>
    <definedName name="IO" localSheetId="62">'[1]COAT&amp;WRAP-QIOT-#3'!#REF!</definedName>
    <definedName name="IO" localSheetId="63">'[1]COAT&amp;WRAP-QIOT-#3'!#REF!</definedName>
    <definedName name="IO" localSheetId="66">'[1]COAT&amp;WRAP-QIOT-#3'!#REF!</definedName>
    <definedName name="IO" localSheetId="71">'[1]COAT&amp;WRAP-QIOT-#3'!#REF!</definedName>
    <definedName name="IO" localSheetId="74">'[1]COAT&amp;WRAP-QIOT-#3'!#REF!</definedName>
    <definedName name="IO" localSheetId="76">'[1]COAT&amp;WRAP-QIOT-#3'!#REF!</definedName>
    <definedName name="IO">'[1]COAT&amp;WRAP-QIOT-#3'!#REF!</definedName>
    <definedName name="MAT" localSheetId="16">'[1]COAT&amp;WRAP-QIOT-#3'!#REF!</definedName>
    <definedName name="MAT" localSheetId="53">'[1]COAT&amp;WRAP-QIOT-#3'!#REF!</definedName>
    <definedName name="MAT" localSheetId="61">'[1]COAT&amp;WRAP-QIOT-#3'!#REF!</definedName>
    <definedName name="MAT" localSheetId="62">'[1]COAT&amp;WRAP-QIOT-#3'!#REF!</definedName>
    <definedName name="MAT" localSheetId="63">'[1]COAT&amp;WRAP-QIOT-#3'!#REF!</definedName>
    <definedName name="MAT" localSheetId="66">'[1]COAT&amp;WRAP-QIOT-#3'!#REF!</definedName>
    <definedName name="MAT" localSheetId="71">'[1]COAT&amp;WRAP-QIOT-#3'!#REF!</definedName>
    <definedName name="MAT" localSheetId="74">'[1]COAT&amp;WRAP-QIOT-#3'!#REF!</definedName>
    <definedName name="MAT" localSheetId="76">'[1]COAT&amp;WRAP-QIOT-#3'!#REF!</definedName>
    <definedName name="MAT">'[1]COAT&amp;WRAP-QIOT-#3'!#REF!</definedName>
    <definedName name="MF" localSheetId="16">'[1]COAT&amp;WRAP-QIOT-#3'!#REF!</definedName>
    <definedName name="MF" localSheetId="53">'[1]COAT&amp;WRAP-QIOT-#3'!#REF!</definedName>
    <definedName name="MF" localSheetId="61">'[1]COAT&amp;WRAP-QIOT-#3'!#REF!</definedName>
    <definedName name="MF" localSheetId="62">'[1]COAT&amp;WRAP-QIOT-#3'!#REF!</definedName>
    <definedName name="MF" localSheetId="63">'[1]COAT&amp;WRAP-QIOT-#3'!#REF!</definedName>
    <definedName name="MF" localSheetId="66">'[1]COAT&amp;WRAP-QIOT-#3'!#REF!</definedName>
    <definedName name="MF" localSheetId="71">'[1]COAT&amp;WRAP-QIOT-#3'!#REF!</definedName>
    <definedName name="MF" localSheetId="74">'[1]COAT&amp;WRAP-QIOT-#3'!#REF!</definedName>
    <definedName name="MF" localSheetId="76">'[1]COAT&amp;WRAP-QIOT-#3'!#REF!</definedName>
    <definedName name="MF">'[1]COAT&amp;WRAP-QIOT-#3'!#REF!</definedName>
    <definedName name="nam" localSheetId="16">'[9]Đơn giá cây cối'!$A$2:$A$1073</definedName>
    <definedName name="nam" localSheetId="53">'[9]Đơn giá cây cối'!$A$2:$A$1073</definedName>
    <definedName name="nam" localSheetId="61">'[9]Đơn giá cây cối'!$A$2:$A$1073</definedName>
    <definedName name="nam" localSheetId="62">'[9]Đơn giá cây cối'!$A$2:$A$1073</definedName>
    <definedName name="nam" localSheetId="63">'[9]Đơn giá cây cối'!$A$2:$A$1073</definedName>
    <definedName name="nam" localSheetId="66">'[9]Đơn giá cây cối'!$A$2:$A$1073</definedName>
    <definedName name="nam" localSheetId="71">'[9]Đơn giá cây cối'!$A$2:$A$1073</definedName>
    <definedName name="nam" localSheetId="74">'[9]Đơn giá cây cối'!$A$2:$A$1073</definedName>
    <definedName name="nam" localSheetId="76">'[9]Đơn giá cây cối'!$A$2:$A$1073</definedName>
    <definedName name="nam">'[9]Đơn giá cây cối'!$A$2:$A$1073</definedName>
    <definedName name="namlinh" localSheetId="16">'[10]Đơn giá cây cối'!$A$2:$A$1073</definedName>
    <definedName name="namlinh" localSheetId="53">'[10]Đơn giá cây cối'!$A$2:$A$1073</definedName>
    <definedName name="namlinh" localSheetId="61">'[10]Đơn giá cây cối'!$A$2:$A$1073</definedName>
    <definedName name="namlinh" localSheetId="62">'[10]Đơn giá cây cối'!$A$2:$A$1073</definedName>
    <definedName name="namlinh" localSheetId="63">'[10]Đơn giá cây cối'!$A$2:$A$1073</definedName>
    <definedName name="namlinh" localSheetId="66">'[10]Đơn giá cây cối'!$A$2:$A$1073</definedName>
    <definedName name="namlinh" localSheetId="71">'[10]Đơn giá cây cối'!$A$2:$A$1073</definedName>
    <definedName name="namlinh" localSheetId="74">'[10]Đơn giá cây cối'!$A$2:$A$1073</definedName>
    <definedName name="namlinh" localSheetId="76">'[10]Đơn giá cây cối'!$A$2:$A$1073</definedName>
    <definedName name="namlinh">'[10]Đơn giá cây cối'!$A$2:$A$1073</definedName>
    <definedName name="P" localSheetId="16">'[1]PNT-QUOT-#3'!#REF!</definedName>
    <definedName name="P" localSheetId="53">'[1]PNT-QUOT-#3'!#REF!</definedName>
    <definedName name="P" localSheetId="61">'[1]PNT-QUOT-#3'!#REF!</definedName>
    <definedName name="P" localSheetId="62">'[1]PNT-QUOT-#3'!#REF!</definedName>
    <definedName name="P" localSheetId="63">'[1]PNT-QUOT-#3'!#REF!</definedName>
    <definedName name="P" localSheetId="66">'[1]PNT-QUOT-#3'!#REF!</definedName>
    <definedName name="P" localSheetId="71">'[1]PNT-QUOT-#3'!#REF!</definedName>
    <definedName name="P" localSheetId="74">'[1]PNT-QUOT-#3'!#REF!</definedName>
    <definedName name="P" localSheetId="76">'[1]PNT-QUOT-#3'!#REF!</definedName>
    <definedName name="P">'[1]PNT-QUOT-#3'!#REF!</definedName>
    <definedName name="PEJM" localSheetId="16">'[1]COAT&amp;WRAP-QIOT-#3'!#REF!</definedName>
    <definedName name="PEJM" localSheetId="53">'[1]COAT&amp;WRAP-QIOT-#3'!#REF!</definedName>
    <definedName name="PEJM" localSheetId="61">'[1]COAT&amp;WRAP-QIOT-#3'!#REF!</definedName>
    <definedName name="PEJM" localSheetId="62">'[1]COAT&amp;WRAP-QIOT-#3'!#REF!</definedName>
    <definedName name="PEJM" localSheetId="63">'[1]COAT&amp;WRAP-QIOT-#3'!#REF!</definedName>
    <definedName name="PEJM" localSheetId="66">'[1]COAT&amp;WRAP-QIOT-#3'!#REF!</definedName>
    <definedName name="PEJM" localSheetId="71">'[1]COAT&amp;WRAP-QIOT-#3'!#REF!</definedName>
    <definedName name="PEJM" localSheetId="74">'[1]COAT&amp;WRAP-QIOT-#3'!#REF!</definedName>
    <definedName name="PEJM" localSheetId="76">'[1]COAT&amp;WRAP-QIOT-#3'!#REF!</definedName>
    <definedName name="PEJM">'[1]COAT&amp;WRAP-QIOT-#3'!#REF!</definedName>
    <definedName name="PF" localSheetId="16">'[1]PNT-QUOT-#3'!#REF!</definedName>
    <definedName name="PF" localSheetId="53">'[1]PNT-QUOT-#3'!#REF!</definedName>
    <definedName name="PF" localSheetId="61">'[1]PNT-QUOT-#3'!#REF!</definedName>
    <definedName name="PF" localSheetId="62">'[1]PNT-QUOT-#3'!#REF!</definedName>
    <definedName name="PF" localSheetId="63">'[1]PNT-QUOT-#3'!#REF!</definedName>
    <definedName name="PF" localSheetId="66">'[1]PNT-QUOT-#3'!#REF!</definedName>
    <definedName name="PF" localSheetId="71">'[1]PNT-QUOT-#3'!#REF!</definedName>
    <definedName name="PF" localSheetId="74">'[1]PNT-QUOT-#3'!#REF!</definedName>
    <definedName name="PF" localSheetId="76">'[1]PNT-QUOT-#3'!#REF!</definedName>
    <definedName name="PF">'[1]PNT-QUOT-#3'!#REF!</definedName>
    <definedName name="PM" localSheetId="16">[11]IBASE!$AH$16:$AV$110</definedName>
    <definedName name="PM" localSheetId="53">[11]IBASE!$AH$16:$AV$110</definedName>
    <definedName name="PM" localSheetId="61">[11]IBASE!$AH$16:$AV$110</definedName>
    <definedName name="PM" localSheetId="62">[11]IBASE!$AH$16:$AV$110</definedName>
    <definedName name="PM" localSheetId="63">[11]IBASE!$AH$16:$AV$110</definedName>
    <definedName name="PM" localSheetId="66">[11]IBASE!$AH$16:$AV$110</definedName>
    <definedName name="PM" localSheetId="71">[11]IBASE!$AH$16:$AV$110</definedName>
    <definedName name="PM" localSheetId="74">[11]IBASE!$AH$16:$AV$110</definedName>
    <definedName name="PM" localSheetId="76">[11]IBASE!$AH$16:$AV$110</definedName>
    <definedName name="PM">[11]IBASE!$AH$16:$AV$110</definedName>
    <definedName name="Print_Area_MI" localSheetId="16">[12]ESTI.!$A$1:$U$52</definedName>
    <definedName name="Print_Area_MI" localSheetId="53">[12]ESTI.!$A$1:$U$52</definedName>
    <definedName name="Print_Area_MI" localSheetId="61">[12]ESTI.!$A$1:$U$52</definedName>
    <definedName name="Print_Area_MI" localSheetId="62">[12]ESTI.!$A$1:$U$52</definedName>
    <definedName name="Print_Area_MI" localSheetId="63">[12]ESTI.!$A$1:$U$52</definedName>
    <definedName name="Print_Area_MI" localSheetId="66">[12]ESTI.!$A$1:$U$52</definedName>
    <definedName name="Print_Area_MI" localSheetId="71">[12]ESTI.!$A$1:$U$52</definedName>
    <definedName name="Print_Area_MI" localSheetId="74">[12]ESTI.!$A$1:$U$52</definedName>
    <definedName name="Print_Area_MI" localSheetId="76">[12]ESTI.!$A$1:$U$52</definedName>
    <definedName name="Print_Area_MI">[12]ESTI.!$A$1:$U$52</definedName>
    <definedName name="_xlnm.Print_Titles" localSheetId="4">THPA!$A:$K,THPA!$3:$4</definedName>
    <definedName name="phamphuong">'Đơn giá cây cối'!$A$2:$A$1109</definedName>
    <definedName name="phuong" localSheetId="16">'[13]Đơn giá cây cối'!$A$2:$A$1073</definedName>
    <definedName name="phuong" localSheetId="53">'[13]Đơn giá cây cối'!$A$2:$A$1073</definedName>
    <definedName name="phuong" localSheetId="61">'[13]Đơn giá cây cối'!$A$2:$A$1073</definedName>
    <definedName name="phuong" localSheetId="62">'[13]Đơn giá cây cối'!$A$2:$A$1073</definedName>
    <definedName name="phuong" localSheetId="63">'[13]Đơn giá cây cối'!$A$2:$A$1073</definedName>
    <definedName name="phuong" localSheetId="66">'[13]Đơn giá cây cối'!$A$2:$A$1073</definedName>
    <definedName name="phuong" localSheetId="71">'[13]Đơn giá cây cối'!$A$2:$A$1073</definedName>
    <definedName name="phuong" localSheetId="74">'[13]Đơn giá cây cối'!$A$2:$A$1073</definedName>
    <definedName name="phuong" localSheetId="76">'[13]Đơn giá cây cối'!$A$2:$A$1073</definedName>
    <definedName name="phuong">'[13]Đơn giá cây cối'!$A$2:$A$1073</definedName>
    <definedName name="phuonglinh" localSheetId="16">'[14]Đơn giá cây cối'!$A$2:$A$1073</definedName>
    <definedName name="phuonglinh" localSheetId="53">'[14]Đơn giá cây cối'!$A$2:$A$1073</definedName>
    <definedName name="phuonglinh" localSheetId="61">'[14]Đơn giá cây cối'!$A$2:$A$1073</definedName>
    <definedName name="phuonglinh" localSheetId="62">'[14]Đơn giá cây cối'!$A$2:$A$1073</definedName>
    <definedName name="phuonglinh" localSheetId="63">'[14]Đơn giá cây cối'!$A$2:$A$1073</definedName>
    <definedName name="phuonglinh" localSheetId="66">'[14]Đơn giá cây cối'!$A$2:$A$1073</definedName>
    <definedName name="phuonglinh" localSheetId="71">'[14]Đơn giá cây cối'!$A$2:$A$1073</definedName>
    <definedName name="phuonglinh" localSheetId="74">'[14]Đơn giá cây cối'!$A$2:$A$1073</definedName>
    <definedName name="phuonglinh" localSheetId="76">'[14]Đơn giá cây cối'!$A$2:$A$1073</definedName>
    <definedName name="phuonglinh">'[14]Đơn giá cây cối'!$A$2:$A$1073</definedName>
    <definedName name="phuongpham" localSheetId="16">'[15]Đơn giá cây cối'!$A$2:$A$1091</definedName>
    <definedName name="phuongpham" localSheetId="53">'[15]Đơn giá cây cối'!$A$2:$A$1091</definedName>
    <definedName name="phuongpham" localSheetId="61">'[15]Đơn giá cây cối'!$A$2:$A$1091</definedName>
    <definedName name="phuongpham" localSheetId="62">'[15]Đơn giá cây cối'!$A$2:$A$1091</definedName>
    <definedName name="phuongpham" localSheetId="63">'[15]Đơn giá cây cối'!$A$2:$A$1091</definedName>
    <definedName name="phuongpham" localSheetId="66">'[15]Đơn giá cây cối'!$A$2:$A$1091</definedName>
    <definedName name="phuongpham" localSheetId="71">'[15]Đơn giá cây cối'!$A$2:$A$1091</definedName>
    <definedName name="phuongpham" localSheetId="74">'[15]Đơn giá cây cối'!$A$2:$A$1091</definedName>
    <definedName name="phuongpham" localSheetId="76">'[15]Đơn giá cây cối'!$A$2:$A$1091</definedName>
    <definedName name="phuongpham">'[15]Đơn giá cây cối'!$A$2:$A$1091</definedName>
    <definedName name="phương" localSheetId="61">'[4]Đơn giá cây cối'!$A$2:$A$1109</definedName>
    <definedName name="phương" localSheetId="62">'[4]Đơn giá cây cối'!$A$2:$A$1109</definedName>
    <definedName name="phương">'Đơn giá cây cối'!$A$2:$A$1109</definedName>
    <definedName name="Q" localSheetId="74">#REF!</definedName>
    <definedName name="Q">#REF!</definedName>
    <definedName name="RT" localSheetId="16">'[1]COAT&amp;WRAP-QIOT-#3'!#REF!</definedName>
    <definedName name="RT" localSheetId="53">'[1]COAT&amp;WRAP-QIOT-#3'!#REF!</definedName>
    <definedName name="RT" localSheetId="61">'[1]COAT&amp;WRAP-QIOT-#3'!#REF!</definedName>
    <definedName name="RT" localSheetId="62">'[1]COAT&amp;WRAP-QIOT-#3'!#REF!</definedName>
    <definedName name="RT" localSheetId="63">'[1]COAT&amp;WRAP-QIOT-#3'!#REF!</definedName>
    <definedName name="RT" localSheetId="66">'[1]COAT&amp;WRAP-QIOT-#3'!#REF!</definedName>
    <definedName name="RT" localSheetId="71">'[1]COAT&amp;WRAP-QIOT-#3'!#REF!</definedName>
    <definedName name="RT" localSheetId="74">'[1]COAT&amp;WRAP-QIOT-#3'!#REF!</definedName>
    <definedName name="RT" localSheetId="76">'[1]COAT&amp;WRAP-QIOT-#3'!#REF!</definedName>
    <definedName name="RT">'[1]COAT&amp;WRAP-QIOT-#3'!#REF!</definedName>
    <definedName name="s">#REF!</definedName>
    <definedName name="SB" localSheetId="16">[11]IBASE!$AH$7:$AL$14</definedName>
    <definedName name="SB" localSheetId="53">[11]IBASE!$AH$7:$AL$14</definedName>
    <definedName name="SB" localSheetId="61">[11]IBASE!$AH$7:$AL$14</definedName>
    <definedName name="SB" localSheetId="62">[11]IBASE!$AH$7:$AL$14</definedName>
    <definedName name="SB" localSheetId="63">[11]IBASE!$AH$7:$AL$14</definedName>
    <definedName name="SB" localSheetId="66">[11]IBASE!$AH$7:$AL$14</definedName>
    <definedName name="SB" localSheetId="71">[11]IBASE!$AH$7:$AL$14</definedName>
    <definedName name="SB" localSheetId="74">[11]IBASE!$AH$7:$AL$14</definedName>
    <definedName name="SB" localSheetId="76">[11]IBASE!$AH$7:$AL$14</definedName>
    <definedName name="SB">[11]IBASE!$AH$7:$AL$14</definedName>
    <definedName name="SORT" localSheetId="74">#REF!</definedName>
    <definedName name="SORT">#REF!</definedName>
    <definedName name="SORT_AREA" localSheetId="16">'[12]DI-ESTI'!$A$8:$R$489</definedName>
    <definedName name="SORT_AREA" localSheetId="53">'[12]DI-ESTI'!$A$8:$R$489</definedName>
    <definedName name="SORT_AREA" localSheetId="61">'[12]DI-ESTI'!$A$8:$R$489</definedName>
    <definedName name="SORT_AREA" localSheetId="62">'[12]DI-ESTI'!$A$8:$R$489</definedName>
    <definedName name="SORT_AREA" localSheetId="63">'[12]DI-ESTI'!$A$8:$R$489</definedName>
    <definedName name="SORT_AREA" localSheetId="66">'[12]DI-ESTI'!$A$8:$R$489</definedName>
    <definedName name="SORT_AREA" localSheetId="71">'[12]DI-ESTI'!$A$8:$R$489</definedName>
    <definedName name="SORT_AREA" localSheetId="74">'[12]DI-ESTI'!$A$8:$R$489</definedName>
    <definedName name="SORT_AREA" localSheetId="76">'[12]DI-ESTI'!$A$8:$R$489</definedName>
    <definedName name="SORT_AREA">'[12]DI-ESTI'!$A$8:$R$489</definedName>
    <definedName name="SP" localSheetId="16">'[1]PNT-QUOT-#3'!#REF!</definedName>
    <definedName name="SP" localSheetId="53">'[1]PNT-QUOT-#3'!#REF!</definedName>
    <definedName name="SP" localSheetId="61">'[1]PNT-QUOT-#3'!#REF!</definedName>
    <definedName name="SP" localSheetId="62">'[1]PNT-QUOT-#3'!#REF!</definedName>
    <definedName name="SP" localSheetId="63">'[1]PNT-QUOT-#3'!#REF!</definedName>
    <definedName name="SP" localSheetId="66">'[1]PNT-QUOT-#3'!#REF!</definedName>
    <definedName name="SP" localSheetId="71">'[1]PNT-QUOT-#3'!#REF!</definedName>
    <definedName name="SP" localSheetId="74">'[1]PNT-QUOT-#3'!#REF!</definedName>
    <definedName name="SP" localSheetId="76">'[1]PNT-QUOT-#3'!#REF!</definedName>
    <definedName name="SP">'[1]PNT-QUOT-#3'!#REF!</definedName>
    <definedName name="toan">'[16]Đơn giá cây cối'!$A$2:$A$1073</definedName>
    <definedName name="THK" localSheetId="16">'[1]COAT&amp;WRAP-QIOT-#3'!#REF!</definedName>
    <definedName name="THK" localSheetId="53">'[1]COAT&amp;WRAP-QIOT-#3'!#REF!</definedName>
    <definedName name="THK" localSheetId="61">'[1]COAT&amp;WRAP-QIOT-#3'!#REF!</definedName>
    <definedName name="THK" localSheetId="62">'[1]COAT&amp;WRAP-QIOT-#3'!#REF!</definedName>
    <definedName name="THK" localSheetId="63">'[1]COAT&amp;WRAP-QIOT-#3'!#REF!</definedName>
    <definedName name="THK" localSheetId="66">'[1]COAT&amp;WRAP-QIOT-#3'!#REF!</definedName>
    <definedName name="THK" localSheetId="71">'[1]COAT&amp;WRAP-QIOT-#3'!#REF!</definedName>
    <definedName name="THK" localSheetId="74">'[1]COAT&amp;WRAP-QIOT-#3'!#REF!</definedName>
    <definedName name="THK" localSheetId="76">'[1]COAT&amp;WRAP-QIOT-#3'!#REF!</definedName>
    <definedName name="THK">'[1]COAT&amp;WRAP-QIOT-#3'!#REF!</definedName>
    <definedName name="trung" localSheetId="16">OFFSET('[3]Đơn giá cây cối'!$F$2,,,COUNTIF('[3]Đơn giá cây cối'!$F:$F,"*?"))</definedName>
    <definedName name="trung" localSheetId="53">OFFSET('[3]Đơn giá cây cối'!$F$2,,,COUNTIF('[3]Đơn giá cây cối'!$F:$F,"*?"))</definedName>
    <definedName name="trung" localSheetId="61">OFFSET('[4]Đơn giá cây cối'!$F$2,,,COUNTIF('[4]Đơn giá cây cối'!$F:$F,"*?"))</definedName>
    <definedName name="trung" localSheetId="62">OFFSET('[4]Đơn giá cây cối'!$F$2,,,COUNTIF('[4]Đơn giá cây cối'!$F:$F,"*?"))</definedName>
    <definedName name="trung" localSheetId="63">OFFSET('[5]Đơn giá cây cối'!$F$2,,,COUNTIF('[5]Đơn giá cây cối'!$F:$F,"*?"))</definedName>
    <definedName name="trung" localSheetId="66">OFFSET('[5]Đơn giá cây cối'!$F$2,,,COUNTIF('[5]Đơn giá cây cối'!$F:$F,"*?"))</definedName>
    <definedName name="trung" localSheetId="71">OFFSET('[6]Đơn giá cây cối'!$F$2,,,COUNTIF('[6]Đơn giá cây cối'!$F:$F,"*?"))</definedName>
    <definedName name="trung" localSheetId="74">OFFSET('[7]Đơn giá cây cối'!$F$2,,,COUNTIF('[7]Đơn giá cây cối'!$F:$F,"*?"))</definedName>
    <definedName name="trung" localSheetId="76">OFFSET('[3]Đơn giá cây cối'!$F$2,,,COUNTIF('[3]Đơn giá cây cối'!$F:$F,"*?"))</definedName>
    <definedName name="trung">OFFSET('Đơn giá cây cối'!$F$2,,,COUNTIF('Đơn giá cây cối'!$F:$F,"*?"))</definedName>
    <definedName name="trung1" localSheetId="16">OFFSET('[17]Đơn giá cây cối'!$F$2,,,COUNTIF('[17]Đơn giá cây cối'!#REF!,"*?"))</definedName>
    <definedName name="trung1" localSheetId="53">OFFSET('[17]Đơn giá cây cối'!$F$2,,,COUNTIF('[17]Đơn giá cây cối'!#REF!,"*?"))</definedName>
    <definedName name="trung1" localSheetId="61">OFFSET('[17]Đơn giá cây cối'!$F$2,,,COUNTIF('[17]Đơn giá cây cối'!#REF!,"*?"))</definedName>
    <definedName name="trung1" localSheetId="62">OFFSET('[17]Đơn giá cây cối'!$F$2,,,COUNTIF('[17]Đơn giá cây cối'!#REF!,"*?"))</definedName>
    <definedName name="trung1" localSheetId="63">OFFSET('[17]Đơn giá cây cối'!$F$2,,,COUNTIF('[17]Đơn giá cây cối'!#REF!,"*?"))</definedName>
    <definedName name="trung1" localSheetId="66">OFFSET('[17]Đơn giá cây cối'!$F$2,,,COUNTIF('[17]Đơn giá cây cối'!#REF!,"*?"))</definedName>
    <definedName name="trung1" localSheetId="71">OFFSET('[17]Đơn giá cây cối'!$F$2,,,COUNTIF('[17]Đơn giá cây cối'!#REF!,"*?"))</definedName>
    <definedName name="trung1" localSheetId="74">OFFSET('[17]Đơn giá cây cối'!$F$2,,,COUNTIF('[17]Đơn giá cây cối'!#REF!,"*?"))</definedName>
    <definedName name="trung1" localSheetId="76">OFFSET('[17]Đơn giá cây cối'!$F$2,,,COUNTIF('[17]Đơn giá cây cối'!#REF!,"*?"))</definedName>
    <definedName name="trung1">OFFSET('[17]Đơn giá cây cối'!$F$2,,,COUNTIF('[17]Đơn giá cây cối'!#REF!,"*?"))</definedName>
    <definedName name="ZYX" localSheetId="61">#REF!</definedName>
    <definedName name="ZYX" localSheetId="62">#REF!</definedName>
    <definedName name="ZYX" localSheetId="74">#REF!</definedName>
    <definedName name="ZYX">#REF!</definedName>
    <definedName name="ZZZ" localSheetId="74">#REF!</definedName>
    <definedName name="ZZZ">#REF!</definedName>
  </definedNames>
  <calcPr calcId="179021"/>
  <extLs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K82" i="1049" l="1"/>
  <c r="O8" i="1049" l="1"/>
  <c r="O15" i="1049"/>
  <c r="O16" i="1049"/>
  <c r="O40" i="1049"/>
  <c r="O41" i="1049"/>
  <c r="O42" i="1049"/>
  <c r="O43" i="1049"/>
  <c r="O44" i="1049"/>
  <c r="O45" i="1049"/>
  <c r="O46" i="1049"/>
  <c r="O47" i="1049"/>
  <c r="O49" i="1049"/>
  <c r="O50" i="1049"/>
  <c r="O51" i="1049"/>
  <c r="O52" i="1049"/>
  <c r="O53" i="1049"/>
  <c r="O54" i="1049"/>
  <c r="O55" i="1049"/>
  <c r="O56" i="1049"/>
  <c r="O57" i="1049"/>
  <c r="O58" i="1049"/>
  <c r="O59" i="1049"/>
  <c r="O60" i="1049"/>
  <c r="O61" i="1049"/>
  <c r="O62" i="1049"/>
  <c r="O63" i="1049"/>
  <c r="O64" i="1049"/>
  <c r="O65" i="1049"/>
  <c r="O66" i="1049"/>
  <c r="O67" i="1049"/>
  <c r="O68" i="1049"/>
  <c r="O69" i="1049"/>
  <c r="O70" i="1049"/>
  <c r="O71" i="1049"/>
  <c r="O72" i="1049"/>
  <c r="O74" i="1049"/>
  <c r="O75" i="1049"/>
  <c r="O76" i="1049"/>
  <c r="O77" i="1049"/>
  <c r="D19" i="1098" l="1"/>
  <c r="D18" i="1098"/>
  <c r="G79" i="1049" l="1"/>
  <c r="G82" i="1049" s="1"/>
  <c r="H79" i="1049"/>
  <c r="H82" i="1049" s="1"/>
  <c r="I79" i="1049"/>
  <c r="I82" i="1049" s="1"/>
  <c r="G19" i="1098"/>
  <c r="G18" i="1098"/>
  <c r="G15" i="1098"/>
  <c r="D17" i="1098"/>
  <c r="D20" i="1098" s="1"/>
  <c r="G14" i="1098"/>
  <c r="G13" i="1098" s="1"/>
  <c r="D78" i="1049" s="1"/>
  <c r="G16" i="1098" l="1"/>
  <c r="G20" i="1098"/>
  <c r="G21" i="1098"/>
  <c r="E78" i="1049" l="1"/>
  <c r="O78" i="1049" s="1"/>
  <c r="L78" i="1049"/>
  <c r="K78" i="1049" s="1"/>
  <c r="G23" i="1098"/>
  <c r="G24" i="1098" s="1"/>
  <c r="A25" i="1098"/>
  <c r="M78" i="1049" l="1"/>
  <c r="N78" i="1049" s="1"/>
  <c r="E28" i="1040"/>
  <c r="G28" i="1040" s="1"/>
  <c r="D24" i="1040"/>
  <c r="G24" i="1040" s="1"/>
  <c r="L8" i="1049"/>
  <c r="K8" i="1049" s="1"/>
  <c r="N8" i="1049" s="1"/>
  <c r="L16" i="1049"/>
  <c r="L40" i="1049"/>
  <c r="K40" i="1049" s="1"/>
  <c r="N40" i="1049" s="1"/>
  <c r="L41" i="1049"/>
  <c r="L42" i="1049"/>
  <c r="L43" i="1049"/>
  <c r="L44" i="1049"/>
  <c r="L45" i="1049"/>
  <c r="K45" i="1049" s="1"/>
  <c r="N45" i="1049" s="1"/>
  <c r="L46" i="1049"/>
  <c r="K46" i="1049" s="1"/>
  <c r="N46" i="1049" s="1"/>
  <c r="L47" i="1049"/>
  <c r="L50" i="1049"/>
  <c r="L51" i="1049"/>
  <c r="L55" i="1049"/>
  <c r="L56" i="1049"/>
  <c r="L57" i="1049"/>
  <c r="L58" i="1049"/>
  <c r="L59" i="1049"/>
  <c r="L60" i="1049"/>
  <c r="L61" i="1049"/>
  <c r="K61" i="1049" s="1"/>
  <c r="N61" i="1049" s="1"/>
  <c r="L62" i="1049"/>
  <c r="K62" i="1049" s="1"/>
  <c r="N62" i="1049" s="1"/>
  <c r="L63" i="1049"/>
  <c r="K63" i="1049" s="1"/>
  <c r="N63" i="1049" s="1"/>
  <c r="L64" i="1049"/>
  <c r="L65" i="1049"/>
  <c r="K65" i="1049" s="1"/>
  <c r="N65" i="1049" s="1"/>
  <c r="L66" i="1049"/>
  <c r="L67" i="1049"/>
  <c r="L68" i="1049"/>
  <c r="K68" i="1049" s="1"/>
  <c r="N68" i="1049" s="1"/>
  <c r="L69" i="1049"/>
  <c r="K69" i="1049" s="1"/>
  <c r="N69" i="1049" s="1"/>
  <c r="L70" i="1049"/>
  <c r="K70" i="1049" s="1"/>
  <c r="N70" i="1049" s="1"/>
  <c r="L71" i="1049"/>
  <c r="K71" i="1049" s="1"/>
  <c r="N71" i="1049" s="1"/>
  <c r="L72" i="1049"/>
  <c r="L75" i="1049"/>
  <c r="L76" i="1049"/>
  <c r="K76" i="1049" s="1"/>
  <c r="N76" i="1049" s="1"/>
  <c r="K16" i="1049"/>
  <c r="N16" i="1049" s="1"/>
  <c r="K41" i="1049"/>
  <c r="N41" i="1049" s="1"/>
  <c r="K42" i="1049"/>
  <c r="N42" i="1049" s="1"/>
  <c r="K43" i="1049"/>
  <c r="N43" i="1049" s="1"/>
  <c r="K44" i="1049"/>
  <c r="N44" i="1049" s="1"/>
  <c r="K47" i="1049"/>
  <c r="K50" i="1049"/>
  <c r="N50" i="1049" s="1"/>
  <c r="K51" i="1049"/>
  <c r="N51" i="1049" s="1"/>
  <c r="K55" i="1049"/>
  <c r="N55" i="1049" s="1"/>
  <c r="K56" i="1049"/>
  <c r="K57" i="1049"/>
  <c r="N57" i="1049" s="1"/>
  <c r="K58" i="1049"/>
  <c r="N58" i="1049" s="1"/>
  <c r="K59" i="1049"/>
  <c r="N59" i="1049" s="1"/>
  <c r="K60" i="1049"/>
  <c r="N60" i="1049" s="1"/>
  <c r="K64" i="1049"/>
  <c r="N64" i="1049" s="1"/>
  <c r="K66" i="1049"/>
  <c r="K67" i="1049"/>
  <c r="N67" i="1049" s="1"/>
  <c r="K72" i="1049"/>
  <c r="N72" i="1049" s="1"/>
  <c r="K75" i="1049"/>
  <c r="N75" i="1049" s="1"/>
  <c r="N47" i="1049"/>
  <c r="N56" i="1049"/>
  <c r="N66" i="1049"/>
  <c r="J77" i="1049"/>
  <c r="L77" i="1049" s="1"/>
  <c r="K77" i="1049" s="1"/>
  <c r="N77" i="1049" s="1"/>
  <c r="E26" i="1097" l="1"/>
  <c r="G26" i="1097" s="1"/>
  <c r="E25" i="1097"/>
  <c r="G25" i="1097" s="1"/>
  <c r="E24" i="1097"/>
  <c r="G24" i="1097" s="1"/>
  <c r="D22" i="1097"/>
  <c r="G22" i="1097" s="1"/>
  <c r="D21" i="1097"/>
  <c r="G21" i="1097" s="1"/>
  <c r="D20" i="1097"/>
  <c r="G20" i="1097" s="1"/>
  <c r="D19" i="1097"/>
  <c r="G19" i="1097" s="1"/>
  <c r="D18" i="1097"/>
  <c r="G18" i="1097" s="1"/>
  <c r="D17" i="1097"/>
  <c r="G17" i="1097" s="1"/>
  <c r="D16" i="1097"/>
  <c r="G16" i="1097" s="1"/>
  <c r="G14" i="1097"/>
  <c r="G13" i="1097" s="1"/>
  <c r="G17" i="1096"/>
  <c r="G15" i="1096"/>
  <c r="G14" i="1096"/>
  <c r="G13" i="1096" s="1"/>
  <c r="A29" i="1097"/>
  <c r="A21" i="1096"/>
  <c r="G23" i="1097" l="1"/>
  <c r="G15" i="1097"/>
  <c r="G27" i="1097"/>
  <c r="G28" i="1097" s="1"/>
  <c r="G19" i="1096"/>
  <c r="G20" i="1096" s="1"/>
  <c r="J74" i="1049" l="1"/>
  <c r="L74" i="1049" s="1"/>
  <c r="K74" i="1049" s="1"/>
  <c r="N74" i="1049" s="1"/>
  <c r="J15" i="1049"/>
  <c r="L15" i="1049" s="1"/>
  <c r="K15" i="1049" s="1"/>
  <c r="N15" i="1049" s="1"/>
  <c r="J49" i="1049"/>
  <c r="L49" i="1049" s="1"/>
  <c r="K49" i="1049" s="1"/>
  <c r="N49" i="1049" s="1"/>
  <c r="J52" i="1049"/>
  <c r="L52" i="1049" s="1"/>
  <c r="K52" i="1049" s="1"/>
  <c r="N52" i="1049" s="1"/>
  <c r="J53" i="1049"/>
  <c r="L53" i="1049" s="1"/>
  <c r="K53" i="1049" s="1"/>
  <c r="N53" i="1049" s="1"/>
  <c r="J54" i="1049"/>
  <c r="L54" i="1049" s="1"/>
  <c r="K54" i="1049" s="1"/>
  <c r="N54" i="1049" s="1"/>
  <c r="E19" i="1094" l="1"/>
  <c r="G19" i="1094" s="1"/>
  <c r="G17" i="1094" s="1"/>
  <c r="G15" i="1094"/>
  <c r="G14" i="1094"/>
  <c r="G13" i="1094" s="1"/>
  <c r="G20" i="1094" l="1"/>
  <c r="G21" i="1094" s="1"/>
  <c r="A22" i="1094" a="1"/>
  <c r="A22" i="1094" l="1"/>
  <c r="G22" i="1093" l="1"/>
  <c r="G20" i="1093"/>
  <c r="F19" i="1093"/>
  <c r="D19" i="1093"/>
  <c r="H18" i="1093"/>
  <c r="D18" i="1093" s="1"/>
  <c r="G15" i="1093"/>
  <c r="G14" i="1093" s="1"/>
  <c r="E38" i="1092"/>
  <c r="G38" i="1092" s="1"/>
  <c r="E37" i="1092"/>
  <c r="D37" i="1092"/>
  <c r="G35" i="1092"/>
  <c r="G34" i="1092"/>
  <c r="D34" i="1092"/>
  <c r="E33" i="1092"/>
  <c r="D33" i="1092"/>
  <c r="D32" i="1092"/>
  <c r="G32" i="1092" s="1"/>
  <c r="D31" i="1092"/>
  <c r="G31" i="1092" s="1"/>
  <c r="D30" i="1092"/>
  <c r="G30" i="1092" s="1"/>
  <c r="D29" i="1092"/>
  <c r="G29" i="1092" s="1"/>
  <c r="D28" i="1092"/>
  <c r="G28" i="1092" s="1"/>
  <c r="D27" i="1092"/>
  <c r="G27" i="1092" s="1"/>
  <c r="D26" i="1092"/>
  <c r="G26" i="1092" s="1"/>
  <c r="G25" i="1092"/>
  <c r="G24" i="1092"/>
  <c r="E24" i="1092"/>
  <c r="D23" i="1092"/>
  <c r="G23" i="1092" s="1"/>
  <c r="D22" i="1092"/>
  <c r="G22" i="1092" s="1"/>
  <c r="D21" i="1092"/>
  <c r="G21" i="1092" s="1"/>
  <c r="D20" i="1092"/>
  <c r="G20" i="1092" s="1"/>
  <c r="D19" i="1092"/>
  <c r="G19" i="1092" s="1"/>
  <c r="G18" i="1092"/>
  <c r="D18" i="1092"/>
  <c r="D17" i="1092"/>
  <c r="G17" i="1092" s="1"/>
  <c r="D16" i="1092"/>
  <c r="G16" i="1092" s="1"/>
  <c r="G14" i="1092"/>
  <c r="G13" i="1092" s="1"/>
  <c r="G17" i="1091"/>
  <c r="G15" i="1091"/>
  <c r="G14" i="1091"/>
  <c r="G13" i="1091" s="1"/>
  <c r="E48" i="1090"/>
  <c r="G48" i="1090" s="1"/>
  <c r="E47" i="1090"/>
  <c r="G47" i="1090" s="1"/>
  <c r="E46" i="1090"/>
  <c r="G46" i="1090" s="1"/>
  <c r="E45" i="1090"/>
  <c r="G45" i="1090" s="1"/>
  <c r="G44" i="1090"/>
  <c r="E43" i="1090"/>
  <c r="G43" i="1090" s="1"/>
  <c r="E42" i="1090"/>
  <c r="G42" i="1090" s="1"/>
  <c r="E41" i="1090"/>
  <c r="G41" i="1090" s="1"/>
  <c r="E40" i="1090"/>
  <c r="G40" i="1090" s="1"/>
  <c r="E39" i="1090"/>
  <c r="G39" i="1090" s="1"/>
  <c r="E38" i="1090"/>
  <c r="G38" i="1090" s="1"/>
  <c r="E37" i="1090"/>
  <c r="G37" i="1090" s="1"/>
  <c r="D35" i="1090"/>
  <c r="G35" i="1090" s="1"/>
  <c r="D34" i="1090"/>
  <c r="G34" i="1090" s="1"/>
  <c r="D33" i="1090"/>
  <c r="G33" i="1090" s="1"/>
  <c r="D32" i="1090"/>
  <c r="G32" i="1090" s="1"/>
  <c r="D31" i="1090"/>
  <c r="G31" i="1090" s="1"/>
  <c r="D30" i="1090"/>
  <c r="G30" i="1090" s="1"/>
  <c r="D29" i="1090"/>
  <c r="G29" i="1090" s="1"/>
  <c r="D28" i="1090"/>
  <c r="G28" i="1090" s="1"/>
  <c r="D27" i="1090"/>
  <c r="G27" i="1090" s="1"/>
  <c r="D26" i="1090"/>
  <c r="G26" i="1090" s="1"/>
  <c r="D25" i="1090"/>
  <c r="G25" i="1090" s="1"/>
  <c r="D24" i="1090"/>
  <c r="G24" i="1090" s="1"/>
  <c r="F22" i="1090"/>
  <c r="D19" i="1090"/>
  <c r="D16" i="1090"/>
  <c r="G16" i="1090" s="1"/>
  <c r="G15" i="1090"/>
  <c r="E28" i="1089"/>
  <c r="G28" i="1089" s="1"/>
  <c r="E27" i="1089"/>
  <c r="G27" i="1089" s="1"/>
  <c r="E26" i="1089"/>
  <c r="G26" i="1089" s="1"/>
  <c r="E25" i="1089"/>
  <c r="G25" i="1089" s="1"/>
  <c r="G23" i="1089"/>
  <c r="D22" i="1089"/>
  <c r="G22" i="1089" s="1"/>
  <c r="D21" i="1089"/>
  <c r="G21" i="1089" s="1"/>
  <c r="F19" i="1089"/>
  <c r="D19" i="1089"/>
  <c r="G19" i="1089" s="1"/>
  <c r="H18" i="1089"/>
  <c r="F18" i="1089" s="1"/>
  <c r="G15" i="1089"/>
  <c r="G14" i="1089" s="1"/>
  <c r="E34" i="1088"/>
  <c r="G34" i="1088" s="1"/>
  <c r="E33" i="1088"/>
  <c r="G33" i="1088" s="1"/>
  <c r="E32" i="1088"/>
  <c r="G32" i="1088" s="1"/>
  <c r="E31" i="1088"/>
  <c r="G31" i="1088" s="1"/>
  <c r="D29" i="1088"/>
  <c r="G29" i="1088" s="1"/>
  <c r="D28" i="1088"/>
  <c r="G28" i="1088" s="1"/>
  <c r="G27" i="1088"/>
  <c r="D27" i="1088"/>
  <c r="D26" i="1088"/>
  <c r="G26" i="1088" s="1"/>
  <c r="D25" i="1088"/>
  <c r="G25" i="1088" s="1"/>
  <c r="D24" i="1088"/>
  <c r="G24" i="1088" s="1"/>
  <c r="D23" i="1088"/>
  <c r="G23" i="1088" s="1"/>
  <c r="D22" i="1088"/>
  <c r="G22" i="1088" s="1"/>
  <c r="D21" i="1088"/>
  <c r="G21" i="1088" s="1"/>
  <c r="F19" i="1088"/>
  <c r="D19" i="1088"/>
  <c r="H18" i="1088"/>
  <c r="F18" i="1088" s="1"/>
  <c r="G15" i="1088"/>
  <c r="G14" i="1088" s="1"/>
  <c r="E27" i="1087"/>
  <c r="G27" i="1087" s="1"/>
  <c r="E26" i="1087"/>
  <c r="G26" i="1087" s="1"/>
  <c r="E25" i="1087"/>
  <c r="G25" i="1087" s="1"/>
  <c r="E24" i="1087"/>
  <c r="G24" i="1087" s="1"/>
  <c r="E23" i="1087"/>
  <c r="G23" i="1087" s="1"/>
  <c r="D21" i="1087"/>
  <c r="G21" i="1087" s="1"/>
  <c r="G20" i="1087" s="1"/>
  <c r="F19" i="1087"/>
  <c r="D19" i="1087"/>
  <c r="G19" i="1087" s="1"/>
  <c r="H18" i="1087"/>
  <c r="D18" i="1087" s="1"/>
  <c r="F18" i="1087"/>
  <c r="G15" i="1087"/>
  <c r="G14" i="1087" s="1"/>
  <c r="E37" i="1086"/>
  <c r="G37" i="1086" s="1"/>
  <c r="G36" i="1086" s="1"/>
  <c r="D35" i="1086"/>
  <c r="G35" i="1086" s="1"/>
  <c r="D34" i="1086"/>
  <c r="G34" i="1086" s="1"/>
  <c r="D33" i="1086"/>
  <c r="G33" i="1086" s="1"/>
  <c r="D32" i="1086"/>
  <c r="G32" i="1086" s="1"/>
  <c r="D31" i="1086"/>
  <c r="G31" i="1086" s="1"/>
  <c r="D30" i="1086"/>
  <c r="G30" i="1086" s="1"/>
  <c r="D29" i="1086"/>
  <c r="G29" i="1086" s="1"/>
  <c r="D28" i="1086"/>
  <c r="G28" i="1086" s="1"/>
  <c r="D27" i="1086"/>
  <c r="G27" i="1086" s="1"/>
  <c r="D26" i="1086"/>
  <c r="G26" i="1086" s="1"/>
  <c r="G25" i="1086"/>
  <c r="D25" i="1086"/>
  <c r="D24" i="1086"/>
  <c r="G24" i="1086" s="1"/>
  <c r="D23" i="1086"/>
  <c r="G23" i="1086" s="1"/>
  <c r="D22" i="1086"/>
  <c r="G22" i="1086" s="1"/>
  <c r="D21" i="1086"/>
  <c r="G21" i="1086" s="1"/>
  <c r="F19" i="1086"/>
  <c r="D19" i="1086"/>
  <c r="G19" i="1086" s="1"/>
  <c r="H18" i="1086"/>
  <c r="D18" i="1086" s="1"/>
  <c r="F18" i="1086"/>
  <c r="G15" i="1086"/>
  <c r="G14" i="1086" s="1"/>
  <c r="E63" i="1085"/>
  <c r="G63" i="1085" s="1"/>
  <c r="E62" i="1085"/>
  <c r="G62" i="1085" s="1"/>
  <c r="E61" i="1085"/>
  <c r="G61" i="1085" s="1"/>
  <c r="E60" i="1085"/>
  <c r="G60" i="1085" s="1"/>
  <c r="E59" i="1085"/>
  <c r="G59" i="1085" s="1"/>
  <c r="E58" i="1085"/>
  <c r="G58" i="1085" s="1"/>
  <c r="E56" i="1085"/>
  <c r="G56" i="1085" s="1"/>
  <c r="E55" i="1085"/>
  <c r="G55" i="1085" s="1"/>
  <c r="E54" i="1085"/>
  <c r="G54" i="1085" s="1"/>
  <c r="D51" i="1085"/>
  <c r="G51" i="1085" s="1"/>
  <c r="D49" i="1085"/>
  <c r="G49" i="1085" s="1"/>
  <c r="D48" i="1085"/>
  <c r="G48" i="1085" s="1"/>
  <c r="G47" i="1085"/>
  <c r="D46" i="1085"/>
  <c r="G46" i="1085" s="1"/>
  <c r="D45" i="1085"/>
  <c r="G45" i="1085" s="1"/>
  <c r="D44" i="1085"/>
  <c r="G44" i="1085" s="1"/>
  <c r="D43" i="1085"/>
  <c r="G43" i="1085" s="1"/>
  <c r="D42" i="1085"/>
  <c r="G42" i="1085" s="1"/>
  <c r="D41" i="1085"/>
  <c r="G41" i="1085" s="1"/>
  <c r="D40" i="1085"/>
  <c r="G40" i="1085" s="1"/>
  <c r="D39" i="1085"/>
  <c r="G39" i="1085" s="1"/>
  <c r="D38" i="1085"/>
  <c r="G38" i="1085" s="1"/>
  <c r="D37" i="1085"/>
  <c r="G37" i="1085" s="1"/>
  <c r="D36" i="1085"/>
  <c r="G36" i="1085" s="1"/>
  <c r="D35" i="1085"/>
  <c r="G35" i="1085" s="1"/>
  <c r="D34" i="1085"/>
  <c r="G34" i="1085" s="1"/>
  <c r="D33" i="1085"/>
  <c r="G33" i="1085" s="1"/>
  <c r="D32" i="1085"/>
  <c r="G32" i="1085" s="1"/>
  <c r="G31" i="1085"/>
  <c r="D30" i="1085"/>
  <c r="G30" i="1085" s="1"/>
  <c r="D29" i="1085"/>
  <c r="G29" i="1085" s="1"/>
  <c r="D28" i="1085"/>
  <c r="G28" i="1085" s="1"/>
  <c r="F25" i="1085"/>
  <c r="D25" i="1085"/>
  <c r="G25" i="1085" s="1"/>
  <c r="H24" i="1085"/>
  <c r="F24" i="1085" s="1"/>
  <c r="G21" i="1085"/>
  <c r="G19" i="1085"/>
  <c r="D17" i="1085"/>
  <c r="G16" i="1085"/>
  <c r="E43" i="1084"/>
  <c r="G43" i="1084" s="1"/>
  <c r="E42" i="1084"/>
  <c r="G42" i="1084" s="1"/>
  <c r="D40" i="1084"/>
  <c r="G40" i="1084" s="1"/>
  <c r="D39" i="1084"/>
  <c r="G39" i="1084" s="1"/>
  <c r="D38" i="1084"/>
  <c r="G38" i="1084" s="1"/>
  <c r="D37" i="1084"/>
  <c r="G37" i="1084" s="1"/>
  <c r="D36" i="1084"/>
  <c r="G36" i="1084" s="1"/>
  <c r="D35" i="1084"/>
  <c r="G35" i="1084" s="1"/>
  <c r="D34" i="1084"/>
  <c r="G34" i="1084" s="1"/>
  <c r="E33" i="1084"/>
  <c r="D33" i="1084"/>
  <c r="D32" i="1084"/>
  <c r="G32" i="1084" s="1"/>
  <c r="D31" i="1084"/>
  <c r="G31" i="1084" s="1"/>
  <c r="D30" i="1084"/>
  <c r="G30" i="1084" s="1"/>
  <c r="D29" i="1084"/>
  <c r="G29" i="1084" s="1"/>
  <c r="G28" i="1084"/>
  <c r="D28" i="1084"/>
  <c r="D27" i="1084"/>
  <c r="G27" i="1084" s="1"/>
  <c r="D26" i="1084"/>
  <c r="G26" i="1084" s="1"/>
  <c r="D25" i="1084"/>
  <c r="G25" i="1084" s="1"/>
  <c r="D24" i="1084"/>
  <c r="G24" i="1084" s="1"/>
  <c r="D23" i="1084"/>
  <c r="G23" i="1084" s="1"/>
  <c r="D22" i="1084"/>
  <c r="G22" i="1084" s="1"/>
  <c r="D21" i="1084"/>
  <c r="G21" i="1084" s="1"/>
  <c r="F19" i="1084"/>
  <c r="D19" i="1084"/>
  <c r="H18" i="1084"/>
  <c r="F18" i="1084" s="1"/>
  <c r="G15" i="1084"/>
  <c r="G14" i="1084" s="1"/>
  <c r="G21" i="1083"/>
  <c r="D20" i="1083"/>
  <c r="G20" i="1083" s="1"/>
  <c r="D19" i="1083"/>
  <c r="G19" i="1083" s="1"/>
  <c r="D18" i="1083"/>
  <c r="G18" i="1083" s="1"/>
  <c r="D17" i="1083"/>
  <c r="G17" i="1083" s="1"/>
  <c r="D16" i="1083"/>
  <c r="G16" i="1083" s="1"/>
  <c r="G14" i="1083"/>
  <c r="G13" i="1083" s="1"/>
  <c r="E30" i="1082"/>
  <c r="G30" i="1082" s="1"/>
  <c r="E29" i="1082"/>
  <c r="G29" i="1082" s="1"/>
  <c r="D26" i="1082"/>
  <c r="G26" i="1082" s="1"/>
  <c r="D25" i="1082"/>
  <c r="G25" i="1082" s="1"/>
  <c r="D24" i="1082"/>
  <c r="G24" i="1082" s="1"/>
  <c r="D23" i="1082"/>
  <c r="G23" i="1082" s="1"/>
  <c r="D22" i="1082"/>
  <c r="G22" i="1082" s="1"/>
  <c r="G20" i="1082"/>
  <c r="D20" i="1082"/>
  <c r="G15" i="1082"/>
  <c r="G13" i="1082" s="1"/>
  <c r="E26" i="1080"/>
  <c r="G26" i="1080" s="1"/>
  <c r="G25" i="1080" s="1"/>
  <c r="D24" i="1080"/>
  <c r="G24" i="1080" s="1"/>
  <c r="D23" i="1080"/>
  <c r="G23" i="1080" s="1"/>
  <c r="D22" i="1080"/>
  <c r="G22" i="1080" s="1"/>
  <c r="D21" i="1080"/>
  <c r="G21" i="1080" s="1"/>
  <c r="D20" i="1080"/>
  <c r="G20" i="1080" s="1"/>
  <c r="D19" i="1080"/>
  <c r="G19" i="1080" s="1"/>
  <c r="D18" i="1080"/>
  <c r="G18" i="1080" s="1"/>
  <c r="D17" i="1080"/>
  <c r="G17" i="1080" s="1"/>
  <c r="D16" i="1080"/>
  <c r="G16" i="1080" s="1"/>
  <c r="G14" i="1080"/>
  <c r="G13" i="1080" s="1"/>
  <c r="G23" i="1079"/>
  <c r="D22" i="1079"/>
  <c r="G22" i="1079" s="1"/>
  <c r="D21" i="1079"/>
  <c r="G21" i="1079" s="1"/>
  <c r="G20" i="1079"/>
  <c r="D20" i="1079"/>
  <c r="D19" i="1079"/>
  <c r="G19" i="1079" s="1"/>
  <c r="D18" i="1079"/>
  <c r="G18" i="1079" s="1"/>
  <c r="D17" i="1079"/>
  <c r="G17" i="1079" s="1"/>
  <c r="D16" i="1079"/>
  <c r="G16" i="1079" s="1"/>
  <c r="G14" i="1079"/>
  <c r="G13" i="1079" s="1"/>
  <c r="G27" i="1078"/>
  <c r="G26" i="1078"/>
  <c r="D26" i="1078"/>
  <c r="D25" i="1078"/>
  <c r="G25" i="1078" s="1"/>
  <c r="D24" i="1078"/>
  <c r="G24" i="1078" s="1"/>
  <c r="D23" i="1078"/>
  <c r="G23" i="1078" s="1"/>
  <c r="G22" i="1078"/>
  <c r="D22" i="1078"/>
  <c r="D21" i="1078"/>
  <c r="G21" i="1078" s="1"/>
  <c r="D20" i="1078"/>
  <c r="G20" i="1078" s="1"/>
  <c r="D19" i="1078"/>
  <c r="G19" i="1078" s="1"/>
  <c r="G18" i="1078"/>
  <c r="D18" i="1078"/>
  <c r="D17" i="1078"/>
  <c r="G17" i="1078" s="1"/>
  <c r="D16" i="1078"/>
  <c r="G16" i="1078" s="1"/>
  <c r="G14" i="1078"/>
  <c r="G13" i="1078" s="1"/>
  <c r="G18" i="1077"/>
  <c r="D17" i="1077"/>
  <c r="G17" i="1077" s="1"/>
  <c r="D16" i="1077"/>
  <c r="G16" i="1077" s="1"/>
  <c r="G15" i="1077" s="1"/>
  <c r="G14" i="1077"/>
  <c r="G13" i="1077" s="1"/>
  <c r="G17" i="1075"/>
  <c r="G15" i="1075"/>
  <c r="G14" i="1075"/>
  <c r="G13" i="1075" s="1"/>
  <c r="G19" i="1075" s="1"/>
  <c r="G20" i="1075" s="1"/>
  <c r="E20" i="1074"/>
  <c r="G20" i="1074" s="1"/>
  <c r="G19" i="1074" s="1"/>
  <c r="D18" i="1074"/>
  <c r="G18" i="1074" s="1"/>
  <c r="D17" i="1074"/>
  <c r="G17" i="1074" s="1"/>
  <c r="D16" i="1074"/>
  <c r="G16" i="1074" s="1"/>
  <c r="G14" i="1074"/>
  <c r="G13" i="1074"/>
  <c r="E20" i="1071"/>
  <c r="G20" i="1071" s="1"/>
  <c r="E19" i="1071"/>
  <c r="G19" i="1071" s="1"/>
  <c r="D17" i="1071"/>
  <c r="G17" i="1071" s="1"/>
  <c r="G15" i="1071" s="1"/>
  <c r="G14" i="1071"/>
  <c r="G13" i="1071" s="1"/>
  <c r="E29" i="1070"/>
  <c r="G29" i="1070" s="1"/>
  <c r="E28" i="1070"/>
  <c r="G28" i="1070" s="1"/>
  <c r="E27" i="1070"/>
  <c r="G27" i="1070" s="1"/>
  <c r="E26" i="1070"/>
  <c r="G26" i="1070" s="1"/>
  <c r="E25" i="1070"/>
  <c r="G25" i="1070" s="1"/>
  <c r="D23" i="1070"/>
  <c r="G23" i="1070" s="1"/>
  <c r="D22" i="1070"/>
  <c r="G22" i="1070" s="1"/>
  <c r="D21" i="1070"/>
  <c r="G21" i="1070" s="1"/>
  <c r="G20" i="1070"/>
  <c r="D20" i="1070"/>
  <c r="D19" i="1070"/>
  <c r="G19" i="1070" s="1"/>
  <c r="D18" i="1070"/>
  <c r="G18" i="1070" s="1"/>
  <c r="D17" i="1070"/>
  <c r="G17" i="1070" s="1"/>
  <c r="D16" i="1070"/>
  <c r="G16" i="1070" s="1"/>
  <c r="G14" i="1070"/>
  <c r="G13" i="1070" s="1"/>
  <c r="G17" i="1069"/>
  <c r="D16" i="1069"/>
  <c r="G16" i="1069" s="1"/>
  <c r="G15" i="1069" s="1"/>
  <c r="G14" i="1069"/>
  <c r="G13" i="1069" s="1"/>
  <c r="G17" i="1068"/>
  <c r="G15" i="1068"/>
  <c r="G14" i="1068"/>
  <c r="G13" i="1068" s="1"/>
  <c r="E18" i="1067"/>
  <c r="G18" i="1067" s="1"/>
  <c r="G17" i="1067" s="1"/>
  <c r="F73" i="1049" s="1"/>
  <c r="G15" i="1067"/>
  <c r="G14" i="1067"/>
  <c r="G13" i="1067"/>
  <c r="G17" i="1066"/>
  <c r="G15" i="1066"/>
  <c r="G14" i="1066"/>
  <c r="G13" i="1066" s="1"/>
  <c r="E21" i="1065"/>
  <c r="G21" i="1065" s="1"/>
  <c r="G20" i="1065" s="1"/>
  <c r="D19" i="1065"/>
  <c r="G19" i="1065" s="1"/>
  <c r="D18" i="1065"/>
  <c r="G18" i="1065" s="1"/>
  <c r="D17" i="1065"/>
  <c r="G17" i="1065" s="1"/>
  <c r="D16" i="1065"/>
  <c r="G16" i="1065" s="1"/>
  <c r="G14" i="1065"/>
  <c r="G13" i="1065" s="1"/>
  <c r="G17" i="1064"/>
  <c r="G15" i="1064"/>
  <c r="G14" i="1064"/>
  <c r="G13" i="1064" s="1"/>
  <c r="G19" i="1064" s="1"/>
  <c r="G20" i="1064" s="1"/>
  <c r="G17" i="1063"/>
  <c r="G15" i="1063"/>
  <c r="G14" i="1063"/>
  <c r="G13" i="1063" s="1"/>
  <c r="G18" i="1062"/>
  <c r="D17" i="1062"/>
  <c r="G17" i="1062" s="1"/>
  <c r="G16" i="1062"/>
  <c r="G15" i="1062" s="1"/>
  <c r="D16" i="1062"/>
  <c r="G14" i="1062"/>
  <c r="G13" i="1062" s="1"/>
  <c r="E31" i="1061"/>
  <c r="G31" i="1061" s="1"/>
  <c r="E30" i="1061"/>
  <c r="G30" i="1061" s="1"/>
  <c r="E29" i="1061"/>
  <c r="G29" i="1061" s="1"/>
  <c r="D27" i="1061"/>
  <c r="G27" i="1061" s="1"/>
  <c r="D26" i="1061"/>
  <c r="G26" i="1061" s="1"/>
  <c r="D25" i="1061"/>
  <c r="G25" i="1061" s="1"/>
  <c r="D23" i="1061"/>
  <c r="G23" i="1061" s="1"/>
  <c r="D22" i="1061"/>
  <c r="G22" i="1061" s="1"/>
  <c r="D21" i="1061"/>
  <c r="G21" i="1061" s="1"/>
  <c r="D20" i="1061"/>
  <c r="G20" i="1061" s="1"/>
  <c r="D19" i="1061"/>
  <c r="G19" i="1061" s="1"/>
  <c r="D18" i="1061"/>
  <c r="G18" i="1061" s="1"/>
  <c r="D17" i="1061"/>
  <c r="G17" i="1061" s="1"/>
  <c r="D16" i="1061"/>
  <c r="G16" i="1061" s="1"/>
  <c r="G14" i="1061"/>
  <c r="G13" i="1061" s="1"/>
  <c r="D48" i="1049" s="1"/>
  <c r="E27" i="1060"/>
  <c r="G27" i="1060" s="1"/>
  <c r="G26" i="1060" s="1"/>
  <c r="D25" i="1060"/>
  <c r="G25" i="1060" s="1"/>
  <c r="D24" i="1060"/>
  <c r="G24" i="1060" s="1"/>
  <c r="D23" i="1060"/>
  <c r="G23" i="1060" s="1"/>
  <c r="D22" i="1060"/>
  <c r="G22" i="1060" s="1"/>
  <c r="D21" i="1060"/>
  <c r="G21" i="1060" s="1"/>
  <c r="D20" i="1060"/>
  <c r="G20" i="1060" s="1"/>
  <c r="D19" i="1060"/>
  <c r="G19" i="1060" s="1"/>
  <c r="D18" i="1060"/>
  <c r="G18" i="1060" s="1"/>
  <c r="D17" i="1060"/>
  <c r="G17" i="1060" s="1"/>
  <c r="D16" i="1060"/>
  <c r="G16" i="1060" s="1"/>
  <c r="G14" i="1060"/>
  <c r="G13" i="1060" s="1"/>
  <c r="E18" i="1059"/>
  <c r="G18" i="1059" s="1"/>
  <c r="G17" i="1059" s="1"/>
  <c r="D16" i="1059"/>
  <c r="G16" i="1059" s="1"/>
  <c r="G15" i="1059" s="1"/>
  <c r="G14" i="1059"/>
  <c r="G13" i="1059" s="1"/>
  <c r="E23" i="1058"/>
  <c r="G23" i="1058" s="1"/>
  <c r="G22" i="1058" s="1"/>
  <c r="D21" i="1058"/>
  <c r="G21" i="1058" s="1"/>
  <c r="D20" i="1058"/>
  <c r="G20" i="1058" s="1"/>
  <c r="D19" i="1058"/>
  <c r="G19" i="1058" s="1"/>
  <c r="D18" i="1058"/>
  <c r="G18" i="1058" s="1"/>
  <c r="D17" i="1058"/>
  <c r="G17" i="1058" s="1"/>
  <c r="D16" i="1058"/>
  <c r="G16" i="1058" s="1"/>
  <c r="G14" i="1058"/>
  <c r="G13" i="1058" s="1"/>
  <c r="E24" i="1057"/>
  <c r="G24" i="1057" s="1"/>
  <c r="E23" i="1057"/>
  <c r="G23" i="1057" s="1"/>
  <c r="G22" i="1057" s="1"/>
  <c r="D21" i="1057"/>
  <c r="G21" i="1057" s="1"/>
  <c r="D20" i="1057"/>
  <c r="G20" i="1057" s="1"/>
  <c r="D19" i="1057"/>
  <c r="G19" i="1057" s="1"/>
  <c r="D18" i="1057"/>
  <c r="G18" i="1057" s="1"/>
  <c r="D17" i="1057"/>
  <c r="G17" i="1057" s="1"/>
  <c r="D16" i="1057"/>
  <c r="G16" i="1057" s="1"/>
  <c r="G15" i="1057" s="1"/>
  <c r="G14" i="1057"/>
  <c r="G13" i="1057" s="1"/>
  <c r="G23" i="1056"/>
  <c r="D22" i="1056"/>
  <c r="G22" i="1056" s="1"/>
  <c r="D21" i="1056"/>
  <c r="G21" i="1056" s="1"/>
  <c r="D19" i="1056"/>
  <c r="G19" i="1056" s="1"/>
  <c r="D18" i="1056"/>
  <c r="G18" i="1056" s="1"/>
  <c r="D17" i="1056"/>
  <c r="G17" i="1056" s="1"/>
  <c r="D16" i="1056"/>
  <c r="G16" i="1056" s="1"/>
  <c r="G14" i="1056"/>
  <c r="G13" i="1056" s="1"/>
  <c r="E23" i="1055"/>
  <c r="G23" i="1055" s="1"/>
  <c r="G22" i="1055" s="1"/>
  <c r="D21" i="1055"/>
  <c r="G21" i="1055" s="1"/>
  <c r="D20" i="1055"/>
  <c r="G20" i="1055" s="1"/>
  <c r="D19" i="1055"/>
  <c r="G19" i="1055" s="1"/>
  <c r="D18" i="1055"/>
  <c r="G18" i="1055" s="1"/>
  <c r="D16" i="1055"/>
  <c r="G16" i="1055" s="1"/>
  <c r="G14" i="1055"/>
  <c r="G13" i="1055" s="1"/>
  <c r="E24" i="1054"/>
  <c r="G24" i="1054" s="1"/>
  <c r="E23" i="1054"/>
  <c r="G23" i="1054" s="1"/>
  <c r="E22" i="1054"/>
  <c r="G22" i="1054" s="1"/>
  <c r="E21" i="1054"/>
  <c r="G21" i="1054" s="1"/>
  <c r="E20" i="1054"/>
  <c r="G20" i="1054" s="1"/>
  <c r="D18" i="1054"/>
  <c r="G18" i="1054" s="1"/>
  <c r="D17" i="1054"/>
  <c r="G17" i="1054" s="1"/>
  <c r="D16" i="1054"/>
  <c r="G16" i="1054" s="1"/>
  <c r="G14" i="1054"/>
  <c r="G13" i="1054" s="1"/>
  <c r="E43" i="1053"/>
  <c r="G43" i="1053" s="1"/>
  <c r="G42" i="1053"/>
  <c r="E41" i="1053"/>
  <c r="G41" i="1053" s="1"/>
  <c r="E40" i="1053"/>
  <c r="G40" i="1053" s="1"/>
  <c r="E39" i="1053"/>
  <c r="G39" i="1053" s="1"/>
  <c r="E38" i="1053"/>
  <c r="G38" i="1053" s="1"/>
  <c r="E37" i="1053"/>
  <c r="G37" i="1053" s="1"/>
  <c r="D35" i="1053"/>
  <c r="G35" i="1053" s="1"/>
  <c r="D34" i="1053"/>
  <c r="G34" i="1053" s="1"/>
  <c r="D33" i="1053"/>
  <c r="G33" i="1053" s="1"/>
  <c r="D32" i="1053"/>
  <c r="G32" i="1053" s="1"/>
  <c r="D31" i="1053"/>
  <c r="G31" i="1053" s="1"/>
  <c r="D30" i="1053"/>
  <c r="G30" i="1053" s="1"/>
  <c r="D29" i="1053"/>
  <c r="G29" i="1053" s="1"/>
  <c r="D28" i="1053"/>
  <c r="G28" i="1053" s="1"/>
  <c r="D27" i="1053"/>
  <c r="G27" i="1053" s="1"/>
  <c r="D26" i="1053"/>
  <c r="G26" i="1053" s="1"/>
  <c r="D25" i="1053"/>
  <c r="G25" i="1053" s="1"/>
  <c r="G23" i="1053"/>
  <c r="F21" i="1053"/>
  <c r="D21" i="1053"/>
  <c r="G19" i="1053"/>
  <c r="G16" i="1053"/>
  <c r="G15" i="1053" s="1"/>
  <c r="E95" i="1052"/>
  <c r="G95" i="1052" s="1"/>
  <c r="E94" i="1052"/>
  <c r="G94" i="1052" s="1"/>
  <c r="E93" i="1052"/>
  <c r="G93" i="1052" s="1"/>
  <c r="E92" i="1052"/>
  <c r="G92" i="1052" s="1"/>
  <c r="E91" i="1052"/>
  <c r="G91" i="1052" s="1"/>
  <c r="E90" i="1052"/>
  <c r="G90" i="1052" s="1"/>
  <c r="E89" i="1052"/>
  <c r="G89" i="1052" s="1"/>
  <c r="E88" i="1052"/>
  <c r="G88" i="1052" s="1"/>
  <c r="E87" i="1052"/>
  <c r="G87" i="1052" s="1"/>
  <c r="E86" i="1052"/>
  <c r="G86" i="1052" s="1"/>
  <c r="E85" i="1052"/>
  <c r="G85" i="1052" s="1"/>
  <c r="E84" i="1052"/>
  <c r="G84" i="1052" s="1"/>
  <c r="E83" i="1052"/>
  <c r="G83" i="1052" s="1"/>
  <c r="E82" i="1052"/>
  <c r="G82" i="1052" s="1"/>
  <c r="E81" i="1052"/>
  <c r="G81" i="1052" s="1"/>
  <c r="E79" i="1052"/>
  <c r="G79" i="1052" s="1"/>
  <c r="E78" i="1052"/>
  <c r="G78" i="1052" s="1"/>
  <c r="E77" i="1052"/>
  <c r="G77" i="1052" s="1"/>
  <c r="E76" i="1052"/>
  <c r="G76" i="1052" s="1"/>
  <c r="E75" i="1052"/>
  <c r="G75" i="1052" s="1"/>
  <c r="E74" i="1052"/>
  <c r="G74" i="1052" s="1"/>
  <c r="E73" i="1052"/>
  <c r="G73" i="1052" s="1"/>
  <c r="E72" i="1052"/>
  <c r="G72" i="1052" s="1"/>
  <c r="E71" i="1052"/>
  <c r="G71" i="1052" s="1"/>
  <c r="E70" i="1052"/>
  <c r="G70" i="1052" s="1"/>
  <c r="E69" i="1052"/>
  <c r="G69" i="1052" s="1"/>
  <c r="E68" i="1052"/>
  <c r="G68" i="1052" s="1"/>
  <c r="E67" i="1052"/>
  <c r="G67" i="1052" s="1"/>
  <c r="E66" i="1052"/>
  <c r="G66" i="1052" s="1"/>
  <c r="E64" i="1052"/>
  <c r="G64" i="1052" s="1"/>
  <c r="E63" i="1052"/>
  <c r="G63" i="1052" s="1"/>
  <c r="E62" i="1052"/>
  <c r="G62" i="1052" s="1"/>
  <c r="E61" i="1052"/>
  <c r="G61" i="1052" s="1"/>
  <c r="E60" i="1052"/>
  <c r="G60" i="1052" s="1"/>
  <c r="E59" i="1052"/>
  <c r="G59" i="1052" s="1"/>
  <c r="E58" i="1052"/>
  <c r="G58" i="1052" s="1"/>
  <c r="D55" i="1052"/>
  <c r="G55" i="1052" s="1"/>
  <c r="D54" i="1052"/>
  <c r="G54" i="1052" s="1"/>
  <c r="D53" i="1052"/>
  <c r="G53" i="1052" s="1"/>
  <c r="G52" i="1052"/>
  <c r="D52" i="1052"/>
  <c r="D51" i="1052"/>
  <c r="G51" i="1052" s="1"/>
  <c r="D50" i="1052"/>
  <c r="G50" i="1052" s="1"/>
  <c r="D49" i="1052"/>
  <c r="G49" i="1052" s="1"/>
  <c r="D47" i="1052"/>
  <c r="G47" i="1052" s="1"/>
  <c r="D46" i="1052"/>
  <c r="G46" i="1052" s="1"/>
  <c r="D45" i="1052"/>
  <c r="G45" i="1052" s="1"/>
  <c r="D43" i="1052"/>
  <c r="G43" i="1052" s="1"/>
  <c r="D42" i="1052"/>
  <c r="G42" i="1052" s="1"/>
  <c r="D41" i="1052"/>
  <c r="G41" i="1052" s="1"/>
  <c r="D40" i="1052"/>
  <c r="G40" i="1052" s="1"/>
  <c r="D39" i="1052"/>
  <c r="G39" i="1052" s="1"/>
  <c r="D38" i="1052"/>
  <c r="G38" i="1052" s="1"/>
  <c r="D37" i="1052"/>
  <c r="G37" i="1052" s="1"/>
  <c r="D36" i="1052"/>
  <c r="G36" i="1052" s="1"/>
  <c r="D35" i="1052"/>
  <c r="G35" i="1052" s="1"/>
  <c r="F32" i="1052"/>
  <c r="F31" i="1052"/>
  <c r="G27" i="1052"/>
  <c r="D27" i="1052"/>
  <c r="D32" i="1052" s="1"/>
  <c r="D26" i="1052"/>
  <c r="D23" i="1052"/>
  <c r="G23" i="1052" s="1"/>
  <c r="G22" i="1052"/>
  <c r="G20" i="1052"/>
  <c r="G18" i="1052"/>
  <c r="G14" i="1052" s="1"/>
  <c r="G16" i="1052"/>
  <c r="A26" i="1093" a="1"/>
  <c r="A23" i="1071"/>
  <c r="A21" i="1068"/>
  <c r="A24" i="1065"/>
  <c r="A21" i="1063"/>
  <c r="A30" i="1060"/>
  <c r="A27" i="1056"/>
  <c r="A27" i="1057"/>
  <c r="A22" i="1062"/>
  <c r="A27" i="1054"/>
  <c r="A26" i="1058"/>
  <c r="A21" i="1069"/>
  <c r="A21" i="1066"/>
  <c r="A22" i="1077"/>
  <c r="A21" i="1064"/>
  <c r="A29" i="1080"/>
  <c r="A21" i="1059"/>
  <c r="A21" i="1075"/>
  <c r="G19" i="1063" l="1"/>
  <c r="G20" i="1063" s="1"/>
  <c r="L73" i="1049"/>
  <c r="K73" i="1049" s="1"/>
  <c r="N73" i="1049" s="1"/>
  <c r="O73" i="1049"/>
  <c r="G14" i="1085"/>
  <c r="G37" i="1092"/>
  <c r="A26" i="1093"/>
  <c r="G27" i="1082"/>
  <c r="D18" i="1088"/>
  <c r="G18" i="1088" s="1"/>
  <c r="G15" i="1074"/>
  <c r="G15" i="1078"/>
  <c r="G29" i="1078" s="1"/>
  <c r="G30" i="1078" s="1"/>
  <c r="G41" i="1084"/>
  <c r="D24" i="1085"/>
  <c r="G24" i="1085" s="1"/>
  <c r="G20" i="1088"/>
  <c r="G20" i="1089"/>
  <c r="G32" i="1052"/>
  <c r="G33" i="1084"/>
  <c r="G15" i="1055"/>
  <c r="G15" i="1061"/>
  <c r="E48" i="1049" s="1"/>
  <c r="J48" i="1049" s="1"/>
  <c r="G15" i="1083"/>
  <c r="G33" i="1052"/>
  <c r="G15" i="1065"/>
  <c r="G15" i="1079"/>
  <c r="G25" i="1079" s="1"/>
  <c r="G26" i="1079" s="1"/>
  <c r="G19" i="1084"/>
  <c r="G18" i="1086"/>
  <c r="G18" i="1087"/>
  <c r="G36" i="1092"/>
  <c r="G19" i="1093"/>
  <c r="G20" i="1077"/>
  <c r="G21" i="1077" s="1"/>
  <c r="G18" i="1082"/>
  <c r="F18" i="1093"/>
  <c r="G21" i="1053"/>
  <c r="G19" i="1054"/>
  <c r="G19" i="1088"/>
  <c r="G33" i="1092"/>
  <c r="G15" i="1092" s="1"/>
  <c r="G36" i="1053"/>
  <c r="G21" i="1074"/>
  <c r="G22" i="1074" s="1"/>
  <c r="G53" i="1085"/>
  <c r="G24" i="1089"/>
  <c r="G28" i="1061"/>
  <c r="F48" i="1049" s="1"/>
  <c r="G19" i="1067"/>
  <c r="G20" i="1067" s="1"/>
  <c r="G56" i="1052"/>
  <c r="G17" i="1053"/>
  <c r="G14" i="1053" s="1"/>
  <c r="G13" i="1053" s="1"/>
  <c r="G24" i="1053"/>
  <c r="G24" i="1055"/>
  <c r="G25" i="1055" s="1"/>
  <c r="G15" i="1056"/>
  <c r="G20" i="1084"/>
  <c r="G26" i="1085"/>
  <c r="G22" i="1087"/>
  <c r="G15" i="1054"/>
  <c r="G22" i="1065"/>
  <c r="G23" i="1065" s="1"/>
  <c r="G15" i="1080"/>
  <c r="D31" i="1052"/>
  <c r="G31" i="1052" s="1"/>
  <c r="G30" i="1052" s="1"/>
  <c r="G26" i="1052"/>
  <c r="G25" i="1052" s="1"/>
  <c r="H29" i="1052"/>
  <c r="G15" i="1058"/>
  <c r="G15" i="1060"/>
  <c r="G20" i="1062"/>
  <c r="G21" i="1062" s="1"/>
  <c r="G15" i="1070"/>
  <c r="G30" i="1088"/>
  <c r="G23" i="1090"/>
  <c r="G19" i="1066"/>
  <c r="G20" i="1066" s="1"/>
  <c r="G19" i="1068"/>
  <c r="G20" i="1068" s="1"/>
  <c r="G19" i="1069"/>
  <c r="G20" i="1069" s="1"/>
  <c r="G25" i="1057"/>
  <c r="G26" i="1057" s="1"/>
  <c r="G19" i="1059"/>
  <c r="G20" i="1059" s="1"/>
  <c r="H21" i="1090"/>
  <c r="D18" i="1084"/>
  <c r="G18" i="1084" s="1"/>
  <c r="G20" i="1086"/>
  <c r="D22" i="1090"/>
  <c r="G22" i="1090" s="1"/>
  <c r="G18" i="1093"/>
  <c r="G57" i="1085"/>
  <c r="D18" i="1089"/>
  <c r="G18" i="1089" s="1"/>
  <c r="G19" i="1090"/>
  <c r="G24" i="1070"/>
  <c r="G18" i="1071"/>
  <c r="G14" i="1090"/>
  <c r="G36" i="1090"/>
  <c r="G19" i="1091"/>
  <c r="G20" i="1091" s="1"/>
  <c r="A33" i="1082" a="1"/>
  <c r="A21" i="1067" a="1"/>
  <c r="A23" i="1074" a="1"/>
  <c r="A21" i="1091"/>
  <c r="A27" i="1079"/>
  <c r="A31" i="1078"/>
  <c r="A26" i="1055"/>
  <c r="O48" i="1049" l="1"/>
  <c r="L48" i="1049"/>
  <c r="K48" i="1049" s="1"/>
  <c r="G31" i="1082"/>
  <c r="G32" i="1082" s="1"/>
  <c r="G16" i="1088"/>
  <c r="G13" i="1088" s="1"/>
  <c r="G22" i="1085"/>
  <c r="G13" i="1085" s="1"/>
  <c r="G25" i="1056"/>
  <c r="G26" i="1056" s="1"/>
  <c r="G52" i="1085"/>
  <c r="G64" i="1085" s="1"/>
  <c r="G65" i="1085" s="1"/>
  <c r="G16" i="1093"/>
  <c r="G13" i="1093" s="1"/>
  <c r="G24" i="1093" s="1"/>
  <c r="G25" i="1093" s="1"/>
  <c r="G39" i="1092"/>
  <c r="G40" i="1092" s="1"/>
  <c r="G16" i="1087"/>
  <c r="G13" i="1087" s="1"/>
  <c r="G16" i="1086"/>
  <c r="G13" i="1086" s="1"/>
  <c r="G38" i="1086" s="1"/>
  <c r="G39" i="1086" s="1"/>
  <c r="G23" i="1083"/>
  <c r="G24" i="1083" s="1"/>
  <c r="A23" i="1074"/>
  <c r="A21" i="1067"/>
  <c r="G32" i="1061"/>
  <c r="G33" i="1061" s="1"/>
  <c r="M48" i="1049" s="1"/>
  <c r="N48" i="1049" s="1"/>
  <c r="G28" i="1087"/>
  <c r="G29" i="1087" s="1"/>
  <c r="G35" i="1088"/>
  <c r="G36" i="1088" s="1"/>
  <c r="A33" i="1082"/>
  <c r="G44" i="1053"/>
  <c r="G45" i="1053" s="1"/>
  <c r="G24" i="1058"/>
  <c r="G25" i="1058" s="1"/>
  <c r="G16" i="1084"/>
  <c r="G13" i="1084" s="1"/>
  <c r="G44" i="1084" s="1"/>
  <c r="G45" i="1084" s="1"/>
  <c r="G21" i="1071"/>
  <c r="G22" i="1071" s="1"/>
  <c r="G27" i="1080"/>
  <c r="G28" i="1080" s="1"/>
  <c r="G25" i="1054"/>
  <c r="G26" i="1054" s="1"/>
  <c r="F21" i="1090"/>
  <c r="D21" i="1090"/>
  <c r="G16" i="1089"/>
  <c r="G13" i="1089" s="1"/>
  <c r="G29" i="1089" s="1"/>
  <c r="G30" i="1089" s="1"/>
  <c r="G30" i="1070"/>
  <c r="G31" i="1070" s="1"/>
  <c r="F29" i="1052"/>
  <c r="D29" i="1052"/>
  <c r="G28" i="1060"/>
  <c r="G29" i="1060" s="1"/>
  <c r="A25" i="1083" a="1"/>
  <c r="A34" i="1061" a="1"/>
  <c r="A32" i="1070" a="1"/>
  <c r="A66" i="1085" a="1"/>
  <c r="A41" i="1092"/>
  <c r="A37" i="1088"/>
  <c r="A46" i="1084"/>
  <c r="A30" i="1087"/>
  <c r="A40" i="1086"/>
  <c r="A46" i="1053"/>
  <c r="A31" i="1089"/>
  <c r="A25" i="1083" l="1"/>
  <c r="A34" i="1061"/>
  <c r="A66" i="1085"/>
  <c r="A32" i="1070"/>
  <c r="G21" i="1090"/>
  <c r="G29" i="1052"/>
  <c r="G24" i="1052" l="1"/>
  <c r="G13" i="1052" s="1"/>
  <c r="G96" i="1052" s="1"/>
  <c r="G97" i="1052" s="1"/>
  <c r="G17" i="1090"/>
  <c r="G13" i="1090" s="1"/>
  <c r="G49" i="1090" s="1"/>
  <c r="G50" i="1090" s="1"/>
  <c r="A98" i="1052" a="1"/>
  <c r="A51" i="1090"/>
  <c r="A98" i="1052" l="1"/>
  <c r="D30" i="1021" l="1"/>
  <c r="G30" i="1021" s="1"/>
  <c r="D29" i="1021" l="1"/>
  <c r="D28" i="1021"/>
  <c r="D22" i="1021"/>
  <c r="D17" i="1021"/>
  <c r="D16" i="1021"/>
  <c r="D15" i="1043" l="1"/>
  <c r="G15" i="1043" s="1"/>
  <c r="G14" i="1030" l="1"/>
  <c r="G14" i="1028"/>
  <c r="G14" i="1027"/>
  <c r="G14" i="1026"/>
  <c r="G14" i="1025"/>
  <c r="G14" i="1016"/>
  <c r="E19" i="1050" l="1"/>
  <c r="G19" i="1050" s="1"/>
  <c r="G17" i="1050" s="1"/>
  <c r="F37" i="1049" s="1"/>
  <c r="G14" i="1050"/>
  <c r="G13" i="1050" s="1"/>
  <c r="L37" i="1049" l="1"/>
  <c r="K37" i="1049" s="1"/>
  <c r="O37" i="1049"/>
  <c r="G15" i="1050"/>
  <c r="G20" i="1050" s="1"/>
  <c r="G21" i="1050" s="1"/>
  <c r="M37" i="1049" s="1"/>
  <c r="N37" i="1049" s="1"/>
  <c r="A27" i="1028"/>
  <c r="A21" i="1031"/>
  <c r="A28" i="1003"/>
  <c r="A31" i="1023"/>
  <c r="A25" i="1006"/>
  <c r="A24" i="1027"/>
  <c r="A32" i="1004"/>
  <c r="A21" i="1041"/>
  <c r="A28" i="1000"/>
  <c r="A25" i="1047"/>
  <c r="A28" i="1042"/>
  <c r="A21" i="1030"/>
  <c r="A32" i="1018"/>
  <c r="A32" i="1022"/>
  <c r="A25" i="1007"/>
  <c r="A23" i="1029"/>
  <c r="A34" i="1010"/>
  <c r="A26" i="1014"/>
  <c r="A22" i="999"/>
  <c r="A21" i="1020"/>
  <c r="A24" i="996"/>
  <c r="A30" i="993"/>
  <c r="A30" i="1017"/>
  <c r="A22" i="1050"/>
  <c r="D19" i="1047" l="1"/>
  <c r="G19" i="1047" s="1"/>
  <c r="D17" i="1047"/>
  <c r="D30" i="1043"/>
  <c r="G30" i="1043" s="1"/>
  <c r="D36" i="1043"/>
  <c r="E36" i="1043"/>
  <c r="D18" i="1042"/>
  <c r="G18" i="1042" s="1"/>
  <c r="D17" i="1042"/>
  <c r="G17" i="1042" s="1"/>
  <c r="D18" i="1028"/>
  <c r="D18" i="1027"/>
  <c r="G18" i="1027" s="1"/>
  <c r="D20" i="1026"/>
  <c r="G20" i="1026" s="1"/>
  <c r="D18" i="1026"/>
  <c r="D21" i="1023"/>
  <c r="G21" i="1023" s="1"/>
  <c r="D20" i="1023"/>
  <c r="G20" i="1023" s="1"/>
  <c r="D18" i="1023"/>
  <c r="G18" i="1023" s="1"/>
  <c r="D17" i="1023"/>
  <c r="G17" i="1023" s="1"/>
  <c r="D17" i="1022"/>
  <c r="D19" i="1021"/>
  <c r="G19" i="1021" s="1"/>
  <c r="D21" i="1021"/>
  <c r="D22" i="1018"/>
  <c r="G22" i="1018" s="1"/>
  <c r="D20" i="1018"/>
  <c r="G20" i="1018" s="1"/>
  <c r="D19" i="1017"/>
  <c r="G19" i="1017" s="1"/>
  <c r="D17" i="1017"/>
  <c r="G17" i="1017" s="1"/>
  <c r="D18" i="1014"/>
  <c r="G18" i="1014" s="1"/>
  <c r="D23" i="1010"/>
  <c r="E23" i="1010"/>
  <c r="D21" i="1010"/>
  <c r="E21" i="1010"/>
  <c r="D17" i="1010"/>
  <c r="G17" i="1010" s="1"/>
  <c r="D18" i="1007"/>
  <c r="G18" i="1007" s="1"/>
  <c r="D16" i="1007"/>
  <c r="D18" i="1004"/>
  <c r="G18" i="1004" s="1"/>
  <c r="D18" i="1003"/>
  <c r="G18" i="1003" s="1"/>
  <c r="D17" i="1000"/>
  <c r="G17" i="1000" s="1"/>
  <c r="D17" i="999"/>
  <c r="D17" i="996"/>
  <c r="G17" i="996" s="1"/>
  <c r="D22" i="993"/>
  <c r="G22" i="993" s="1"/>
  <c r="D19" i="993"/>
  <c r="G19" i="993" s="1"/>
  <c r="D21" i="993"/>
  <c r="G21" i="993" s="1"/>
  <c r="D18" i="993"/>
  <c r="D18" i="988"/>
  <c r="G18" i="988" s="1"/>
  <c r="D20" i="1047"/>
  <c r="G20" i="1047" s="1"/>
  <c r="D18" i="1047"/>
  <c r="G18" i="1047" s="1"/>
  <c r="D16" i="1047"/>
  <c r="G16" i="1047" s="1"/>
  <c r="G22" i="1047"/>
  <c r="G21" i="1047" s="1"/>
  <c r="F38" i="1049" s="1"/>
  <c r="G14" i="1047"/>
  <c r="G13" i="1047" s="1"/>
  <c r="D38" i="1049" s="1"/>
  <c r="D35" i="1043"/>
  <c r="G35" i="1043" s="1"/>
  <c r="D34" i="1043"/>
  <c r="G34" i="1043" s="1"/>
  <c r="D33" i="1043"/>
  <c r="G33" i="1043" s="1"/>
  <c r="D31" i="1043"/>
  <c r="G31" i="1043" s="1"/>
  <c r="D29" i="1043"/>
  <c r="G29" i="1043" s="1"/>
  <c r="D28" i="1043"/>
  <c r="G28" i="1043" s="1"/>
  <c r="D27" i="1043"/>
  <c r="G27" i="1043" s="1"/>
  <c r="D25" i="1043"/>
  <c r="G25" i="1043" s="1"/>
  <c r="D24" i="1043"/>
  <c r="G24" i="1043" s="1"/>
  <c r="D23" i="1043"/>
  <c r="G23" i="1043" s="1"/>
  <c r="D22" i="1043"/>
  <c r="G22" i="1043" s="1"/>
  <c r="D21" i="1043"/>
  <c r="G21" i="1043" s="1"/>
  <c r="D20" i="1043"/>
  <c r="G20" i="1043" s="1"/>
  <c r="D19" i="1043"/>
  <c r="G19" i="1043" s="1"/>
  <c r="D18" i="1043"/>
  <c r="G18" i="1043" s="1"/>
  <c r="D17" i="1043"/>
  <c r="G17" i="1043" s="1"/>
  <c r="IO17" i="1043" s="1"/>
  <c r="IO18" i="1043" s="1"/>
  <c r="G37" i="1043"/>
  <c r="E39" i="1043"/>
  <c r="G39" i="1043" s="1"/>
  <c r="G38" i="1043" s="1"/>
  <c r="F36" i="1049" s="1"/>
  <c r="G14" i="1043"/>
  <c r="D23" i="1042"/>
  <c r="G23" i="1042" s="1"/>
  <c r="D22" i="1042"/>
  <c r="G22" i="1042" s="1"/>
  <c r="D21" i="1042"/>
  <c r="G21" i="1042" s="1"/>
  <c r="D20" i="1042"/>
  <c r="G20" i="1042" s="1"/>
  <c r="D19" i="1042"/>
  <c r="G19" i="1042" s="1"/>
  <c r="D16" i="1042"/>
  <c r="G16" i="1042" s="1"/>
  <c r="G24" i="1042"/>
  <c r="G14" i="1042"/>
  <c r="G13" i="1042" s="1"/>
  <c r="D35" i="1049" s="1"/>
  <c r="D16" i="1041"/>
  <c r="G16" i="1041" s="1"/>
  <c r="G15" i="1041" s="1"/>
  <c r="E34" i="1049" s="1"/>
  <c r="G17" i="1041"/>
  <c r="G14" i="1041"/>
  <c r="G13" i="1041" s="1"/>
  <c r="D34" i="1049" s="1"/>
  <c r="O34" i="1049" s="1"/>
  <c r="D23" i="1040"/>
  <c r="G23" i="1040" s="1"/>
  <c r="D22" i="1040"/>
  <c r="G22" i="1040" s="1"/>
  <c r="D21" i="1040"/>
  <c r="G21" i="1040" s="1"/>
  <c r="D20" i="1040"/>
  <c r="G20" i="1040" s="1"/>
  <c r="D19" i="1040"/>
  <c r="G19" i="1040" s="1"/>
  <c r="D18" i="1040"/>
  <c r="G18" i="1040" s="1"/>
  <c r="D17" i="1040"/>
  <c r="G17" i="1040" s="1"/>
  <c r="D16" i="1040"/>
  <c r="G16" i="1040" s="1"/>
  <c r="E29" i="1040"/>
  <c r="G29" i="1040" s="1"/>
  <c r="E27" i="1040"/>
  <c r="G27" i="1040" s="1"/>
  <c r="E26" i="1040"/>
  <c r="G26" i="1040" s="1"/>
  <c r="G14" i="1040"/>
  <c r="G13" i="1040" s="1"/>
  <c r="D33" i="1049" s="1"/>
  <c r="G17" i="1031"/>
  <c r="G15" i="1031"/>
  <c r="G14" i="1031"/>
  <c r="G13" i="1031" s="1"/>
  <c r="D32" i="1049" s="1"/>
  <c r="G17" i="1030"/>
  <c r="G15" i="1030"/>
  <c r="G13" i="1030"/>
  <c r="D31" i="1049" s="1"/>
  <c r="E20" i="1029"/>
  <c r="G20" i="1029" s="1"/>
  <c r="E19" i="1029"/>
  <c r="G19" i="1029" s="1"/>
  <c r="D16" i="1029"/>
  <c r="G16" i="1029" s="1"/>
  <c r="E18" i="1029"/>
  <c r="G18" i="1029" s="1"/>
  <c r="G14" i="1029"/>
  <c r="G13" i="1029" s="1"/>
  <c r="D30" i="1049" s="1"/>
  <c r="D21" i="1028"/>
  <c r="G21" i="1028" s="1"/>
  <c r="D20" i="1028"/>
  <c r="G20" i="1028" s="1"/>
  <c r="D19" i="1028"/>
  <c r="G19" i="1028" s="1"/>
  <c r="D17" i="1028"/>
  <c r="G17" i="1028" s="1"/>
  <c r="D22" i="1028"/>
  <c r="G22" i="1028" s="1"/>
  <c r="G23" i="1028"/>
  <c r="G13" i="1028"/>
  <c r="D22" i="1049" s="1"/>
  <c r="D19" i="1027"/>
  <c r="G19" i="1027" s="1"/>
  <c r="D17" i="1027"/>
  <c r="G17" i="1027" s="1"/>
  <c r="G20" i="1027"/>
  <c r="G13" i="1027"/>
  <c r="D29" i="1049" s="1"/>
  <c r="D21" i="1026"/>
  <c r="G21" i="1026" s="1"/>
  <c r="D19" i="1026"/>
  <c r="G19" i="1026" s="1"/>
  <c r="D17" i="1026"/>
  <c r="G17" i="1026" s="1"/>
  <c r="G22" i="1026"/>
  <c r="G13" i="1026"/>
  <c r="D28" i="1049" s="1"/>
  <c r="D17" i="1025"/>
  <c r="G17" i="1025" s="1"/>
  <c r="G15" i="1025" s="1"/>
  <c r="E27" i="1049" s="1"/>
  <c r="G18" i="1025"/>
  <c r="G13" i="1025"/>
  <c r="D27" i="1049" s="1"/>
  <c r="D25" i="1023"/>
  <c r="G25" i="1023" s="1"/>
  <c r="D24" i="1023"/>
  <c r="G24" i="1023" s="1"/>
  <c r="D23" i="1023"/>
  <c r="G23" i="1023" s="1"/>
  <c r="D19" i="1023"/>
  <c r="G19" i="1023" s="1"/>
  <c r="D16" i="1023"/>
  <c r="G16" i="1023" s="1"/>
  <c r="D26" i="1023"/>
  <c r="G26" i="1023" s="1"/>
  <c r="G28" i="1023"/>
  <c r="G27" i="1023" s="1"/>
  <c r="F26" i="1049" s="1"/>
  <c r="G14" i="1023"/>
  <c r="G13" i="1023" s="1"/>
  <c r="D26" i="1049" s="1"/>
  <c r="D24" i="1022"/>
  <c r="G24" i="1022" s="1"/>
  <c r="D23" i="1022"/>
  <c r="G23" i="1022" s="1"/>
  <c r="D21" i="1022"/>
  <c r="G21" i="1022" s="1"/>
  <c r="D20" i="1022"/>
  <c r="G20" i="1022" s="1"/>
  <c r="D19" i="1022"/>
  <c r="G19" i="1022" s="1"/>
  <c r="D18" i="1022"/>
  <c r="G18" i="1022" s="1"/>
  <c r="D16" i="1022"/>
  <c r="G16" i="1022" s="1"/>
  <c r="D25" i="1022"/>
  <c r="G25" i="1022" s="1"/>
  <c r="E29" i="1022"/>
  <c r="G29" i="1022" s="1"/>
  <c r="E28" i="1022"/>
  <c r="G28" i="1022" s="1"/>
  <c r="E27" i="1022"/>
  <c r="G27" i="1022" s="1"/>
  <c r="G14" i="1022"/>
  <c r="G13" i="1022" s="1"/>
  <c r="D25" i="1049" s="1"/>
  <c r="D32" i="1021"/>
  <c r="G32" i="1021" s="1"/>
  <c r="D31" i="1021"/>
  <c r="G31" i="1021" s="1"/>
  <c r="G29" i="1021"/>
  <c r="G28" i="1021"/>
  <c r="G26" i="1021"/>
  <c r="D25" i="1021"/>
  <c r="G25" i="1021" s="1"/>
  <c r="D24" i="1021"/>
  <c r="G24" i="1021" s="1"/>
  <c r="D23" i="1021"/>
  <c r="G23" i="1021" s="1"/>
  <c r="G22" i="1021"/>
  <c r="D20" i="1021"/>
  <c r="G20" i="1021" s="1"/>
  <c r="D18" i="1021"/>
  <c r="G18" i="1021" s="1"/>
  <c r="G17" i="1021"/>
  <c r="G16" i="1021"/>
  <c r="G33" i="1021"/>
  <c r="G14" i="1021"/>
  <c r="G13" i="1021" s="1"/>
  <c r="D24" i="1049" s="1"/>
  <c r="O30" i="1049" l="1"/>
  <c r="L32" i="1049"/>
  <c r="K32" i="1049" s="1"/>
  <c r="O32" i="1049"/>
  <c r="L27" i="1049"/>
  <c r="K27" i="1049" s="1"/>
  <c r="O27" i="1049"/>
  <c r="L31" i="1049"/>
  <c r="K31" i="1049" s="1"/>
  <c r="O31" i="1049"/>
  <c r="G23" i="1010"/>
  <c r="L34" i="1049"/>
  <c r="K34" i="1049" s="1"/>
  <c r="G15" i="1040"/>
  <c r="G26" i="1022"/>
  <c r="F25" i="1049" s="1"/>
  <c r="J34" i="1049"/>
  <c r="G13" i="1043"/>
  <c r="D36" i="1049" s="1"/>
  <c r="G17" i="1029"/>
  <c r="F30" i="1049" s="1"/>
  <c r="G25" i="1040"/>
  <c r="F33" i="1049" s="1"/>
  <c r="O33" i="1049" s="1"/>
  <c r="G15" i="1029"/>
  <c r="E30" i="1049" s="1"/>
  <c r="G36" i="1043"/>
  <c r="G16" i="1043" s="1"/>
  <c r="E36" i="1049" s="1"/>
  <c r="G18" i="1028"/>
  <c r="G15" i="1028" s="1"/>
  <c r="E22" i="1049" s="1"/>
  <c r="L22" i="1049" s="1"/>
  <c r="K22" i="1049" s="1"/>
  <c r="G18" i="1026"/>
  <c r="G15" i="1026" s="1"/>
  <c r="E28" i="1049" s="1"/>
  <c r="G17" i="999"/>
  <c r="G17" i="1022"/>
  <c r="G15" i="1022" s="1"/>
  <c r="E25" i="1049" s="1"/>
  <c r="O25" i="1049" s="1"/>
  <c r="G19" i="1031"/>
  <c r="G20" i="1031" s="1"/>
  <c r="M32" i="1049" s="1"/>
  <c r="N32" i="1049" s="1"/>
  <c r="G19" i="1030"/>
  <c r="G20" i="1030" s="1"/>
  <c r="M31" i="1049" s="1"/>
  <c r="N31" i="1049" s="1"/>
  <c r="G20" i="1025"/>
  <c r="G21" i="1025" s="1"/>
  <c r="G16" i="1007"/>
  <c r="G17" i="1047"/>
  <c r="G15" i="1047" s="1"/>
  <c r="G21" i="1021"/>
  <c r="G15" i="1021" s="1"/>
  <c r="E24" i="1049" s="1"/>
  <c r="O24" i="1049" s="1"/>
  <c r="G21" i="1010"/>
  <c r="G18" i="993"/>
  <c r="G15" i="1042"/>
  <c r="E35" i="1049" s="1"/>
  <c r="O35" i="1049" s="1"/>
  <c r="G19" i="1041"/>
  <c r="G20" i="1041" s="1"/>
  <c r="M34" i="1049" s="1"/>
  <c r="E33" i="1049"/>
  <c r="G15" i="1027"/>
  <c r="E29" i="1049" s="1"/>
  <c r="L29" i="1049" s="1"/>
  <c r="K29" i="1049" s="1"/>
  <c r="G15" i="1023"/>
  <c r="E26" i="1049" s="1"/>
  <c r="O26" i="1049" s="1"/>
  <c r="D16" i="1020"/>
  <c r="G16" i="1020" s="1"/>
  <c r="G15" i="1020" s="1"/>
  <c r="E23" i="1049" s="1"/>
  <c r="E18" i="1020"/>
  <c r="G18" i="1020" s="1"/>
  <c r="G17" i="1020" s="1"/>
  <c r="F23" i="1049" s="1"/>
  <c r="G14" i="1020"/>
  <c r="G13" i="1020" s="1"/>
  <c r="D23" i="1049" s="1"/>
  <c r="A22" i="1025" a="1"/>
  <c r="L28" i="1049" l="1"/>
  <c r="K28" i="1049" s="1"/>
  <c r="O28" i="1049"/>
  <c r="O36" i="1049"/>
  <c r="N34" i="1049"/>
  <c r="O29" i="1049"/>
  <c r="O23" i="1049"/>
  <c r="O22" i="1049"/>
  <c r="N22" i="1049"/>
  <c r="J33" i="1049"/>
  <c r="J35" i="1049"/>
  <c r="L35" i="1049" s="1"/>
  <c r="K35" i="1049" s="1"/>
  <c r="J26" i="1049"/>
  <c r="L26" i="1049" s="1"/>
  <c r="K26" i="1049" s="1"/>
  <c r="N26" i="1049" s="1"/>
  <c r="J24" i="1049"/>
  <c r="L24" i="1049" s="1"/>
  <c r="K24" i="1049" s="1"/>
  <c r="L36" i="1049"/>
  <c r="K36" i="1049" s="1"/>
  <c r="J30" i="1049"/>
  <c r="L30" i="1049" s="1"/>
  <c r="K30" i="1049" s="1"/>
  <c r="J23" i="1049"/>
  <c r="L23" i="1049" s="1"/>
  <c r="K23" i="1049" s="1"/>
  <c r="J25" i="1049"/>
  <c r="L25" i="1049" s="1"/>
  <c r="K25" i="1049" s="1"/>
  <c r="A22" i="1025"/>
  <c r="M27" i="1049"/>
  <c r="N27" i="1049" s="1"/>
  <c r="G23" i="1047"/>
  <c r="G24" i="1047" s="1"/>
  <c r="M38" i="1049" s="1"/>
  <c r="E38" i="1049"/>
  <c r="O38" i="1049" s="1"/>
  <c r="G21" i="1029"/>
  <c r="G22" i="1029" s="1"/>
  <c r="M30" i="1049" s="1"/>
  <c r="G22" i="1027"/>
  <c r="G23" i="1027" s="1"/>
  <c r="M29" i="1049" s="1"/>
  <c r="N29" i="1049" s="1"/>
  <c r="G25" i="1028"/>
  <c r="G26" i="1028" s="1"/>
  <c r="M22" i="1049" s="1"/>
  <c r="G30" i="1040"/>
  <c r="G31" i="1040" s="1"/>
  <c r="G30" i="1022"/>
  <c r="G31" i="1022" s="1"/>
  <c r="M25" i="1049" s="1"/>
  <c r="G26" i="1042"/>
  <c r="G27" i="1042" s="1"/>
  <c r="M35" i="1049" s="1"/>
  <c r="G29" i="1023"/>
  <c r="G30" i="1023" s="1"/>
  <c r="M26" i="1049" s="1"/>
  <c r="G40" i="1043"/>
  <c r="G41" i="1043" s="1"/>
  <c r="G24" i="1026"/>
  <c r="G25" i="1026" s="1"/>
  <c r="G35" i="1021"/>
  <c r="G36" i="1021" s="1"/>
  <c r="M24" i="1049" s="1"/>
  <c r="G19" i="1020"/>
  <c r="G20" i="1020" s="1"/>
  <c r="M23" i="1049" s="1"/>
  <c r="A26" i="1026" a="1"/>
  <c r="A37" i="1021" a="1"/>
  <c r="A32" i="1040" a="1"/>
  <c r="A42" i="1043"/>
  <c r="M36" i="1049" l="1"/>
  <c r="N24" i="1049"/>
  <c r="A32" i="1040"/>
  <c r="M33" i="1049"/>
  <c r="N36" i="1049"/>
  <c r="N23" i="1049"/>
  <c r="N30" i="1049"/>
  <c r="N25" i="1049"/>
  <c r="N35" i="1049"/>
  <c r="L33" i="1049"/>
  <c r="J38" i="1049"/>
  <c r="L38" i="1049" s="1"/>
  <c r="K38" i="1049" s="1"/>
  <c r="N38" i="1049" s="1"/>
  <c r="A26" i="1026"/>
  <c r="M28" i="1049"/>
  <c r="N28" i="1049" s="1"/>
  <c r="A37" i="1021"/>
  <c r="K33" i="1049" l="1"/>
  <c r="N33" i="1049" s="1"/>
  <c r="D27" i="1018"/>
  <c r="G27" i="1018" s="1"/>
  <c r="D26" i="1018"/>
  <c r="G26" i="1018" s="1"/>
  <c r="D25" i="1018"/>
  <c r="G25" i="1018" s="1"/>
  <c r="D24" i="1018"/>
  <c r="G24" i="1018" s="1"/>
  <c r="D23" i="1018"/>
  <c r="G23" i="1018" s="1"/>
  <c r="D21" i="1018"/>
  <c r="G21" i="1018" s="1"/>
  <c r="D19" i="1018"/>
  <c r="G19" i="1018" s="1"/>
  <c r="D18" i="1018"/>
  <c r="G18" i="1018" s="1"/>
  <c r="D17" i="1018"/>
  <c r="G17" i="1018" s="1"/>
  <c r="D16" i="1018"/>
  <c r="G16" i="1018" s="1"/>
  <c r="G28" i="1018"/>
  <c r="G14" i="1018"/>
  <c r="G13" i="1018" s="1"/>
  <c r="D21" i="1049" s="1"/>
  <c r="G24" i="1017"/>
  <c r="D23" i="1017"/>
  <c r="G23" i="1017" s="1"/>
  <c r="D22" i="1017"/>
  <c r="G22" i="1017" s="1"/>
  <c r="O21" i="1049" l="1"/>
  <c r="G15" i="1018"/>
  <c r="E21" i="1049" s="1"/>
  <c r="D21" i="1017"/>
  <c r="G21" i="1017" s="1"/>
  <c r="D20" i="1017"/>
  <c r="G20" i="1017" s="1"/>
  <c r="D18" i="1017"/>
  <c r="G18" i="1017" s="1"/>
  <c r="D16" i="1017"/>
  <c r="G16" i="1017" s="1"/>
  <c r="E27" i="1017"/>
  <c r="G27" i="1017" s="1"/>
  <c r="G26" i="1017" s="1"/>
  <c r="F20" i="1049" s="1"/>
  <c r="D25" i="1017"/>
  <c r="G25" i="1017" s="1"/>
  <c r="G14" i="1017"/>
  <c r="G13" i="1017" s="1"/>
  <c r="D20" i="1049" s="1"/>
  <c r="D19" i="1016"/>
  <c r="G19" i="1016" s="1"/>
  <c r="D18" i="1016"/>
  <c r="G18" i="1016" s="1"/>
  <c r="D17" i="1016"/>
  <c r="G17" i="1016" s="1"/>
  <c r="G20" i="1016"/>
  <c r="G13" i="1016"/>
  <c r="D39" i="1049" s="1"/>
  <c r="D22" i="1015"/>
  <c r="G22" i="1015" s="1"/>
  <c r="D21" i="1015"/>
  <c r="G21" i="1015" s="1"/>
  <c r="D20" i="1015"/>
  <c r="G20" i="1015" s="1"/>
  <c r="D19" i="1015"/>
  <c r="G19" i="1015" s="1"/>
  <c r="D18" i="1015"/>
  <c r="G18" i="1015" s="1"/>
  <c r="G16" i="1015"/>
  <c r="G23" i="1015"/>
  <c r="G14" i="1015"/>
  <c r="D21" i="1014"/>
  <c r="G21" i="1014" s="1"/>
  <c r="D20" i="1014"/>
  <c r="D19" i="1014"/>
  <c r="G19" i="1014" s="1"/>
  <c r="D17" i="1014"/>
  <c r="G17" i="1014" s="1"/>
  <c r="G22" i="1014"/>
  <c r="G20" i="1014"/>
  <c r="G14" i="1014"/>
  <c r="G13" i="1014" s="1"/>
  <c r="D18" i="1049" s="1"/>
  <c r="D29" i="1010"/>
  <c r="G29" i="1010" s="1"/>
  <c r="D28" i="1010"/>
  <c r="G28" i="1010" s="1"/>
  <c r="D27" i="1010"/>
  <c r="G27" i="1010" s="1"/>
  <c r="D26" i="1010"/>
  <c r="G26" i="1010" s="1"/>
  <c r="D25" i="1010"/>
  <c r="G25" i="1010" s="1"/>
  <c r="D24" i="1010"/>
  <c r="G24" i="1010" s="1"/>
  <c r="D22" i="1010"/>
  <c r="G22" i="1010" s="1"/>
  <c r="D20" i="1010"/>
  <c r="G20" i="1010" s="1"/>
  <c r="D19" i="1010"/>
  <c r="G19" i="1010" s="1"/>
  <c r="D18" i="1010"/>
  <c r="G18" i="1010" s="1"/>
  <c r="D16" i="1010"/>
  <c r="G16" i="1010" s="1"/>
  <c r="E31" i="1010"/>
  <c r="G31" i="1010" s="1"/>
  <c r="G30" i="1010" s="1"/>
  <c r="F17" i="1049" s="1"/>
  <c r="G14" i="1010"/>
  <c r="G13" i="1010" s="1"/>
  <c r="D17" i="1049" s="1"/>
  <c r="D20" i="1007"/>
  <c r="G20" i="1007" s="1"/>
  <c r="D19" i="1007"/>
  <c r="G19" i="1007" s="1"/>
  <c r="D17" i="1007"/>
  <c r="G17" i="1007" s="1"/>
  <c r="D15" i="1007"/>
  <c r="G15" i="1007" s="1"/>
  <c r="G21" i="1007"/>
  <c r="D20" i="1006"/>
  <c r="G20" i="1006" s="1"/>
  <c r="D19" i="1006"/>
  <c r="G19" i="1006" s="1"/>
  <c r="D18" i="1006"/>
  <c r="G18" i="1006" s="1"/>
  <c r="D17" i="1006"/>
  <c r="G17" i="1006" s="1"/>
  <c r="D16" i="1006"/>
  <c r="G16" i="1006" s="1"/>
  <c r="E22" i="1006"/>
  <c r="G22" i="1006" s="1"/>
  <c r="G21" i="1006" s="1"/>
  <c r="F13" i="1049" s="1"/>
  <c r="G14" i="1006"/>
  <c r="G13" i="1006" s="1"/>
  <c r="D13" i="1049" s="1"/>
  <c r="D24" i="1004"/>
  <c r="G24" i="1004" s="1"/>
  <c r="D23" i="1004"/>
  <c r="G23" i="1004" s="1"/>
  <c r="D22" i="1004"/>
  <c r="G22" i="1004" s="1"/>
  <c r="D21" i="1004"/>
  <c r="G21" i="1004" s="1"/>
  <c r="D20" i="1004"/>
  <c r="G20" i="1004" s="1"/>
  <c r="D19" i="1004"/>
  <c r="G19" i="1004" s="1"/>
  <c r="D17" i="1004"/>
  <c r="G17" i="1004" s="1"/>
  <c r="D16" i="1004"/>
  <c r="G16" i="1004" s="1"/>
  <c r="E29" i="1004"/>
  <c r="G29" i="1004" s="1"/>
  <c r="E28" i="1004"/>
  <c r="G28" i="1004" s="1"/>
  <c r="E27" i="1004"/>
  <c r="G27" i="1004" s="1"/>
  <c r="E26" i="1004"/>
  <c r="G26" i="1004" s="1"/>
  <c r="G14" i="1004"/>
  <c r="G13" i="1004" s="1"/>
  <c r="D12" i="1049" s="1"/>
  <c r="D23" i="1003"/>
  <c r="G23" i="1003" s="1"/>
  <c r="D22" i="1003"/>
  <c r="G22" i="1003" s="1"/>
  <c r="D21" i="1003"/>
  <c r="G21" i="1003" s="1"/>
  <c r="D20" i="1003"/>
  <c r="G20" i="1003" s="1"/>
  <c r="D19" i="1003"/>
  <c r="G19" i="1003" s="1"/>
  <c r="D17" i="1003"/>
  <c r="G17" i="1003" s="1"/>
  <c r="D16" i="1003"/>
  <c r="G24" i="1003"/>
  <c r="G16" i="1003"/>
  <c r="G14" i="1003"/>
  <c r="G13" i="1003" s="1"/>
  <c r="D11" i="1049" s="1"/>
  <c r="D23" i="1000"/>
  <c r="D22" i="1000"/>
  <c r="G22" i="1000" s="1"/>
  <c r="D21" i="1000"/>
  <c r="G21" i="1000" s="1"/>
  <c r="D20" i="1000"/>
  <c r="G20" i="1000" s="1"/>
  <c r="D19" i="1000"/>
  <c r="G19" i="1000" s="1"/>
  <c r="D18" i="1000"/>
  <c r="G18" i="1000" s="1"/>
  <c r="D16" i="1000"/>
  <c r="G16" i="1000" s="1"/>
  <c r="E25" i="1000"/>
  <c r="G25" i="1000" s="1"/>
  <c r="G14" i="1000"/>
  <c r="G13" i="1000" s="1"/>
  <c r="D10" i="1049" s="1"/>
  <c r="D16" i="999"/>
  <c r="G16" i="999" s="1"/>
  <c r="G18" i="999"/>
  <c r="G14" i="999"/>
  <c r="G13" i="999" s="1"/>
  <c r="D9" i="1049" s="1"/>
  <c r="E21" i="996"/>
  <c r="G21" i="996" s="1"/>
  <c r="E20" i="996"/>
  <c r="G20" i="996" s="1"/>
  <c r="D16" i="996"/>
  <c r="G16" i="996" s="1"/>
  <c r="E19" i="996"/>
  <c r="G19" i="996" s="1"/>
  <c r="G14" i="996"/>
  <c r="G13" i="996" s="1"/>
  <c r="D7" i="1049" s="1"/>
  <c r="D24" i="993"/>
  <c r="G24" i="993" s="1"/>
  <c r="D23" i="993"/>
  <c r="G23" i="993" s="1"/>
  <c r="D25" i="993"/>
  <c r="G25" i="993" s="1"/>
  <c r="D20" i="993"/>
  <c r="G20" i="993" s="1"/>
  <c r="D17" i="993"/>
  <c r="G17" i="993" s="1"/>
  <c r="G26" i="993"/>
  <c r="G14" i="993"/>
  <c r="G13" i="993" s="1"/>
  <c r="G21" i="988"/>
  <c r="D20" i="988"/>
  <c r="G20" i="988" s="1"/>
  <c r="D19" i="988"/>
  <c r="G19" i="988" s="1"/>
  <c r="D17" i="988"/>
  <c r="G17" i="988" s="1"/>
  <c r="G14" i="988"/>
  <c r="G13" i="988" s="1"/>
  <c r="G15" i="988" l="1"/>
  <c r="E5" i="1049" s="1"/>
  <c r="O5" i="1049" s="1"/>
  <c r="L5" i="1049"/>
  <c r="J21" i="1049"/>
  <c r="L21" i="1049" s="1"/>
  <c r="K21" i="1049" s="1"/>
  <c r="G14" i="1007"/>
  <c r="E14" i="1049" s="1"/>
  <c r="O14" i="1049" s="1"/>
  <c r="G18" i="996"/>
  <c r="F7" i="1049" s="1"/>
  <c r="G15" i="993"/>
  <c r="E6" i="1049" s="1"/>
  <c r="G25" i="1004"/>
  <c r="F12" i="1049" s="1"/>
  <c r="G15" i="999"/>
  <c r="G15" i="1006"/>
  <c r="G15" i="1010"/>
  <c r="E17" i="1049" s="1"/>
  <c r="O17" i="1049" s="1"/>
  <c r="G15" i="1014"/>
  <c r="E18" i="1049" s="1"/>
  <c r="L18" i="1049" s="1"/>
  <c r="K18" i="1049" s="1"/>
  <c r="G15" i="996"/>
  <c r="E7" i="1049" s="1"/>
  <c r="O7" i="1049" s="1"/>
  <c r="G15" i="1003"/>
  <c r="E11" i="1049" s="1"/>
  <c r="O11" i="1049" s="1"/>
  <c r="G15" i="1004"/>
  <c r="E12" i="1049" s="1"/>
  <c r="O12" i="1049" s="1"/>
  <c r="G24" i="1014"/>
  <c r="G17" i="1015"/>
  <c r="E19" i="1049" s="1"/>
  <c r="G30" i="1018"/>
  <c r="G31" i="1018" s="1"/>
  <c r="M21" i="1049" s="1"/>
  <c r="G13" i="1015"/>
  <c r="D19" i="1049" s="1"/>
  <c r="O19" i="1049" s="1"/>
  <c r="G15" i="1017"/>
  <c r="E20" i="1049" s="1"/>
  <c r="O20" i="1049" s="1"/>
  <c r="G15" i="1016"/>
  <c r="E39" i="1049" s="1"/>
  <c r="L39" i="1049" s="1"/>
  <c r="K39" i="1049" s="1"/>
  <c r="G23" i="1000"/>
  <c r="G24" i="1000"/>
  <c r="F10" i="1049" s="1"/>
  <c r="G20" i="999"/>
  <c r="G21" i="999" s="1"/>
  <c r="M9" i="1049" s="1"/>
  <c r="N21" i="1049" l="1"/>
  <c r="O39" i="1049"/>
  <c r="D79" i="1049"/>
  <c r="D82" i="1049" s="1"/>
  <c r="L6" i="1049"/>
  <c r="K6" i="1049" s="1"/>
  <c r="O6" i="1049"/>
  <c r="O18" i="1049"/>
  <c r="F79" i="1049"/>
  <c r="F82" i="1049" s="1"/>
  <c r="J17" i="1049"/>
  <c r="L17" i="1049" s="1"/>
  <c r="K17" i="1049" s="1"/>
  <c r="J19" i="1049"/>
  <c r="L19" i="1049" s="1"/>
  <c r="K19" i="1049" s="1"/>
  <c r="J12" i="1049"/>
  <c r="L12" i="1049" s="1"/>
  <c r="K12" i="1049" s="1"/>
  <c r="J20" i="1049"/>
  <c r="L20" i="1049" s="1"/>
  <c r="K20" i="1049" s="1"/>
  <c r="J11" i="1049"/>
  <c r="L11" i="1049" s="1"/>
  <c r="K11" i="1049" s="1"/>
  <c r="J7" i="1049"/>
  <c r="J14" i="1049"/>
  <c r="L14" i="1049" s="1"/>
  <c r="K14" i="1049" s="1"/>
  <c r="N14" i="1049" s="1"/>
  <c r="G23" i="1006"/>
  <c r="G24" i="1006" s="1"/>
  <c r="M13" i="1049" s="1"/>
  <c r="E13" i="1049"/>
  <c r="O13" i="1049" s="1"/>
  <c r="E9" i="1049"/>
  <c r="O9" i="1049" s="1"/>
  <c r="G15" i="1000"/>
  <c r="G22" i="996"/>
  <c r="G23" i="996" s="1"/>
  <c r="M7" i="1049" s="1"/>
  <c r="G25" i="1014"/>
  <c r="M18" i="1049" s="1"/>
  <c r="N18" i="1049" s="1"/>
  <c r="G22" i="1016"/>
  <c r="G23" i="1016" s="1"/>
  <c r="G28" i="1017"/>
  <c r="G29" i="1017" s="1"/>
  <c r="M20" i="1049" s="1"/>
  <c r="G26" i="1003"/>
  <c r="G27" i="1003" s="1"/>
  <c r="M11" i="1049" s="1"/>
  <c r="G32" i="1010"/>
  <c r="G33" i="1010" s="1"/>
  <c r="M17" i="1049" s="1"/>
  <c r="G28" i="993"/>
  <c r="G29" i="993" s="1"/>
  <c r="M6" i="1049" s="1"/>
  <c r="N6" i="1049" s="1"/>
  <c r="G25" i="1015"/>
  <c r="G26" i="1015" s="1"/>
  <c r="G23" i="1007"/>
  <c r="G24" i="1007" s="1"/>
  <c r="M14" i="1049" s="1"/>
  <c r="G30" i="1004"/>
  <c r="G31" i="1004" s="1"/>
  <c r="M12" i="1049" s="1"/>
  <c r="G23" i="988"/>
  <c r="G24" i="988" s="1"/>
  <c r="A24" i="1016" a="1"/>
  <c r="A27" i="1015" a="1"/>
  <c r="A25" i="988"/>
  <c r="M5" i="1049" l="1"/>
  <c r="N11" i="1049"/>
  <c r="N12" i="1049"/>
  <c r="N17" i="1049"/>
  <c r="N20" i="1049"/>
  <c r="L7" i="1049"/>
  <c r="J9" i="1049"/>
  <c r="L9" i="1049" s="1"/>
  <c r="K9" i="1049" s="1"/>
  <c r="N9" i="1049" s="1"/>
  <c r="J13" i="1049"/>
  <c r="L13" i="1049" s="1"/>
  <c r="K13" i="1049" s="1"/>
  <c r="N13" i="1049" s="1"/>
  <c r="A27" i="1015"/>
  <c r="A24" i="1016"/>
  <c r="M19" i="1049"/>
  <c r="N19" i="1049" s="1"/>
  <c r="M39" i="1049"/>
  <c r="N39" i="1049" s="1"/>
  <c r="E10" i="1049"/>
  <c r="K5" i="1049"/>
  <c r="G26" i="1000"/>
  <c r="G27" i="1000" s="1"/>
  <c r="M10" i="1049" s="1"/>
  <c r="M79" i="1049" s="1"/>
  <c r="E79" i="1049" l="1"/>
  <c r="E82" i="1049" s="1"/>
  <c r="O10" i="1049"/>
  <c r="O79" i="1049" s="1"/>
  <c r="N5" i="1049"/>
  <c r="IO24" i="988"/>
  <c r="K7" i="1049"/>
  <c r="J10" i="1049"/>
  <c r="N7" i="1049" l="1"/>
  <c r="L10" i="1049"/>
  <c r="L79" i="1049" s="1"/>
  <c r="J79" i="1049"/>
  <c r="J82" i="1049" s="1"/>
  <c r="K10" i="1049"/>
  <c r="N10" i="1049" s="1"/>
  <c r="F416" i="266"/>
  <c r="K79" i="1049" l="1"/>
  <c r="F520" i="266"/>
  <c r="F816" i="266" l="1"/>
  <c r="F855" i="266"/>
  <c r="F623" i="266"/>
  <c r="F68" i="266" l="1"/>
  <c r="F53" i="266"/>
  <c r="F28" i="266"/>
  <c r="F31" i="266"/>
  <c r="F41" i="266"/>
  <c r="F58" i="266"/>
  <c r="F49" i="266"/>
  <c r="F61" i="266"/>
  <c r="F54" i="266" l="1"/>
  <c r="F573" i="266" l="1"/>
  <c r="F394" i="266"/>
  <c r="F1323" i="266"/>
  <c r="F984" i="266"/>
  <c r="F363" i="266"/>
  <c r="F403" i="266"/>
  <c r="F1028" i="266"/>
  <c r="F385" i="266"/>
  <c r="F733" i="266" l="1"/>
  <c r="D1057" i="266" l="1"/>
  <c r="D884" i="266"/>
  <c r="D1080" i="266"/>
  <c r="D386" i="266"/>
  <c r="D1193" i="266"/>
  <c r="D1221" i="266"/>
  <c r="D714" i="266"/>
  <c r="D995" i="266"/>
  <c r="D130" i="266"/>
  <c r="D74" i="266"/>
  <c r="D430" i="266"/>
  <c r="D1206" i="266"/>
  <c r="D477" i="266"/>
  <c r="D642" i="266"/>
  <c r="D1085" i="266"/>
  <c r="D1269" i="266"/>
  <c r="D1237" i="266"/>
  <c r="D33" i="266"/>
  <c r="D868" i="266"/>
  <c r="D1045" i="266"/>
  <c r="D1050" i="266"/>
  <c r="D1104" i="266"/>
  <c r="D1356" i="266"/>
  <c r="D547" i="266"/>
  <c r="D161" i="266"/>
  <c r="D1041" i="266"/>
  <c r="D2" i="266"/>
  <c r="D1273" i="266"/>
  <c r="D11" i="266"/>
  <c r="D562" i="266"/>
  <c r="D680" i="266"/>
  <c r="D88" i="266"/>
  <c r="D148" i="266"/>
  <c r="D418" i="266"/>
  <c r="D1181" i="266"/>
  <c r="D366" i="266"/>
  <c r="D489" i="266"/>
  <c r="D957" i="266"/>
  <c r="D195" i="266"/>
  <c r="D1092" i="266"/>
  <c r="D595" i="266"/>
  <c r="D432" i="266"/>
  <c r="D1073" i="266"/>
  <c r="D653" i="266"/>
  <c r="D925" i="266"/>
  <c r="D64" i="266"/>
  <c r="D268" i="266"/>
  <c r="D224" i="266"/>
  <c r="D188" i="266"/>
  <c r="D609" i="266"/>
  <c r="D1160" i="266"/>
  <c r="D466" i="266"/>
  <c r="D624" i="266"/>
  <c r="D494" i="266"/>
  <c r="D959" i="266"/>
  <c r="D206" i="266"/>
  <c r="D749" i="266"/>
  <c r="D278" i="266"/>
  <c r="D998" i="266"/>
  <c r="D1211" i="266"/>
  <c r="D952" i="266"/>
  <c r="D426" i="266"/>
  <c r="D1251" i="266"/>
  <c r="D837" i="266"/>
  <c r="D1332" i="266"/>
  <c r="D906" i="266"/>
  <c r="D1121" i="266"/>
  <c r="D802" i="266"/>
  <c r="D1068" i="266"/>
  <c r="D808" i="266"/>
  <c r="D1314" i="266"/>
  <c r="D787" i="266"/>
  <c r="D504" i="266"/>
  <c r="D194" i="266"/>
  <c r="D789" i="266"/>
  <c r="D132" i="266"/>
  <c r="D478" i="266"/>
  <c r="D880" i="266"/>
  <c r="D481" i="266"/>
  <c r="D1341" i="266"/>
  <c r="D204" i="266"/>
  <c r="D410" i="266"/>
  <c r="D602" i="266"/>
  <c r="D295" i="266"/>
  <c r="D999" i="266"/>
  <c r="D559" i="266"/>
  <c r="D966" i="266"/>
  <c r="D542" i="266"/>
  <c r="D420" i="266"/>
  <c r="D1216" i="266"/>
  <c r="D153" i="266"/>
  <c r="D905" i="266"/>
  <c r="D384" i="266"/>
  <c r="D782" i="266"/>
  <c r="D283" i="266"/>
  <c r="D865" i="266"/>
  <c r="D234" i="266"/>
  <c r="D1224" i="266"/>
  <c r="D571" i="266"/>
  <c r="D1047" i="266"/>
  <c r="D156" i="266"/>
  <c r="D592" i="266"/>
  <c r="D1119" i="266"/>
  <c r="D1231" i="266"/>
  <c r="D896" i="266"/>
  <c r="D276" i="266"/>
  <c r="D1145" i="266"/>
  <c r="D335" i="266"/>
  <c r="D378" i="266"/>
  <c r="D1334" i="266"/>
  <c r="D669" i="266"/>
  <c r="D348" i="266"/>
  <c r="D1083" i="266"/>
  <c r="D1027" i="266"/>
  <c r="D729" i="266"/>
  <c r="D754" i="266"/>
  <c r="D691" i="266"/>
  <c r="D407" i="266"/>
  <c r="D248" i="266"/>
  <c r="D178" i="266"/>
  <c r="D459" i="266"/>
  <c r="D1093" i="266"/>
  <c r="D311" i="266"/>
  <c r="D1200" i="266"/>
  <c r="D942" i="266"/>
  <c r="D1120" i="266"/>
  <c r="D836" i="266"/>
  <c r="D470" i="266"/>
  <c r="D376" i="266"/>
  <c r="D983" i="266"/>
  <c r="D464" i="266"/>
  <c r="D128" i="266"/>
  <c r="D465" i="266"/>
  <c r="D173" i="266"/>
  <c r="D991" i="266"/>
  <c r="D696" i="266"/>
  <c r="D365" i="266"/>
  <c r="D1248" i="266"/>
  <c r="D131" i="266"/>
  <c r="D282" i="266"/>
  <c r="D419" i="266"/>
  <c r="D1307" i="266"/>
  <c r="D670" i="266"/>
  <c r="D257" i="266"/>
  <c r="D193" i="266"/>
  <c r="D136" i="266"/>
  <c r="D1013" i="266"/>
  <c r="D280" i="266"/>
  <c r="D165" i="266"/>
  <c r="D1039" i="266"/>
  <c r="D1077" i="266"/>
  <c r="D297" i="266"/>
  <c r="D1055" i="266"/>
  <c r="D917" i="266"/>
  <c r="D48" i="266"/>
  <c r="D982" i="266"/>
  <c r="D18" i="266"/>
  <c r="D404" i="266"/>
  <c r="D977" i="266"/>
  <c r="D740" i="266"/>
  <c r="D698" i="266"/>
  <c r="D915" i="266"/>
  <c r="D108" i="266"/>
  <c r="D1157" i="266"/>
  <c r="D536" i="266"/>
  <c r="D187" i="266"/>
  <c r="D828" i="266"/>
  <c r="D506" i="266"/>
  <c r="D216" i="266"/>
  <c r="D572" i="266"/>
  <c r="D611" i="266"/>
  <c r="D433" i="266"/>
  <c r="D1234" i="266"/>
  <c r="D1191" i="266"/>
  <c r="D934" i="266"/>
  <c r="D1137" i="266"/>
  <c r="D375" i="266"/>
  <c r="D368" i="266"/>
  <c r="D590" i="266"/>
  <c r="D926" i="266"/>
  <c r="D1287" i="266"/>
  <c r="D767" i="266"/>
  <c r="D671" i="266"/>
  <c r="D604" i="266"/>
  <c r="D1361" i="266"/>
  <c r="D1066" i="266"/>
  <c r="D351" i="266"/>
  <c r="D1102" i="266"/>
  <c r="D1225" i="266"/>
  <c r="D825" i="266"/>
  <c r="D450" i="266"/>
  <c r="D1170" i="266"/>
  <c r="D576" i="266"/>
  <c r="D233" i="266"/>
  <c r="D575" i="266"/>
  <c r="D1186" i="266"/>
  <c r="D167" i="266"/>
  <c r="D626" i="266"/>
  <c r="D1229" i="266"/>
  <c r="D633" i="266"/>
  <c r="D1258" i="266"/>
  <c r="D42" i="266"/>
  <c r="D908" i="266"/>
  <c r="D515" i="266"/>
  <c r="D681" i="266"/>
  <c r="D775" i="266"/>
  <c r="D727" i="266"/>
  <c r="D1265" i="266"/>
  <c r="D824" i="266"/>
  <c r="D181" i="266"/>
  <c r="D517" i="266"/>
  <c r="D876" i="266"/>
  <c r="D1123" i="266"/>
  <c r="D180" i="266"/>
  <c r="D791" i="266"/>
  <c r="D260" i="266"/>
  <c r="D1128" i="266"/>
  <c r="D1310" i="266"/>
  <c r="D557" i="266"/>
  <c r="D891" i="266"/>
  <c r="D372" i="266"/>
  <c r="D211" i="266"/>
  <c r="D100" i="266"/>
  <c r="D1089" i="266"/>
  <c r="D561" i="266"/>
  <c r="D1033" i="266"/>
  <c r="D403" i="266"/>
  <c r="D1048" i="266"/>
  <c r="D488" i="266"/>
  <c r="D1038" i="266"/>
  <c r="D235" i="266"/>
  <c r="D690" i="266"/>
  <c r="D225" i="266"/>
  <c r="D316" i="266"/>
  <c r="D392" i="266"/>
  <c r="D258" i="266"/>
  <c r="D1339" i="266"/>
  <c r="D1292" i="266"/>
  <c r="D298" i="266"/>
  <c r="D612" i="266"/>
  <c r="D1037" i="266"/>
  <c r="D71" i="266"/>
  <c r="D1348" i="266"/>
  <c r="D455" i="266"/>
  <c r="D663" i="266"/>
  <c r="D272" i="266"/>
  <c r="D1107" i="266"/>
  <c r="D160" i="266"/>
  <c r="D1034" i="266"/>
  <c r="D482" i="266"/>
  <c r="D103" i="266"/>
  <c r="D746" i="266"/>
  <c r="D568" i="266"/>
  <c r="D19" i="266"/>
  <c r="D208" i="266"/>
  <c r="D279" i="266"/>
  <c r="D65" i="266"/>
  <c r="D904" i="266"/>
  <c r="D758" i="266"/>
  <c r="D1351" i="266"/>
  <c r="D1022" i="266"/>
  <c r="D997" i="266"/>
  <c r="D636" i="266"/>
  <c r="D761" i="266"/>
  <c r="D1208" i="266"/>
  <c r="D68" i="266"/>
  <c r="D984" i="266"/>
  <c r="D1144" i="266"/>
  <c r="D1100" i="266"/>
  <c r="D532" i="266"/>
  <c r="D441" i="266"/>
  <c r="D867" i="266"/>
  <c r="D543" i="266"/>
  <c r="D330" i="266"/>
  <c r="D961" i="266"/>
  <c r="D1324" i="266"/>
  <c r="D751" i="266"/>
  <c r="D763" i="266"/>
  <c r="D1257" i="266"/>
  <c r="D560" i="266"/>
  <c r="D1317" i="266"/>
  <c r="D291" i="266"/>
  <c r="D974" i="266"/>
  <c r="D860" i="266"/>
  <c r="D1333" i="266"/>
  <c r="D1315" i="266"/>
  <c r="D237" i="266"/>
  <c r="D406" i="266"/>
  <c r="D898" i="266"/>
  <c r="D223" i="266"/>
  <c r="D312" i="266"/>
  <c r="D207" i="266"/>
  <c r="D1256" i="266"/>
  <c r="D544" i="266"/>
  <c r="D785" i="266"/>
  <c r="D324" i="266"/>
  <c r="D973" i="266"/>
  <c r="D591" i="266"/>
  <c r="D126" i="266"/>
  <c r="D1116" i="266"/>
  <c r="D39" i="266"/>
  <c r="D954" i="266"/>
  <c r="D986" i="266"/>
  <c r="D302" i="266"/>
  <c r="D129" i="266"/>
  <c r="D1235" i="266"/>
  <c r="D218" i="266"/>
  <c r="D784" i="266"/>
  <c r="D601" i="266"/>
  <c r="D1030" i="266"/>
  <c r="D773" i="266"/>
  <c r="D1003" i="266"/>
  <c r="D45" i="266"/>
  <c r="D96" i="266"/>
  <c r="D777" i="266"/>
  <c r="D85" i="266"/>
  <c r="D1340" i="266"/>
  <c r="D360" i="266"/>
  <c r="D1046" i="266"/>
  <c r="D743" i="266"/>
  <c r="D1060" i="266"/>
  <c r="D1227" i="266"/>
  <c r="D212" i="266"/>
  <c r="D172" i="266"/>
  <c r="D990" i="266"/>
  <c r="D142" i="266"/>
  <c r="D1217" i="266"/>
  <c r="D147" i="266"/>
  <c r="D882" i="266"/>
  <c r="D826" i="266"/>
  <c r="D479" i="266"/>
  <c r="D897" i="266"/>
  <c r="D820" i="266"/>
  <c r="D985" i="266"/>
  <c r="D687" i="266"/>
  <c r="D49" i="266"/>
  <c r="D849" i="266"/>
  <c r="D182" i="266"/>
  <c r="D243" i="266"/>
  <c r="D300" i="266"/>
  <c r="D887" i="266"/>
  <c r="D170" i="266"/>
  <c r="D641" i="266"/>
  <c r="D357" i="266"/>
  <c r="D674" i="266"/>
  <c r="D267" i="266"/>
  <c r="D546" i="266"/>
  <c r="D474" i="266"/>
  <c r="D1105" i="266"/>
  <c r="D227" i="266"/>
  <c r="D369" i="266"/>
  <c r="D1044" i="266"/>
  <c r="D402" i="266"/>
  <c r="D850" i="266"/>
  <c r="D901" i="266"/>
  <c r="D847" i="266"/>
  <c r="D1016" i="266"/>
  <c r="D174" i="266"/>
  <c r="D752" i="266"/>
  <c r="D423" i="266"/>
  <c r="D1129" i="266"/>
  <c r="D424" i="266"/>
  <c r="D1099" i="266"/>
  <c r="D1343" i="266"/>
  <c r="D1207" i="266"/>
  <c r="D1112" i="266"/>
  <c r="D299" i="266"/>
  <c r="D804" i="266"/>
  <c r="D1327" i="266"/>
  <c r="D1165" i="266"/>
  <c r="D4" i="266"/>
  <c r="D1167" i="266"/>
  <c r="D1347" i="266"/>
  <c r="D254" i="266"/>
  <c r="D1344" i="266"/>
  <c r="D552" i="266"/>
  <c r="D694" i="266"/>
  <c r="D1000" i="266"/>
  <c r="D1275" i="266"/>
  <c r="D238" i="266"/>
  <c r="D289" i="266"/>
  <c r="D733" i="266"/>
  <c r="D428" i="266"/>
  <c r="D677" i="266"/>
  <c r="D1026" i="266"/>
  <c r="D200" i="266"/>
  <c r="D1035" i="266"/>
  <c r="D63" i="266"/>
  <c r="D498" i="266"/>
  <c r="D249" i="266"/>
  <c r="D607" i="266"/>
  <c r="D214" i="266"/>
  <c r="D1172" i="266"/>
  <c r="D143" i="266"/>
  <c r="D605" i="266"/>
  <c r="D1228" i="266"/>
  <c r="D62" i="266"/>
  <c r="D716" i="266"/>
  <c r="D628" i="266"/>
  <c r="D890" i="266"/>
  <c r="D210" i="266"/>
  <c r="D945" i="266"/>
  <c r="D1127" i="266"/>
  <c r="D28" i="266"/>
  <c r="D578" i="266"/>
  <c r="D993" i="266"/>
  <c r="D67" i="266"/>
  <c r="D725" i="266"/>
  <c r="D655" i="266"/>
  <c r="D1017" i="266"/>
  <c r="D240" i="266"/>
  <c r="D668" i="266"/>
  <c r="D398" i="266"/>
  <c r="D38" i="266"/>
  <c r="D1255" i="266"/>
  <c r="D873" i="266"/>
  <c r="D353" i="266"/>
  <c r="D738" i="266"/>
  <c r="D555" i="266"/>
  <c r="D57" i="266"/>
  <c r="D383" i="266"/>
  <c r="D889" i="266"/>
  <c r="D646" i="266"/>
  <c r="D720" i="266"/>
  <c r="D468" i="266"/>
  <c r="D798" i="266"/>
  <c r="D1312" i="266"/>
  <c r="D1226" i="266"/>
  <c r="D936" i="266"/>
  <c r="D1179" i="266"/>
  <c r="D1189" i="266"/>
  <c r="D739" i="266"/>
  <c r="D436" i="266"/>
  <c r="D396" i="266"/>
  <c r="D550" i="266"/>
  <c r="D186" i="266"/>
  <c r="D358" i="266"/>
  <c r="D584" i="266"/>
  <c r="D795" i="266"/>
  <c r="D37" i="266"/>
  <c r="D12" i="266"/>
  <c r="D120" i="266"/>
  <c r="D523" i="266"/>
  <c r="D742" i="266"/>
  <c r="D1353" i="266"/>
  <c r="D53" i="266"/>
  <c r="D1043" i="266"/>
  <c r="D788" i="266"/>
  <c r="D1067" i="266"/>
  <c r="D1244" i="266"/>
  <c r="D457" i="266"/>
  <c r="D273" i="266"/>
  <c r="D27" i="266"/>
  <c r="D1011" i="266"/>
  <c r="D779" i="266"/>
  <c r="D133" i="266"/>
  <c r="D1238" i="266"/>
  <c r="D1156" i="266"/>
  <c r="D1122" i="266"/>
  <c r="D1291" i="266"/>
  <c r="D987" i="266"/>
  <c r="D1025" i="266"/>
  <c r="D530" i="266"/>
  <c r="D284" i="266"/>
  <c r="D1008" i="266"/>
  <c r="D533" i="266"/>
  <c r="D105" i="266"/>
  <c r="D972" i="266"/>
  <c r="D307" i="266"/>
  <c r="D427" i="266"/>
  <c r="D1309" i="266"/>
  <c r="D589" i="266"/>
  <c r="D1338" i="266"/>
  <c r="D554" i="266"/>
  <c r="D444" i="266"/>
  <c r="D1091" i="266"/>
  <c r="D78" i="266"/>
  <c r="D350" i="266"/>
  <c r="D630" i="266"/>
  <c r="D885" i="266"/>
  <c r="D1070" i="266"/>
  <c r="D911" i="266"/>
  <c r="D41" i="266"/>
  <c r="D1212" i="266"/>
  <c r="D319" i="266"/>
  <c r="D345" i="266"/>
  <c r="D1202" i="266"/>
  <c r="D988" i="266"/>
  <c r="D1014" i="266"/>
  <c r="D505" i="266"/>
  <c r="D84" i="266"/>
  <c r="D1243" i="266"/>
  <c r="D647" i="266"/>
  <c r="D56" i="266"/>
  <c r="D1282" i="266"/>
  <c r="D1239" i="266"/>
  <c r="D1005" i="266"/>
  <c r="D909" i="266"/>
  <c r="D1004" i="266"/>
  <c r="D1109" i="266"/>
  <c r="D341" i="266"/>
  <c r="D1111" i="266"/>
  <c r="D1061" i="266"/>
  <c r="D1072" i="266"/>
  <c r="D1168" i="266"/>
  <c r="D1153" i="266"/>
  <c r="D666" i="266"/>
  <c r="D29" i="266"/>
  <c r="D112" i="266"/>
  <c r="D815" i="266"/>
  <c r="D635" i="266"/>
  <c r="D393" i="266"/>
  <c r="D44" i="266"/>
  <c r="D805" i="266"/>
  <c r="D121" i="266"/>
  <c r="D848" i="266"/>
  <c r="D429" i="266"/>
  <c r="D964" i="266"/>
  <c r="D661" i="266"/>
  <c r="D448" i="266"/>
  <c r="D886" i="266"/>
  <c r="D1086" i="266"/>
  <c r="D651" i="266"/>
  <c r="D1081" i="266"/>
  <c r="D1069" i="266"/>
  <c r="D460" i="266"/>
  <c r="D814" i="266"/>
  <c r="D516" i="266"/>
  <c r="D1325" i="266"/>
  <c r="D842" i="266"/>
  <c r="D59" i="266"/>
  <c r="D264" i="266"/>
  <c r="D125" i="266"/>
  <c r="D613" i="266"/>
  <c r="D712" i="266"/>
  <c r="D1183" i="266"/>
  <c r="D313" i="266"/>
  <c r="D806" i="266"/>
  <c r="D1252" i="266"/>
  <c r="D380" i="266"/>
  <c r="D1289" i="266"/>
  <c r="D326" i="266"/>
  <c r="D179" i="266"/>
  <c r="D1159" i="266"/>
  <c r="D502" i="266"/>
  <c r="D1300" i="266"/>
  <c r="D301" i="266"/>
  <c r="D320" i="266"/>
  <c r="D293" i="266"/>
  <c r="D262" i="266"/>
  <c r="D879" i="266"/>
  <c r="D1182" i="266"/>
  <c r="D565" i="266"/>
  <c r="D580" i="266"/>
  <c r="D893" i="266"/>
  <c r="D838" i="266"/>
  <c r="D1247" i="266"/>
  <c r="D137" i="266"/>
  <c r="D975" i="266"/>
  <c r="D1177" i="266"/>
  <c r="D16" i="266"/>
  <c r="D315" i="266"/>
  <c r="D510" i="266"/>
  <c r="D352" i="266"/>
  <c r="D989" i="266"/>
  <c r="D347" i="266"/>
  <c r="D938" i="266"/>
  <c r="D869" i="266"/>
  <c r="D1349" i="266"/>
  <c r="D1021" i="266"/>
  <c r="D30" i="266"/>
  <c r="D343" i="266"/>
  <c r="D76" i="266"/>
  <c r="D582" i="266"/>
  <c r="D721" i="266"/>
  <c r="D32" i="266"/>
  <c r="D1028" i="266"/>
  <c r="D318" i="266"/>
  <c r="D1236" i="266"/>
  <c r="D394" i="266"/>
  <c r="D710" i="266"/>
  <c r="D1326" i="266"/>
  <c r="D87" i="266"/>
  <c r="D247" i="266"/>
  <c r="D756" i="266"/>
  <c r="D446" i="266"/>
  <c r="D1007" i="266"/>
  <c r="D645" i="266"/>
  <c r="D231" i="266"/>
  <c r="D344" i="266"/>
  <c r="D359" i="266"/>
  <c r="D783" i="266"/>
  <c r="D1006" i="266"/>
  <c r="D822" i="266"/>
  <c r="D792" i="266"/>
  <c r="D857" i="266"/>
  <c r="D1096" i="266"/>
  <c r="D1097" i="266"/>
  <c r="D113" i="266"/>
  <c r="D711" i="266"/>
  <c r="D759" i="266"/>
  <c r="D15" i="266"/>
  <c r="D1230" i="266"/>
  <c r="D1190" i="266"/>
  <c r="D163" i="266"/>
  <c r="D620" i="266"/>
  <c r="D355" i="266"/>
  <c r="D1094" i="266"/>
  <c r="D1199" i="266"/>
  <c r="D1294" i="266"/>
  <c r="D684" i="266"/>
  <c r="D1219" i="266"/>
  <c r="D588" i="266"/>
  <c r="D922" i="266"/>
  <c r="D776" i="266"/>
  <c r="D1079" i="266"/>
  <c r="D665" i="266"/>
  <c r="D976" i="266"/>
  <c r="D929" i="266"/>
  <c r="D349" i="266"/>
  <c r="D1295" i="266"/>
  <c r="D1031" i="266"/>
  <c r="D86" i="266"/>
  <c r="D662" i="266"/>
  <c r="D508" i="266"/>
  <c r="D570" i="266"/>
  <c r="D397" i="266"/>
  <c r="D1322" i="266"/>
  <c r="D683" i="266"/>
  <c r="D874" i="266"/>
  <c r="D672" i="266"/>
  <c r="D600" i="266"/>
  <c r="D731" i="266"/>
  <c r="D94" i="266"/>
  <c r="D308" i="266"/>
  <c r="D1290" i="266"/>
  <c r="D678" i="266"/>
  <c r="D832" i="266"/>
  <c r="D1323" i="266"/>
  <c r="D373" i="266"/>
  <c r="D965" i="266"/>
  <c r="D266" i="266"/>
  <c r="D1171" i="266"/>
  <c r="D1274" i="266"/>
  <c r="D252" i="266"/>
  <c r="D3" i="266"/>
  <c r="D476" i="266"/>
  <c r="D558" i="266"/>
  <c r="D1174" i="266"/>
  <c r="D1135" i="266"/>
  <c r="D239" i="266"/>
  <c r="D1015" i="266"/>
  <c r="D513" i="266"/>
  <c r="D145" i="266"/>
  <c r="D221" i="266"/>
  <c r="D434" i="266"/>
  <c r="D66" i="266"/>
  <c r="D109" i="266"/>
  <c r="D1267" i="266"/>
  <c r="D654" i="266"/>
  <c r="D20" i="266"/>
  <c r="D1304" i="266"/>
  <c r="D1053" i="266"/>
  <c r="D809" i="266"/>
  <c r="D829" i="266"/>
  <c r="D1253" i="266"/>
  <c r="D1124" i="266"/>
  <c r="D728" i="266"/>
  <c r="D656" i="266"/>
  <c r="D159" i="266"/>
  <c r="D50" i="266"/>
  <c r="D1242" i="266"/>
  <c r="D614" i="266"/>
  <c r="D864" i="266"/>
  <c r="D1118" i="266"/>
  <c r="D439" i="266"/>
  <c r="D812" i="266"/>
  <c r="D1303" i="266"/>
  <c r="D676" i="266"/>
  <c r="D1063" i="266"/>
  <c r="D149" i="266"/>
  <c r="D228" i="266"/>
  <c r="D556" i="266"/>
  <c r="D1270" i="266"/>
  <c r="D772" i="266"/>
  <c r="D230" i="266"/>
  <c r="D593" i="266"/>
  <c r="D705" i="266"/>
  <c r="D1331" i="266"/>
  <c r="D499" i="266"/>
  <c r="D861" i="266"/>
  <c r="D209" i="266"/>
  <c r="D1163" i="266"/>
  <c r="D171" i="266"/>
  <c r="D292" i="266"/>
  <c r="D526" i="266"/>
  <c r="D618" i="266"/>
  <c r="D290" i="266"/>
  <c r="D950" i="266"/>
  <c r="D1188" i="266"/>
  <c r="D734" i="266"/>
  <c r="D414" i="266"/>
  <c r="D1131" i="266"/>
  <c r="D940" i="266"/>
  <c r="D699" i="266"/>
  <c r="D1010" i="266"/>
  <c r="D1281" i="266"/>
  <c r="D1195" i="266"/>
  <c r="D405" i="266"/>
  <c r="D1062" i="266"/>
  <c r="D356" i="266"/>
  <c r="D639" i="266"/>
  <c r="D333" i="266"/>
  <c r="D709" i="266"/>
  <c r="D437" i="266"/>
  <c r="D1147" i="266"/>
  <c r="D866" i="266"/>
  <c r="D294" i="266"/>
  <c r="D232" i="266"/>
  <c r="D844" i="266"/>
  <c r="D199" i="266"/>
  <c r="D682" i="266"/>
  <c r="D574" i="266"/>
  <c r="D1278" i="266"/>
  <c r="D24" i="266"/>
  <c r="D36" i="266"/>
  <c r="D673" i="266"/>
  <c r="D451" i="266"/>
  <c r="D685" i="266"/>
  <c r="D594" i="266"/>
  <c r="D331" i="266"/>
  <c r="D1311" i="266"/>
  <c r="D242" i="266"/>
  <c r="D97" i="266"/>
  <c r="D551" i="266"/>
  <c r="D902" i="266"/>
  <c r="D643" i="266"/>
  <c r="D58" i="266"/>
  <c r="D507" i="266"/>
  <c r="D939" i="266"/>
  <c r="D960" i="266"/>
  <c r="D1220" i="266"/>
  <c r="D637" i="266"/>
  <c r="D1330" i="266"/>
  <c r="D700" i="266"/>
  <c r="D196" i="266"/>
  <c r="D1136" i="266"/>
  <c r="D916" i="266"/>
  <c r="D644" i="266"/>
  <c r="D701" i="266"/>
  <c r="D946" i="266"/>
  <c r="D1198" i="266"/>
  <c r="D719" i="266"/>
  <c r="D919" i="266"/>
  <c r="D883" i="266"/>
  <c r="D631" i="266"/>
  <c r="D524" i="266"/>
  <c r="D617" i="266"/>
  <c r="D317" i="266"/>
  <c r="D841" i="266"/>
  <c r="D823" i="266"/>
  <c r="D176" i="266"/>
  <c r="D1302" i="266"/>
  <c r="D963" i="266"/>
  <c r="D525" i="266"/>
  <c r="D1155" i="266"/>
  <c r="D581" i="266"/>
  <c r="D927" i="266"/>
  <c r="D416" i="266"/>
  <c r="D862" i="266"/>
  <c r="D123" i="266"/>
  <c r="D1192" i="266"/>
  <c r="D116" i="266"/>
  <c r="D106" i="266"/>
  <c r="D1284" i="266"/>
  <c r="D1019" i="266"/>
  <c r="D314" i="266"/>
  <c r="D970" i="266"/>
  <c r="D1272" i="266"/>
  <c r="D839" i="266"/>
  <c r="D190" i="266"/>
  <c r="D918" i="266"/>
  <c r="D114" i="266"/>
  <c r="D409" i="266"/>
  <c r="D346" i="266"/>
  <c r="D652" i="266"/>
  <c r="D256" i="266"/>
  <c r="D770" i="266"/>
  <c r="D107" i="266"/>
  <c r="D923" i="266"/>
  <c r="D1176" i="266"/>
  <c r="D769" i="266"/>
  <c r="D1103" i="266"/>
  <c r="D527" i="266"/>
  <c r="D638" i="266"/>
  <c r="D277" i="266"/>
  <c r="D1138" i="266"/>
  <c r="D1337" i="266"/>
  <c r="D362" i="266"/>
  <c r="D1133" i="266"/>
  <c r="D537" i="266"/>
  <c r="D1342" i="266"/>
  <c r="D953" i="266"/>
  <c r="D469" i="266"/>
  <c r="D17" i="266"/>
  <c r="D438" i="266"/>
  <c r="D1250" i="266"/>
  <c r="D1110" i="266"/>
  <c r="D932" i="266"/>
  <c r="D98" i="266"/>
  <c r="D251" i="266"/>
  <c r="D1240" i="266"/>
  <c r="D61" i="266"/>
  <c r="D810" i="266"/>
  <c r="D92" i="266"/>
  <c r="D185" i="266"/>
  <c r="D511" i="266"/>
  <c r="D189" i="266"/>
  <c r="D794" i="266"/>
  <c r="D766" i="266"/>
  <c r="D442" i="266"/>
  <c r="D462" i="266"/>
  <c r="D146" i="266"/>
  <c r="D793" i="266"/>
  <c r="D157" i="266"/>
  <c r="D1316" i="266"/>
  <c r="D1319" i="266"/>
  <c r="D800" i="266"/>
  <c r="D337" i="266"/>
  <c r="D141" i="266"/>
  <c r="D1071" i="266"/>
  <c r="D786" i="266"/>
  <c r="D458" i="266"/>
  <c r="D587" i="266"/>
  <c r="D509" i="266"/>
  <c r="D1113" i="266"/>
  <c r="D164" i="266"/>
  <c r="D521" i="266"/>
  <c r="D1346" i="266"/>
  <c r="D689" i="266"/>
  <c r="D996" i="266"/>
  <c r="D1169" i="266"/>
  <c r="D1059" i="266"/>
  <c r="D503" i="266"/>
  <c r="D1106" i="266"/>
  <c r="D774" i="266"/>
  <c r="D226" i="266"/>
  <c r="D732" i="266"/>
  <c r="D1259" i="266"/>
  <c r="D270" i="266"/>
  <c r="D1335" i="266"/>
  <c r="D958" i="266"/>
  <c r="D903" i="266"/>
  <c r="D910" i="266"/>
  <c r="D325" i="266"/>
  <c r="D22" i="266"/>
  <c r="D13" i="266"/>
  <c r="D834" i="266"/>
  <c r="D1150" i="266"/>
  <c r="D723" i="266"/>
  <c r="D900" i="266"/>
  <c r="D667" i="266"/>
  <c r="D648" i="266"/>
  <c r="D1350" i="266"/>
  <c r="D329" i="266"/>
  <c r="D693" i="266"/>
  <c r="D615" i="266"/>
  <c r="D596" i="266"/>
  <c r="D1018" i="266"/>
  <c r="D514" i="266"/>
  <c r="D202" i="266"/>
  <c r="D1101" i="266"/>
  <c r="D443" i="266"/>
  <c r="D1166" i="266"/>
  <c r="D801" i="266"/>
  <c r="D992" i="266"/>
  <c r="D491" i="266"/>
  <c r="D72" i="266"/>
  <c r="D1305" i="266"/>
  <c r="D1223" i="266"/>
  <c r="D422" i="266"/>
  <c r="D1065" i="266"/>
  <c r="D853" i="266"/>
  <c r="D755" i="266"/>
  <c r="D634" i="266"/>
  <c r="D567" i="266"/>
  <c r="D288" i="266"/>
  <c r="D1076" i="266"/>
  <c r="D412" i="266"/>
  <c r="D361" i="266"/>
  <c r="D483" i="266"/>
  <c r="D695" i="266"/>
  <c r="D831" i="266"/>
  <c r="D1009" i="266"/>
  <c r="D924" i="266"/>
  <c r="D1293" i="266"/>
  <c r="D899" i="266"/>
  <c r="D928" i="266"/>
  <c r="D1115" i="266"/>
  <c r="D354" i="266"/>
  <c r="D382" i="266"/>
  <c r="D713" i="266"/>
  <c r="D425" i="266"/>
  <c r="D400" i="266"/>
  <c r="D115" i="266"/>
  <c r="D296" i="266"/>
  <c r="D80" i="266"/>
  <c r="D943" i="266"/>
  <c r="D1329" i="266"/>
  <c r="D1051" i="266"/>
  <c r="D411" i="266"/>
  <c r="D23" i="266"/>
  <c r="D385" i="266"/>
  <c r="D1196" i="266"/>
  <c r="D139" i="266"/>
  <c r="D741" i="266"/>
  <c r="D1134" i="266"/>
  <c r="D472" i="266"/>
  <c r="D518" i="266"/>
  <c r="D1108" i="266"/>
  <c r="D920" i="266"/>
  <c r="D1268" i="266"/>
  <c r="D1024" i="266"/>
  <c r="D1148" i="266"/>
  <c r="D35" i="266"/>
  <c r="D650" i="266"/>
  <c r="D51" i="266"/>
  <c r="D1271" i="266"/>
  <c r="D374" i="266"/>
  <c r="D818" i="266"/>
  <c r="D332" i="266"/>
  <c r="D817" i="266"/>
  <c r="D60" i="266"/>
  <c r="D708" i="266"/>
  <c r="D487" i="266"/>
  <c r="D941" i="266"/>
  <c r="D803" i="266"/>
  <c r="D541" i="266"/>
  <c r="D101" i="266"/>
  <c r="D1164" i="266"/>
  <c r="D381" i="266"/>
  <c r="D1328" i="266"/>
  <c r="D175" i="266"/>
  <c r="D583" i="266"/>
  <c r="D473" i="266"/>
  <c r="D930" i="266"/>
  <c r="D757" i="266"/>
  <c r="D1279" i="266"/>
  <c r="D1023" i="266"/>
  <c r="D737" i="266"/>
  <c r="D82" i="266"/>
  <c r="D1213" i="266"/>
  <c r="D215" i="266"/>
  <c r="D933" i="266"/>
  <c r="D545" i="266"/>
  <c r="D177" i="266"/>
  <c r="D1132" i="266"/>
  <c r="D649" i="266"/>
  <c r="D274" i="266"/>
  <c r="D608" i="266"/>
  <c r="D967" i="266"/>
  <c r="D1277" i="266"/>
  <c r="D597" i="266"/>
  <c r="D287" i="266"/>
  <c r="D539" i="266"/>
  <c r="D81" i="266"/>
  <c r="D1088" i="266"/>
  <c r="D621" i="266"/>
  <c r="D327" i="266"/>
  <c r="D625" i="266"/>
  <c r="D34" i="266"/>
  <c r="D471" i="266"/>
  <c r="D519" i="266"/>
  <c r="D93" i="266"/>
  <c r="D1126" i="266"/>
  <c r="D250" i="266"/>
  <c r="D855" i="266"/>
  <c r="D529" i="266"/>
  <c r="D388" i="266"/>
  <c r="D1180" i="266"/>
  <c r="D1187" i="266"/>
  <c r="D994" i="266"/>
  <c r="D415" i="266"/>
  <c r="D1288" i="266"/>
  <c r="D303" i="266"/>
  <c r="D1245" i="266"/>
  <c r="D155" i="266"/>
  <c r="D833" i="266"/>
  <c r="D328" i="266"/>
  <c r="D859" i="266"/>
  <c r="D750" i="266"/>
  <c r="D629" i="266"/>
  <c r="D599" i="266"/>
  <c r="D1130" i="266"/>
  <c r="D657" i="266"/>
  <c r="D1149" i="266"/>
  <c r="D184" i="266"/>
  <c r="D780" i="266"/>
  <c r="D322" i="266"/>
  <c r="D730" i="266"/>
  <c r="D158" i="266"/>
  <c r="D83" i="266"/>
  <c r="D124" i="266"/>
  <c r="D168" i="266"/>
  <c r="D493" i="266"/>
  <c r="D675" i="266"/>
  <c r="D46" i="266"/>
  <c r="D821" i="266"/>
  <c r="D1058" i="266"/>
  <c r="D1032" i="266"/>
  <c r="D619" i="266"/>
  <c r="D913" i="266"/>
  <c r="D534" i="266"/>
  <c r="D1095" i="266"/>
  <c r="D830" i="266"/>
  <c r="D1117" i="266"/>
  <c r="D781" i="266"/>
  <c r="D271" i="266"/>
  <c r="D535" i="266"/>
  <c r="D1263" i="266"/>
  <c r="D948" i="266"/>
  <c r="D706" i="266"/>
  <c r="D717" i="266"/>
  <c r="D799" i="266"/>
  <c r="D1357" i="266"/>
  <c r="D736" i="266"/>
  <c r="D1203" i="266"/>
  <c r="D364" i="266"/>
  <c r="D1210" i="266"/>
  <c r="D467" i="266"/>
  <c r="D73" i="266"/>
  <c r="D764" i="266"/>
  <c r="D1002" i="266"/>
  <c r="D1049" i="266"/>
  <c r="D321" i="266"/>
  <c r="D191" i="266"/>
  <c r="D1054" i="266"/>
  <c r="D1285" i="266"/>
  <c r="D275" i="266"/>
  <c r="D286" i="266"/>
  <c r="D389" i="266"/>
  <c r="D401" i="266"/>
  <c r="D1264" i="266"/>
  <c r="D54" i="266"/>
  <c r="D622" i="266"/>
  <c r="D306" i="266"/>
  <c r="D1029" i="266"/>
  <c r="D778" i="266"/>
  <c r="D968" i="266"/>
  <c r="D370" i="266"/>
  <c r="D118" i="266"/>
  <c r="D606" i="266"/>
  <c r="D1151" i="266"/>
  <c r="D1001" i="266"/>
  <c r="D363" i="266"/>
  <c r="D1064" i="266"/>
  <c r="D548" i="266"/>
  <c r="D339" i="266"/>
  <c r="D99" i="266"/>
  <c r="D31" i="266"/>
  <c r="D881" i="266"/>
  <c r="D1358" i="266"/>
  <c r="D220" i="266"/>
  <c r="D577" i="266"/>
  <c r="D531" i="266"/>
  <c r="D417" i="266"/>
  <c r="D1114" i="266"/>
  <c r="D586" i="266"/>
  <c r="D768" i="266"/>
  <c r="D269" i="266"/>
  <c r="D851" i="266"/>
  <c r="D888" i="266"/>
  <c r="D1152" i="266"/>
  <c r="D431" i="266"/>
  <c r="D623" i="266"/>
  <c r="D573" i="266"/>
  <c r="D724" i="266"/>
  <c r="D1205" i="266"/>
  <c r="D449" i="266"/>
  <c r="D152" i="266"/>
  <c r="D150" i="266"/>
  <c r="D440" i="266"/>
  <c r="D971" i="266"/>
  <c r="D894" i="266"/>
  <c r="D846" i="266"/>
  <c r="D229" i="266"/>
  <c r="D454" i="266"/>
  <c r="D1266" i="266"/>
  <c r="D748" i="266"/>
  <c r="D1040" i="266"/>
  <c r="D245" i="266"/>
  <c r="D391" i="266"/>
  <c r="D935" i="266"/>
  <c r="D658" i="266"/>
  <c r="D1142" i="266"/>
  <c r="D452" i="266"/>
  <c r="D1082" i="266"/>
  <c r="D1175" i="266"/>
  <c r="D726" i="266"/>
  <c r="D871" i="266"/>
  <c r="D921" i="266"/>
  <c r="D198" i="266"/>
  <c r="D265" i="266"/>
  <c r="D203" i="266"/>
  <c r="D495" i="266"/>
  <c r="D162" i="266"/>
  <c r="D703" i="266"/>
  <c r="D1254" i="266"/>
  <c r="D722" i="266"/>
  <c r="D244" i="266"/>
  <c r="D813" i="266"/>
  <c r="D310" i="266"/>
  <c r="D819" i="266"/>
  <c r="D6" i="266"/>
  <c r="D616" i="266"/>
  <c r="D52" i="266"/>
  <c r="D413" i="266"/>
  <c r="D1313" i="266"/>
  <c r="D387" i="266"/>
  <c r="D1298" i="266"/>
  <c r="D1232" i="266"/>
  <c r="D947" i="266"/>
  <c r="D707" i="266"/>
  <c r="D453" i="266"/>
  <c r="D135" i="266"/>
  <c r="D8" i="266"/>
  <c r="D797" i="266"/>
  <c r="D1154" i="266"/>
  <c r="D640" i="266"/>
  <c r="D122" i="266"/>
  <c r="D1036" i="266"/>
  <c r="D660" i="266"/>
  <c r="D43" i="266"/>
  <c r="D1345" i="266"/>
  <c r="D1020" i="266"/>
  <c r="D501" i="266"/>
  <c r="D937" i="266"/>
  <c r="D336" i="266"/>
  <c r="D246" i="266"/>
  <c r="D395" i="266"/>
  <c r="D702" i="266"/>
  <c r="D110" i="266"/>
  <c r="D1197" i="266"/>
  <c r="D745" i="266"/>
  <c r="D1056" i="266"/>
  <c r="D70" i="266"/>
  <c r="D1301" i="266"/>
  <c r="D367" i="266"/>
  <c r="D692" i="266"/>
  <c r="D895" i="266"/>
  <c r="D399" i="266"/>
  <c r="D1299" i="266"/>
  <c r="D253" i="266"/>
  <c r="D236" i="266"/>
  <c r="D1260" i="266"/>
  <c r="D285" i="266"/>
  <c r="D1249" i="266"/>
  <c r="D1201" i="266"/>
  <c r="D1158" i="266"/>
  <c r="D1052" i="266"/>
  <c r="D1336" i="266"/>
  <c r="D1354" i="266"/>
  <c r="D222" i="266"/>
  <c r="D304" i="266"/>
  <c r="D760" i="266"/>
  <c r="D949" i="266"/>
  <c r="D104" i="266"/>
  <c r="D835" i="266"/>
  <c r="D340" i="266"/>
  <c r="D1215" i="266"/>
  <c r="D77" i="266"/>
  <c r="D852" i="266"/>
  <c r="D377" i="266"/>
  <c r="D854" i="266"/>
  <c r="D1204" i="266"/>
  <c r="D197" i="266"/>
  <c r="D461" i="266"/>
  <c r="D1140" i="266"/>
  <c r="D111" i="266"/>
  <c r="D496" i="266"/>
  <c r="D1246" i="266"/>
  <c r="D907" i="266"/>
  <c r="D718" i="266"/>
  <c r="D26" i="266"/>
  <c r="D688" i="266"/>
  <c r="D553" i="266"/>
  <c r="D549" i="266"/>
  <c r="D1296" i="266"/>
  <c r="D1141" i="266"/>
  <c r="D969" i="266"/>
  <c r="D870" i="266"/>
  <c r="D697" i="266"/>
  <c r="D1276" i="266"/>
  <c r="D704" i="266"/>
  <c r="D140" i="266"/>
  <c r="D475" i="266"/>
  <c r="D9" i="266"/>
  <c r="D134" i="266"/>
  <c r="D979" i="266"/>
  <c r="D858" i="266"/>
  <c r="D1209" i="266"/>
  <c r="D1143" i="266"/>
  <c r="D563" i="266"/>
  <c r="D480" i="266"/>
  <c r="D686" i="266"/>
  <c r="D14" i="266"/>
  <c r="D500" i="266"/>
  <c r="D1078" i="266"/>
  <c r="D679" i="266"/>
  <c r="D981" i="266"/>
  <c r="D843" i="266"/>
  <c r="D765" i="266"/>
  <c r="D790" i="266"/>
  <c r="D1355" i="266"/>
  <c r="D408" i="266"/>
  <c r="D445" i="266"/>
  <c r="D914" i="266"/>
  <c r="D610" i="266"/>
  <c r="D119" i="266"/>
  <c r="D91" i="266"/>
  <c r="D540" i="266"/>
  <c r="D715" i="266"/>
  <c r="D5" i="266"/>
  <c r="D201" i="266"/>
  <c r="D735" i="266"/>
  <c r="D342" i="266"/>
  <c r="D1352" i="266"/>
  <c r="D485" i="266"/>
  <c r="D490" i="266"/>
  <c r="D69" i="266"/>
  <c r="D955" i="266"/>
  <c r="D261" i="266"/>
  <c r="D978" i="266"/>
  <c r="D627" i="266"/>
  <c r="D463" i="266"/>
  <c r="D1308" i="266"/>
  <c r="D538" i="266"/>
  <c r="D1146" i="266"/>
  <c r="D811" i="266"/>
  <c r="D219" i="266"/>
  <c r="D47" i="266"/>
  <c r="D951" i="266"/>
  <c r="D632" i="266"/>
  <c r="D579" i="266"/>
  <c r="D566" i="266"/>
  <c r="D1222" i="266"/>
  <c r="D305" i="266"/>
  <c r="D281" i="266"/>
  <c r="D1084" i="266"/>
  <c r="D1098" i="266"/>
  <c r="D1087" i="266"/>
  <c r="D564" i="266"/>
  <c r="D89" i="266"/>
  <c r="D21" i="266"/>
  <c r="D117" i="266"/>
  <c r="D1318" i="266"/>
  <c r="D338" i="266"/>
  <c r="D840" i="266"/>
  <c r="D456" i="266"/>
  <c r="D912" i="266"/>
  <c r="D807" i="266"/>
  <c r="D762" i="266"/>
  <c r="D892" i="266"/>
  <c r="D79" i="266"/>
  <c r="D1280" i="266"/>
  <c r="D1042" i="266"/>
  <c r="D753" i="266"/>
  <c r="D323" i="266"/>
  <c r="D569" i="266"/>
  <c r="D1185" i="266"/>
  <c r="D512" i="266"/>
  <c r="D1241" i="266"/>
  <c r="D127" i="266"/>
  <c r="D1261" i="266"/>
  <c r="D40" i="266"/>
  <c r="D447" i="266"/>
  <c r="D95" i="266"/>
  <c r="D1075" i="266"/>
  <c r="D25" i="266"/>
  <c r="D1233" i="266"/>
  <c r="D371" i="266"/>
  <c r="D390" i="266"/>
  <c r="D816" i="266"/>
  <c r="D1321" i="266"/>
  <c r="D1162" i="266"/>
  <c r="D1090" i="266"/>
  <c r="D875" i="266"/>
  <c r="D1178" i="266"/>
  <c r="D664" i="266"/>
  <c r="D863" i="266"/>
  <c r="D1286" i="266"/>
  <c r="D1214" i="266"/>
  <c r="D1161" i="266"/>
  <c r="D183" i="266"/>
  <c r="D435" i="266"/>
  <c r="D151" i="266"/>
  <c r="D55" i="266"/>
  <c r="D1184" i="266"/>
  <c r="D144" i="266"/>
  <c r="D1125" i="266"/>
  <c r="D962" i="266"/>
  <c r="D1262" i="266"/>
  <c r="D259" i="266"/>
  <c r="D771" i="266"/>
  <c r="D872" i="266"/>
  <c r="D138" i="266"/>
  <c r="D1359" i="266"/>
  <c r="D484" i="266"/>
  <c r="D931" i="266"/>
  <c r="D528" i="266"/>
  <c r="D1218" i="266"/>
  <c r="D856" i="266"/>
  <c r="D166" i="266"/>
  <c r="D747" i="266"/>
  <c r="D1012" i="266"/>
  <c r="D598" i="266"/>
  <c r="D421" i="266"/>
  <c r="D379" i="266"/>
  <c r="D980" i="266"/>
  <c r="D334" i="266"/>
  <c r="D309" i="266"/>
  <c r="D845" i="266"/>
  <c r="D217" i="266"/>
  <c r="D497" i="266"/>
  <c r="D486" i="266"/>
  <c r="D585" i="266"/>
  <c r="D1283" i="266"/>
  <c r="D1297" i="266"/>
  <c r="D827" i="266"/>
  <c r="D169" i="266"/>
  <c r="D7" i="266"/>
  <c r="D956" i="266"/>
  <c r="D1320" i="266"/>
  <c r="D522" i="266"/>
  <c r="D1360" i="266"/>
  <c r="D154" i="266"/>
  <c r="D90" i="266"/>
  <c r="D1306" i="266"/>
  <c r="D744" i="266"/>
  <c r="D192" i="266"/>
  <c r="D520" i="266"/>
  <c r="D213" i="266"/>
  <c r="D102" i="266"/>
  <c r="D492" i="266"/>
  <c r="D205" i="266"/>
  <c r="D241" i="266"/>
  <c r="D659" i="266"/>
  <c r="D10" i="266"/>
  <c r="D796" i="266"/>
  <c r="D944" i="266"/>
  <c r="D255" i="266"/>
  <c r="D75" i="266"/>
  <c r="D1173" i="266"/>
  <c r="D1074" i="266"/>
  <c r="D603" i="266"/>
  <c r="D878" i="266"/>
  <c r="D1139" i="266"/>
  <c r="D263" i="266"/>
  <c r="D877" i="266"/>
  <c r="D1194" i="266"/>
  <c r="E1194" i="266" l="1"/>
  <c r="E877" i="266"/>
  <c r="E263" i="266"/>
  <c r="E1139" i="266"/>
  <c r="E878" i="266"/>
  <c r="E603" i="266"/>
  <c r="E1074" i="266"/>
  <c r="E1173" i="266"/>
  <c r="E75" i="266"/>
  <c r="E255" i="266"/>
  <c r="E944" i="266"/>
  <c r="E796" i="266"/>
  <c r="E10" i="266"/>
  <c r="E659" i="266"/>
  <c r="E241" i="266"/>
  <c r="E205" i="266"/>
  <c r="E492" i="266"/>
  <c r="E102" i="266"/>
  <c r="E213" i="266"/>
  <c r="E520" i="266"/>
  <c r="E192" i="266"/>
  <c r="E744" i="266"/>
  <c r="E1306" i="266"/>
  <c r="E90" i="266"/>
  <c r="E154" i="266"/>
  <c r="E1360" i="266"/>
  <c r="E522" i="266"/>
  <c r="E1320" i="266"/>
  <c r="E956" i="266"/>
  <c r="E7" i="266"/>
  <c r="E169" i="266"/>
  <c r="E827" i="266"/>
  <c r="E1297" i="266"/>
  <c r="E1283" i="266"/>
  <c r="E585" i="266"/>
  <c r="E486" i="266"/>
  <c r="E497" i="266"/>
  <c r="E217" i="266"/>
  <c r="E845" i="266"/>
  <c r="E309" i="266"/>
  <c r="E334" i="266"/>
  <c r="E980" i="266"/>
  <c r="E379" i="266"/>
  <c r="E421" i="266"/>
  <c r="E598" i="266"/>
  <c r="E1012" i="266"/>
  <c r="E747" i="266"/>
  <c r="E166" i="266"/>
  <c r="E856" i="266"/>
  <c r="E1218" i="266"/>
  <c r="E528" i="266"/>
  <c r="E931" i="266"/>
  <c r="E484" i="266"/>
  <c r="E1359" i="266"/>
  <c r="E138" i="266"/>
  <c r="E872" i="266"/>
  <c r="E771" i="266"/>
  <c r="E259" i="266"/>
  <c r="E1262" i="266"/>
  <c r="E962" i="266"/>
  <c r="E1125" i="266"/>
  <c r="E144" i="266"/>
  <c r="E1184" i="266"/>
  <c r="E55" i="266"/>
  <c r="E151" i="266"/>
  <c r="E435" i="266"/>
  <c r="E183" i="266"/>
  <c r="E1161" i="266"/>
  <c r="E1214" i="266"/>
  <c r="E1286" i="266"/>
  <c r="E863" i="266"/>
  <c r="E664" i="266"/>
  <c r="E1178" i="266"/>
  <c r="E875" i="266"/>
  <c r="E1090" i="266"/>
  <c r="E1162" i="266"/>
  <c r="E1321" i="266"/>
  <c r="E816" i="266"/>
  <c r="E390" i="266"/>
  <c r="E371" i="266"/>
  <c r="E1233" i="266"/>
  <c r="E25" i="266"/>
  <c r="E1075" i="266"/>
  <c r="E95" i="266"/>
  <c r="E447" i="266"/>
  <c r="E40" i="266"/>
  <c r="E1261" i="266"/>
  <c r="E127" i="266"/>
  <c r="E1241" i="266"/>
  <c r="E512" i="266"/>
  <c r="E1185" i="266"/>
  <c r="E569" i="266"/>
  <c r="E323" i="266"/>
  <c r="E753" i="266"/>
  <c r="E1042" i="266"/>
  <c r="E1280" i="266"/>
  <c r="E79" i="266"/>
  <c r="E892" i="266"/>
  <c r="E762" i="266"/>
  <c r="E807" i="266"/>
  <c r="E912" i="266"/>
  <c r="E456" i="266"/>
  <c r="E840" i="266"/>
  <c r="E338" i="266"/>
  <c r="E1318" i="266"/>
  <c r="E117" i="266"/>
  <c r="E21" i="266"/>
  <c r="E89" i="266"/>
  <c r="E564" i="266"/>
  <c r="E1087" i="266"/>
  <c r="E1098" i="266"/>
  <c r="E1084" i="266"/>
  <c r="E281" i="266"/>
  <c r="E305" i="266"/>
  <c r="E1222" i="266"/>
  <c r="E566" i="266"/>
  <c r="E579" i="266"/>
  <c r="E632" i="266"/>
  <c r="E951" i="266"/>
  <c r="E47" i="266"/>
  <c r="E219" i="266"/>
  <c r="E811" i="266"/>
  <c r="E1146" i="266"/>
  <c r="E538" i="266"/>
  <c r="E1308" i="266"/>
  <c r="E463" i="266"/>
  <c r="E627" i="266"/>
  <c r="E978" i="266"/>
  <c r="E261" i="266"/>
  <c r="E955" i="266"/>
  <c r="E69" i="266"/>
  <c r="E490" i="266"/>
  <c r="E485" i="266"/>
  <c r="E1352" i="266"/>
  <c r="E342" i="266"/>
  <c r="E735" i="266"/>
  <c r="E201" i="266"/>
  <c r="E5" i="266"/>
  <c r="E715" i="266"/>
  <c r="E540" i="266"/>
  <c r="E91" i="266"/>
  <c r="E119" i="266"/>
  <c r="E610" i="266"/>
  <c r="E914" i="266"/>
  <c r="E445" i="266"/>
  <c r="E408" i="266"/>
  <c r="E1355" i="266"/>
  <c r="E790" i="266"/>
  <c r="E765" i="266"/>
  <c r="E843" i="266"/>
  <c r="E981" i="266"/>
  <c r="E679" i="266"/>
  <c r="E1078" i="266"/>
  <c r="E500" i="266"/>
  <c r="E14" i="266"/>
  <c r="E686" i="266"/>
  <c r="E480" i="266"/>
  <c r="E563" i="266"/>
  <c r="E1143" i="266"/>
  <c r="E1209" i="266"/>
  <c r="E858" i="266"/>
  <c r="E979" i="266"/>
  <c r="E134" i="266"/>
  <c r="E9" i="266"/>
  <c r="E475" i="266"/>
  <c r="E140" i="266"/>
  <c r="E704" i="266"/>
  <c r="E1276" i="266"/>
  <c r="E697" i="266"/>
  <c r="E870" i="266"/>
  <c r="E969" i="266"/>
  <c r="E1141" i="266"/>
  <c r="E1296" i="266"/>
  <c r="E549" i="266"/>
  <c r="E553" i="266"/>
  <c r="E688" i="266"/>
  <c r="E26" i="266"/>
  <c r="E718" i="266"/>
  <c r="E907" i="266"/>
  <c r="E1246" i="266"/>
  <c r="E496" i="266"/>
  <c r="E111" i="266"/>
  <c r="E1140" i="266"/>
  <c r="E461" i="266"/>
  <c r="E197" i="266"/>
  <c r="E1204" i="266"/>
  <c r="E854" i="266"/>
  <c r="E377" i="266"/>
  <c r="E852" i="266"/>
  <c r="E77" i="266"/>
  <c r="E1215" i="266"/>
  <c r="E340" i="266"/>
  <c r="E835" i="266"/>
  <c r="E104" i="266"/>
  <c r="E949" i="266"/>
  <c r="E760" i="266"/>
  <c r="E304" i="266"/>
  <c r="E222" i="266"/>
  <c r="E1354" i="266"/>
  <c r="E1336" i="266"/>
  <c r="E1052" i="266"/>
  <c r="E1158" i="266"/>
  <c r="E1201" i="266"/>
  <c r="E1249" i="266"/>
  <c r="E285" i="266"/>
  <c r="E1260" i="266"/>
  <c r="E236" i="266"/>
  <c r="E253" i="266"/>
  <c r="E1299" i="266"/>
  <c r="E399" i="266"/>
  <c r="E895" i="266"/>
  <c r="E692" i="266"/>
  <c r="E367" i="266"/>
  <c r="E1301" i="266"/>
  <c r="E70" i="266"/>
  <c r="E1056" i="266"/>
  <c r="E745" i="266"/>
  <c r="E1197" i="266"/>
  <c r="E110" i="266"/>
  <c r="E702" i="266"/>
  <c r="E395" i="266"/>
  <c r="E246" i="266"/>
  <c r="E336" i="266"/>
  <c r="E937" i="266"/>
  <c r="E501" i="266"/>
  <c r="E1020" i="266"/>
  <c r="E1345" i="266"/>
  <c r="E43" i="266"/>
  <c r="E660" i="266"/>
  <c r="E1036" i="266"/>
  <c r="E122" i="266"/>
  <c r="E640" i="266"/>
  <c r="E1154" i="266"/>
  <c r="E797" i="266"/>
  <c r="E8" i="266"/>
  <c r="E135" i="266"/>
  <c r="E453" i="266"/>
  <c r="E707" i="266"/>
  <c r="E947" i="266"/>
  <c r="E1232" i="266"/>
  <c r="E1298" i="266"/>
  <c r="E387" i="266"/>
  <c r="E1313" i="266"/>
  <c r="E413" i="266"/>
  <c r="E52" i="266"/>
  <c r="E616" i="266"/>
  <c r="E6" i="266"/>
  <c r="E819" i="266"/>
  <c r="E310" i="266"/>
  <c r="E813" i="266"/>
  <c r="E244" i="266"/>
  <c r="E722" i="266"/>
  <c r="E1254" i="266"/>
  <c r="E703" i="266"/>
  <c r="E162" i="266"/>
  <c r="E495" i="266"/>
  <c r="E203" i="266"/>
  <c r="E265" i="266"/>
  <c r="E198" i="266"/>
  <c r="E921" i="266"/>
  <c r="E871" i="266"/>
  <c r="E726" i="266"/>
  <c r="E1175" i="266"/>
  <c r="E1082" i="266"/>
  <c r="E452" i="266"/>
  <c r="E1142" i="266"/>
  <c r="E658" i="266"/>
  <c r="E935" i="266"/>
  <c r="E391" i="266"/>
  <c r="E245" i="266"/>
  <c r="E1040" i="266"/>
  <c r="E748" i="266"/>
  <c r="E1266" i="266"/>
  <c r="E454" i="266"/>
  <c r="E229" i="266"/>
  <c r="E846" i="266"/>
  <c r="E894" i="266"/>
  <c r="E971" i="266"/>
  <c r="E440" i="266"/>
  <c r="E150" i="266"/>
  <c r="E152" i="266"/>
  <c r="E449" i="266"/>
  <c r="E1205" i="266"/>
  <c r="E724" i="266"/>
  <c r="E573" i="266"/>
  <c r="E623" i="266"/>
  <c r="E431" i="266"/>
  <c r="E1152" i="266"/>
  <c r="E888" i="266"/>
  <c r="E851" i="266"/>
  <c r="E269" i="266"/>
  <c r="E768" i="266"/>
  <c r="E586" i="266"/>
  <c r="E1114" i="266"/>
  <c r="E417" i="266"/>
  <c r="E531" i="266"/>
  <c r="E577" i="266"/>
  <c r="E220" i="266"/>
  <c r="E1358" i="266"/>
  <c r="E881" i="266"/>
  <c r="E31" i="266"/>
  <c r="E99" i="266"/>
  <c r="E339" i="266"/>
  <c r="E548" i="266"/>
  <c r="E1064" i="266"/>
  <c r="E363" i="266"/>
  <c r="E1001" i="266"/>
  <c r="E1151" i="266"/>
  <c r="E606" i="266"/>
  <c r="E118" i="266"/>
  <c r="E370" i="266"/>
  <c r="E968" i="266"/>
  <c r="E778" i="266"/>
  <c r="E1029" i="266"/>
  <c r="E306" i="266"/>
  <c r="E622" i="266"/>
  <c r="E54" i="266"/>
  <c r="E1264" i="266"/>
  <c r="E401" i="266"/>
  <c r="E389" i="266"/>
  <c r="E286" i="266"/>
  <c r="E275" i="266"/>
  <c r="E1285" i="266"/>
  <c r="E1054" i="266"/>
  <c r="E191" i="266"/>
  <c r="E321" i="266"/>
  <c r="E1049" i="266"/>
  <c r="E1002" i="266"/>
  <c r="E764" i="266"/>
  <c r="E73" i="266"/>
  <c r="E467" i="266"/>
  <c r="E1210" i="266"/>
  <c r="E364" i="266"/>
  <c r="E1203" i="266"/>
  <c r="E736" i="266"/>
  <c r="E1357" i="266"/>
  <c r="E799" i="266"/>
  <c r="E717" i="266"/>
  <c r="E706" i="266"/>
  <c r="E948" i="266"/>
  <c r="E1263" i="266"/>
  <c r="E535" i="266"/>
  <c r="E271" i="266"/>
  <c r="E781" i="266"/>
  <c r="E1117" i="266"/>
  <c r="E830" i="266"/>
  <c r="E1095" i="266"/>
  <c r="E534" i="266"/>
  <c r="E913" i="266"/>
  <c r="E619" i="266"/>
  <c r="E1032" i="266"/>
  <c r="E1058" i="266"/>
  <c r="E821" i="266"/>
  <c r="E46" i="266"/>
  <c r="E675" i="266"/>
  <c r="E493" i="266"/>
  <c r="E168" i="266"/>
  <c r="E124" i="266"/>
  <c r="E83" i="266"/>
  <c r="E158" i="266"/>
  <c r="E730" i="266"/>
  <c r="E322" i="266"/>
  <c r="E780" i="266"/>
  <c r="E184" i="266"/>
  <c r="E1149" i="266"/>
  <c r="E657" i="266"/>
  <c r="E1130" i="266"/>
  <c r="E599" i="266"/>
  <c r="E629" i="266"/>
  <c r="E750" i="266"/>
  <c r="E859" i="266"/>
  <c r="E328" i="266"/>
  <c r="E833" i="266"/>
  <c r="E155" i="266"/>
  <c r="E1245" i="266"/>
  <c r="E303" i="266"/>
  <c r="E1288" i="266"/>
  <c r="E415" i="266"/>
  <c r="E994" i="266"/>
  <c r="E1187" i="266"/>
  <c r="E1180" i="266"/>
  <c r="E388" i="266"/>
  <c r="E529" i="266"/>
  <c r="E855" i="266"/>
  <c r="E250" i="266"/>
  <c r="E1126" i="266"/>
  <c r="E93" i="266"/>
  <c r="E519" i="266"/>
  <c r="E471" i="266"/>
  <c r="E34" i="266"/>
  <c r="E625" i="266"/>
  <c r="E327" i="266"/>
  <c r="E621" i="266"/>
  <c r="E1088" i="266"/>
  <c r="E81" i="266"/>
  <c r="E539" i="266"/>
  <c r="E287" i="266"/>
  <c r="E597" i="266"/>
  <c r="E1277" i="266"/>
  <c r="E967" i="266"/>
  <c r="E608" i="266"/>
  <c r="E274" i="266"/>
  <c r="E649" i="266"/>
  <c r="E1132" i="266"/>
  <c r="E177" i="266"/>
  <c r="E545" i="266"/>
  <c r="E933" i="266"/>
  <c r="E215" i="266"/>
  <c r="E1213" i="266"/>
  <c r="E82" i="266"/>
  <c r="E737" i="266"/>
  <c r="E1023" i="266"/>
  <c r="E1279" i="266"/>
  <c r="E757" i="266"/>
  <c r="E930" i="266"/>
  <c r="E473" i="266"/>
  <c r="E583" i="266"/>
  <c r="E175" i="266"/>
  <c r="E1328" i="266"/>
  <c r="E381" i="266"/>
  <c r="E1164" i="266"/>
  <c r="E101" i="266"/>
  <c r="E541" i="266"/>
  <c r="E803" i="266"/>
  <c r="E941" i="266"/>
  <c r="E487" i="266"/>
  <c r="E708" i="266"/>
  <c r="E60" i="266"/>
  <c r="E817" i="266"/>
  <c r="E332" i="266"/>
  <c r="E818" i="266"/>
  <c r="E374" i="266"/>
  <c r="E1271" i="266"/>
  <c r="E51" i="266"/>
  <c r="E650" i="266"/>
  <c r="E35" i="266"/>
  <c r="E1148" i="266"/>
  <c r="E1024" i="266"/>
  <c r="E1268" i="266"/>
  <c r="E920" i="266"/>
  <c r="E1108" i="266"/>
  <c r="E518" i="266"/>
  <c r="E472" i="266"/>
  <c r="E1134" i="266"/>
  <c r="E741" i="266"/>
  <c r="E139" i="266"/>
  <c r="E1196" i="266"/>
  <c r="E385" i="266"/>
  <c r="E23" i="266"/>
  <c r="E411" i="266"/>
  <c r="E1051" i="266"/>
  <c r="E1329" i="266"/>
  <c r="E943" i="266"/>
  <c r="E80" i="266"/>
  <c r="E296" i="266"/>
  <c r="E115" i="266"/>
  <c r="E400" i="266"/>
  <c r="E425" i="266"/>
  <c r="E713" i="266"/>
  <c r="E382" i="266"/>
  <c r="E354" i="266"/>
  <c r="E1115" i="266"/>
  <c r="E928" i="266"/>
  <c r="E899" i="266"/>
  <c r="E1293" i="266"/>
  <c r="E924" i="266"/>
  <c r="E1009" i="266"/>
  <c r="E831" i="266"/>
  <c r="E695" i="266"/>
  <c r="E483" i="266"/>
  <c r="E361" i="266"/>
  <c r="E412" i="266"/>
  <c r="E1076" i="266"/>
  <c r="E288" i="266"/>
  <c r="E567" i="266"/>
  <c r="E634" i="266"/>
  <c r="E755" i="266"/>
  <c r="E853" i="266"/>
  <c r="E1065" i="266"/>
  <c r="E422" i="266"/>
  <c r="E1223" i="266"/>
  <c r="E1305" i="266"/>
  <c r="E72" i="266"/>
  <c r="E491" i="266"/>
  <c r="E992" i="266"/>
  <c r="E801" i="266"/>
  <c r="E1166" i="266"/>
  <c r="E443" i="266"/>
  <c r="E1101" i="266"/>
  <c r="E202" i="266"/>
  <c r="E514" i="266"/>
  <c r="E1018" i="266"/>
  <c r="E596" i="266"/>
  <c r="E615" i="266"/>
  <c r="E693" i="266"/>
  <c r="E329" i="266"/>
  <c r="E1350" i="266"/>
  <c r="E648" i="266"/>
  <c r="E667" i="266"/>
  <c r="E900" i="266"/>
  <c r="E723" i="266"/>
  <c r="E1150" i="266"/>
  <c r="E834" i="266"/>
  <c r="E13" i="266"/>
  <c r="E22" i="266"/>
  <c r="E325" i="266"/>
  <c r="E910" i="266"/>
  <c r="E903" i="266"/>
  <c r="E958" i="266"/>
  <c r="E1335" i="266"/>
  <c r="E270" i="266"/>
  <c r="E1259" i="266"/>
  <c r="E226" i="266"/>
  <c r="E774" i="266"/>
  <c r="E1106" i="266"/>
  <c r="E503" i="266"/>
  <c r="E1059" i="266"/>
  <c r="E1169" i="266"/>
  <c r="E996" i="266"/>
  <c r="E689" i="266"/>
  <c r="E1346" i="266"/>
  <c r="E521" i="266"/>
  <c r="E164" i="266"/>
  <c r="E1113" i="266"/>
  <c r="E509" i="266"/>
  <c r="E587" i="266"/>
  <c r="E458" i="266"/>
  <c r="E786" i="266"/>
  <c r="E1071" i="266"/>
  <c r="E141" i="266"/>
  <c r="E337" i="266"/>
  <c r="E800" i="266"/>
  <c r="E1319" i="266"/>
  <c r="E1316" i="266"/>
  <c r="E157" i="266"/>
  <c r="E793" i="266"/>
  <c r="E146" i="266"/>
  <c r="E462" i="266"/>
  <c r="E442" i="266"/>
  <c r="E766" i="266"/>
  <c r="E794" i="266"/>
  <c r="E189" i="266"/>
  <c r="E511" i="266"/>
  <c r="E185" i="266"/>
  <c r="E92" i="266"/>
  <c r="E810" i="266"/>
  <c r="E61" i="266"/>
  <c r="E1240" i="266"/>
  <c r="E251" i="266"/>
  <c r="E98" i="266"/>
  <c r="E932" i="266"/>
  <c r="E1110" i="266"/>
  <c r="E1250" i="266"/>
  <c r="E438" i="266"/>
  <c r="E17" i="266"/>
  <c r="E469" i="266"/>
  <c r="E953" i="266"/>
  <c r="E1342" i="266"/>
  <c r="E537" i="266"/>
  <c r="E1133" i="266"/>
  <c r="E362" i="266"/>
  <c r="E1337" i="266"/>
  <c r="E1138" i="266"/>
  <c r="E277" i="266"/>
  <c r="E638" i="266"/>
  <c r="E527" i="266"/>
  <c r="E1103" i="266"/>
  <c r="E769" i="266"/>
  <c r="E1176" i="266"/>
  <c r="E923" i="266"/>
  <c r="E107" i="266"/>
  <c r="E770" i="266"/>
  <c r="E256" i="266"/>
  <c r="E652" i="266"/>
  <c r="E346" i="266"/>
  <c r="E409" i="266"/>
  <c r="E114" i="266"/>
  <c r="E918" i="266"/>
  <c r="E190" i="266"/>
  <c r="E839" i="266"/>
  <c r="E1272" i="266"/>
  <c r="E970" i="266"/>
  <c r="E314" i="266"/>
  <c r="E1019" i="266"/>
  <c r="E1284" i="266"/>
  <c r="E106" i="266"/>
  <c r="E116" i="266"/>
  <c r="E1192" i="266"/>
  <c r="E123" i="266"/>
  <c r="E862" i="266"/>
  <c r="E416" i="266"/>
  <c r="E927" i="266"/>
  <c r="E581" i="266"/>
  <c r="E1155" i="266"/>
  <c r="E525" i="266"/>
  <c r="E963" i="266"/>
  <c r="E1302" i="266"/>
  <c r="E176" i="266"/>
  <c r="E823" i="266"/>
  <c r="E841" i="266"/>
  <c r="E317" i="266"/>
  <c r="E617" i="266"/>
  <c r="E524" i="266"/>
  <c r="E631" i="266"/>
  <c r="E883" i="266"/>
  <c r="E919" i="266"/>
  <c r="E719" i="266"/>
  <c r="E1198" i="266"/>
  <c r="E946" i="266"/>
  <c r="E701" i="266"/>
  <c r="E644" i="266"/>
  <c r="E916" i="266"/>
  <c r="E1136" i="266"/>
  <c r="E196" i="266"/>
  <c r="E700" i="266"/>
  <c r="E1330" i="266"/>
  <c r="E637" i="266"/>
  <c r="E1220" i="266"/>
  <c r="E960" i="266"/>
  <c r="E939" i="266"/>
  <c r="E507" i="266"/>
  <c r="E58" i="266"/>
  <c r="E643" i="266"/>
  <c r="E902" i="266"/>
  <c r="E551" i="266"/>
  <c r="E97" i="266"/>
  <c r="E242" i="266"/>
  <c r="E1311" i="266"/>
  <c r="E331" i="266"/>
  <c r="E594" i="266"/>
  <c r="E685" i="266"/>
  <c r="E451" i="266"/>
  <c r="E673" i="266"/>
  <c r="E36" i="266"/>
  <c r="E24" i="266"/>
  <c r="E1278" i="266"/>
  <c r="E574" i="266"/>
  <c r="E682" i="266"/>
  <c r="E199" i="266"/>
  <c r="E844" i="266"/>
  <c r="E232" i="266"/>
  <c r="E294" i="266"/>
  <c r="E866" i="266"/>
  <c r="E1147" i="266"/>
  <c r="E437" i="266"/>
  <c r="E709" i="266"/>
  <c r="E333" i="266"/>
  <c r="E639" i="266"/>
  <c r="E356" i="266"/>
  <c r="E1062" i="266"/>
  <c r="E405" i="266"/>
  <c r="E1195" i="266"/>
  <c r="E1281" i="266"/>
  <c r="E1010" i="266"/>
  <c r="E699" i="266"/>
  <c r="E940" i="266"/>
  <c r="E1131" i="266"/>
  <c r="E414" i="266"/>
  <c r="E734" i="266"/>
  <c r="E1188" i="266"/>
  <c r="E950" i="266"/>
  <c r="E290" i="266"/>
  <c r="E618" i="266"/>
  <c r="E526" i="266"/>
  <c r="E292" i="266"/>
  <c r="E171" i="266"/>
  <c r="E1163" i="266"/>
  <c r="E209" i="266"/>
  <c r="E861" i="266"/>
  <c r="E499" i="266"/>
  <c r="E1331" i="266"/>
  <c r="E705" i="266"/>
  <c r="E593" i="266"/>
  <c r="E230" i="266"/>
  <c r="E772" i="266"/>
  <c r="E1270" i="266"/>
  <c r="E556" i="266"/>
  <c r="E228" i="266"/>
  <c r="E149" i="266"/>
  <c r="E1063" i="266"/>
  <c r="E676" i="266"/>
  <c r="E1303" i="266"/>
  <c r="E812" i="266"/>
  <c r="E439" i="266"/>
  <c r="E1118" i="266"/>
  <c r="E864" i="266"/>
  <c r="E614" i="266"/>
  <c r="E1242" i="266"/>
  <c r="E50" i="266"/>
  <c r="E159" i="266"/>
  <c r="E656" i="266"/>
  <c r="E728" i="266"/>
  <c r="E1124" i="266"/>
  <c r="E1253" i="266"/>
  <c r="E829" i="266"/>
  <c r="E809" i="266"/>
  <c r="E1053" i="266"/>
  <c r="E1304" i="266"/>
  <c r="E20" i="266"/>
  <c r="E654" i="266"/>
  <c r="E1267" i="266"/>
  <c r="E109" i="266"/>
  <c r="E66" i="266"/>
  <c r="E434" i="266"/>
  <c r="E221" i="266"/>
  <c r="E145" i="266"/>
  <c r="E513" i="266"/>
  <c r="E1015" i="266"/>
  <c r="E239" i="266"/>
  <c r="E1135" i="266"/>
  <c r="E1174" i="266"/>
  <c r="E558" i="266"/>
  <c r="E476" i="266"/>
  <c r="E3" i="266"/>
  <c r="E252" i="266"/>
  <c r="E1274" i="266"/>
  <c r="E1171" i="266"/>
  <c r="E266" i="266"/>
  <c r="E965" i="266"/>
  <c r="E373" i="266"/>
  <c r="E1323" i="266"/>
  <c r="E832" i="266"/>
  <c r="E678" i="266"/>
  <c r="E1290" i="266"/>
  <c r="E308" i="266"/>
  <c r="E94" i="266"/>
  <c r="E731" i="266"/>
  <c r="E600" i="266"/>
  <c r="E672" i="266"/>
  <c r="E874" i="266"/>
  <c r="E683" i="266"/>
  <c r="E1322" i="266"/>
  <c r="E397" i="266"/>
  <c r="E570" i="266"/>
  <c r="E508" i="266"/>
  <c r="E662" i="266"/>
  <c r="E86" i="266"/>
  <c r="E1031" i="266"/>
  <c r="E1295" i="266"/>
  <c r="E349" i="266"/>
  <c r="E929" i="266"/>
  <c r="E976" i="266"/>
  <c r="E665" i="266"/>
  <c r="E1079" i="266"/>
  <c r="E776" i="266"/>
  <c r="E922" i="266"/>
  <c r="E588" i="266"/>
  <c r="E1219" i="266"/>
  <c r="E684" i="266"/>
  <c r="E1294" i="266"/>
  <c r="E1199" i="266"/>
  <c r="E1094" i="266"/>
  <c r="E355" i="266"/>
  <c r="E620" i="266"/>
  <c r="E163" i="266"/>
  <c r="E1190" i="266"/>
  <c r="E1230" i="266"/>
  <c r="E15" i="266"/>
  <c r="E759" i="266"/>
  <c r="E711" i="266"/>
  <c r="E113" i="266"/>
  <c r="E1097" i="266"/>
  <c r="E1096" i="266"/>
  <c r="E857" i="266"/>
  <c r="E792" i="266"/>
  <c r="E822" i="266"/>
  <c r="E1006" i="266"/>
  <c r="E783" i="266"/>
  <c r="E359" i="266"/>
  <c r="E344" i="266"/>
  <c r="E231" i="266"/>
  <c r="E645" i="266"/>
  <c r="E1007" i="266"/>
  <c r="E446" i="266"/>
  <c r="E756" i="266"/>
  <c r="E247" i="266"/>
  <c r="E87" i="266"/>
  <c r="E1326" i="266"/>
  <c r="E710" i="266"/>
  <c r="E394" i="266"/>
  <c r="E1236" i="266"/>
  <c r="E318" i="266"/>
  <c r="E1028" i="266"/>
  <c r="E32" i="266"/>
  <c r="E721" i="266"/>
  <c r="E582" i="266"/>
  <c r="E76" i="266"/>
  <c r="E343" i="266"/>
  <c r="E30" i="266"/>
  <c r="E1021" i="266"/>
  <c r="E1349" i="266"/>
  <c r="E869" i="266"/>
  <c r="E938" i="266"/>
  <c r="E347" i="266"/>
  <c r="E989" i="266"/>
  <c r="E352" i="266"/>
  <c r="E510" i="266"/>
  <c r="E315" i="266"/>
  <c r="E16" i="266"/>
  <c r="E1177" i="266"/>
  <c r="E975" i="266"/>
  <c r="E137" i="266"/>
  <c r="E1247" i="266"/>
  <c r="E838" i="266"/>
  <c r="E893" i="266"/>
  <c r="E580" i="266"/>
  <c r="E565" i="266"/>
  <c r="E1182" i="266"/>
  <c r="E879" i="266"/>
  <c r="E262" i="266"/>
  <c r="E293" i="266"/>
  <c r="E320" i="266"/>
  <c r="E301" i="266"/>
  <c r="E1300" i="266"/>
  <c r="E502" i="266"/>
  <c r="E1159" i="266"/>
  <c r="E179" i="266"/>
  <c r="E326" i="266"/>
  <c r="E1289" i="266"/>
  <c r="E380" i="266"/>
  <c r="E1252" i="266"/>
  <c r="E806" i="266"/>
  <c r="E313" i="266"/>
  <c r="E1183" i="266"/>
  <c r="E712" i="266"/>
  <c r="E613" i="266"/>
  <c r="E125" i="266"/>
  <c r="E264" i="266"/>
  <c r="E59" i="266"/>
  <c r="E842" i="266"/>
  <c r="E1325" i="266"/>
  <c r="E516" i="266"/>
  <c r="E814" i="266"/>
  <c r="E460" i="266"/>
  <c r="E1069" i="266"/>
  <c r="E1081" i="266"/>
  <c r="E651" i="266"/>
  <c r="E1086" i="266"/>
  <c r="E886" i="266"/>
  <c r="E448" i="266"/>
  <c r="E661" i="266"/>
  <c r="E964" i="266"/>
  <c r="E429" i="266"/>
  <c r="E848" i="266"/>
  <c r="E121" i="266"/>
  <c r="E805" i="266"/>
  <c r="E44" i="266"/>
  <c r="E393" i="266"/>
  <c r="E635" i="266"/>
  <c r="E815" i="266"/>
  <c r="E112" i="266"/>
  <c r="E29" i="266"/>
  <c r="E666" i="266"/>
  <c r="E1153" i="266"/>
  <c r="E1168" i="266"/>
  <c r="E1072" i="266"/>
  <c r="E1061" i="266"/>
  <c r="E1111" i="266"/>
  <c r="E341" i="266"/>
  <c r="E1109" i="266"/>
  <c r="E1004" i="266"/>
  <c r="E909" i="266"/>
  <c r="E1005" i="266"/>
  <c r="E1239" i="266"/>
  <c r="E1282" i="266"/>
  <c r="E56" i="266"/>
  <c r="E647" i="266"/>
  <c r="E1243" i="266"/>
  <c r="E84" i="266"/>
  <c r="E505" i="266"/>
  <c r="E1014" i="266"/>
  <c r="E988" i="266"/>
  <c r="E1202" i="266"/>
  <c r="E345" i="266"/>
  <c r="E319" i="266"/>
  <c r="E1212" i="266"/>
  <c r="E41" i="266"/>
  <c r="E911" i="266"/>
  <c r="E1070" i="266"/>
  <c r="E885" i="266"/>
  <c r="E630" i="266"/>
  <c r="E350" i="266"/>
  <c r="E78" i="266"/>
  <c r="E1091" i="266"/>
  <c r="E444" i="266"/>
  <c r="E554" i="266"/>
  <c r="E1338" i="266"/>
  <c r="E589" i="266"/>
  <c r="E1309" i="266"/>
  <c r="E427" i="266"/>
  <c r="E307" i="266"/>
  <c r="E972" i="266"/>
  <c r="E105" i="266"/>
  <c r="E533" i="266"/>
  <c r="E1008" i="266"/>
  <c r="E284" i="266"/>
  <c r="E530" i="266"/>
  <c r="E1025" i="266"/>
  <c r="E987" i="266"/>
  <c r="E1291" i="266"/>
  <c r="E1122" i="266"/>
  <c r="E1156" i="266"/>
  <c r="E1238" i="266"/>
  <c r="E133" i="266"/>
  <c r="E779" i="266"/>
  <c r="E1011" i="266"/>
  <c r="E27" i="266"/>
  <c r="E273" i="266"/>
  <c r="E457" i="266"/>
  <c r="E1244" i="266"/>
  <c r="E1067" i="266"/>
  <c r="E788" i="266"/>
  <c r="E1043" i="266"/>
  <c r="E53" i="266"/>
  <c r="E1353" i="266"/>
  <c r="E742" i="266"/>
  <c r="E523" i="266"/>
  <c r="E120" i="266"/>
  <c r="E12" i="266"/>
  <c r="E37" i="266"/>
  <c r="E795" i="266"/>
  <c r="E584" i="266"/>
  <c r="E358" i="266"/>
  <c r="E186" i="266"/>
  <c r="E550" i="266"/>
  <c r="E396" i="266"/>
  <c r="E436" i="266"/>
  <c r="E739" i="266"/>
  <c r="E1189" i="266"/>
  <c r="E1179" i="266"/>
  <c r="E936" i="266"/>
  <c r="E1226" i="266"/>
  <c r="E1312" i="266"/>
  <c r="E798" i="266"/>
  <c r="E468" i="266"/>
  <c r="E720" i="266"/>
  <c r="E646" i="266"/>
  <c r="E889" i="266"/>
  <c r="E383" i="266"/>
  <c r="E57" i="266"/>
  <c r="E555" i="266"/>
  <c r="E738" i="266"/>
  <c r="E353" i="266"/>
  <c r="E873" i="266"/>
  <c r="E1255" i="266"/>
  <c r="E38" i="266"/>
  <c r="E398" i="266"/>
  <c r="E668" i="266"/>
  <c r="E240" i="266"/>
  <c r="E1017" i="266"/>
  <c r="E655" i="266"/>
  <c r="E725" i="266"/>
  <c r="E67" i="266"/>
  <c r="E993" i="266"/>
  <c r="E578" i="266"/>
  <c r="E28" i="266"/>
  <c r="E1127" i="266"/>
  <c r="E945" i="266"/>
  <c r="E210" i="266"/>
  <c r="E890" i="266"/>
  <c r="E628" i="266"/>
  <c r="E716" i="266"/>
  <c r="E62" i="266"/>
  <c r="E1228" i="266"/>
  <c r="E605" i="266"/>
  <c r="E143" i="266"/>
  <c r="E1172" i="266"/>
  <c r="E214" i="266"/>
  <c r="E607" i="266"/>
  <c r="E249" i="266"/>
  <c r="E498" i="266"/>
  <c r="E63" i="266"/>
  <c r="E1035" i="266"/>
  <c r="E200" i="266"/>
  <c r="E1026" i="266"/>
  <c r="E677" i="266"/>
  <c r="E428" i="266"/>
  <c r="E733" i="266"/>
  <c r="E289" i="266"/>
  <c r="E238" i="266"/>
  <c r="E1275" i="266"/>
  <c r="E1000" i="266"/>
  <c r="E694" i="266"/>
  <c r="E552" i="266"/>
  <c r="E1344" i="266"/>
  <c r="E254" i="266"/>
  <c r="E1347" i="266"/>
  <c r="E1167" i="266"/>
  <c r="E4" i="266"/>
  <c r="E1165" i="266"/>
  <c r="E1327" i="266"/>
  <c r="E804" i="266"/>
  <c r="E299" i="266"/>
  <c r="E1112" i="266"/>
  <c r="E1207" i="266"/>
  <c r="E1343" i="266"/>
  <c r="E1099" i="266"/>
  <c r="E424" i="266"/>
  <c r="E1129" i="266"/>
  <c r="E423" i="266"/>
  <c r="E752" i="266"/>
  <c r="E174" i="266"/>
  <c r="E1016" i="266"/>
  <c r="E847" i="266"/>
  <c r="E901" i="266"/>
  <c r="E850" i="266"/>
  <c r="E402" i="266"/>
  <c r="E1044" i="266"/>
  <c r="E369" i="266"/>
  <c r="E227" i="266"/>
  <c r="E1105" i="266"/>
  <c r="E474" i="266"/>
  <c r="E546" i="266"/>
  <c r="E267" i="266"/>
  <c r="E674" i="266"/>
  <c r="E357" i="266"/>
  <c r="E641" i="266"/>
  <c r="E170" i="266"/>
  <c r="E887" i="266"/>
  <c r="E300" i="266"/>
  <c r="E243" i="266"/>
  <c r="E182" i="266"/>
  <c r="E849" i="266"/>
  <c r="E49" i="266"/>
  <c r="E687" i="266"/>
  <c r="E985" i="266"/>
  <c r="E820" i="266"/>
  <c r="E897" i="266"/>
  <c r="E479" i="266"/>
  <c r="E826" i="266"/>
  <c r="E882" i="266"/>
  <c r="E147" i="266"/>
  <c r="E1217" i="266"/>
  <c r="E142" i="266"/>
  <c r="E990" i="266"/>
  <c r="E172" i="266"/>
  <c r="E212" i="266"/>
  <c r="E1227" i="266"/>
  <c r="E1060" i="266"/>
  <c r="E743" i="266"/>
  <c r="E1046" i="266"/>
  <c r="E360" i="266"/>
  <c r="E1340" i="266"/>
  <c r="E85" i="266"/>
  <c r="E777" i="266"/>
  <c r="E96" i="266"/>
  <c r="E45" i="266"/>
  <c r="E1003" i="266"/>
  <c r="E773" i="266"/>
  <c r="E1030" i="266"/>
  <c r="E601" i="266"/>
  <c r="E784" i="266"/>
  <c r="E218" i="266"/>
  <c r="E1235" i="266"/>
  <c r="E129" i="266"/>
  <c r="E302" i="266"/>
  <c r="E986" i="266"/>
  <c r="E954" i="266"/>
  <c r="E39" i="266"/>
  <c r="E1116" i="266"/>
  <c r="E126" i="266"/>
  <c r="E591" i="266"/>
  <c r="E973" i="266"/>
  <c r="E324" i="266"/>
  <c r="E785" i="266"/>
  <c r="E544" i="266"/>
  <c r="E1256" i="266"/>
  <c r="E207" i="266"/>
  <c r="E312" i="266"/>
  <c r="E223" i="266"/>
  <c r="E898" i="266"/>
  <c r="E406" i="266"/>
  <c r="E237" i="266"/>
  <c r="E1315" i="266"/>
  <c r="E1333" i="266"/>
  <c r="E860" i="266"/>
  <c r="E974" i="266"/>
  <c r="E291" i="266"/>
  <c r="E1317" i="266"/>
  <c r="E560" i="266"/>
  <c r="E1257" i="266"/>
  <c r="E763" i="266"/>
  <c r="E751" i="266"/>
  <c r="E1324" i="266"/>
  <c r="E961" i="266"/>
  <c r="E330" i="266"/>
  <c r="E543" i="266"/>
  <c r="E867" i="266"/>
  <c r="E441" i="266"/>
  <c r="E532" i="266"/>
  <c r="E1100" i="266"/>
  <c r="E1144" i="266"/>
  <c r="E984" i="266"/>
  <c r="E68" i="266"/>
  <c r="E1208" i="266"/>
  <c r="E761" i="266"/>
  <c r="E636" i="266"/>
  <c r="E997" i="266"/>
  <c r="E1022" i="266"/>
  <c r="E1351" i="266"/>
  <c r="E758" i="266"/>
  <c r="E904" i="266"/>
  <c r="E65" i="266"/>
  <c r="E279" i="266"/>
  <c r="E208" i="266"/>
  <c r="E19" i="266"/>
  <c r="E568" i="266"/>
  <c r="E746" i="266"/>
  <c r="E103" i="266"/>
  <c r="E482" i="266"/>
  <c r="E1034" i="266"/>
  <c r="E160" i="266"/>
  <c r="E1107" i="266"/>
  <c r="E272" i="266"/>
  <c r="E663" i="266"/>
  <c r="E455" i="266"/>
  <c r="E1348" i="266"/>
  <c r="E71" i="266"/>
  <c r="E1037" i="266"/>
  <c r="E612" i="266"/>
  <c r="E298" i="266"/>
  <c r="E1292" i="266"/>
  <c r="E1339" i="266"/>
  <c r="E258" i="266"/>
  <c r="E392" i="266"/>
  <c r="E316" i="266"/>
  <c r="E225" i="266"/>
  <c r="E690" i="266"/>
  <c r="E235" i="266"/>
  <c r="E1038" i="266"/>
  <c r="E488" i="266"/>
  <c r="E1048" i="266"/>
  <c r="E403" i="266"/>
  <c r="E1033" i="266"/>
  <c r="E561" i="266"/>
  <c r="E1089" i="266"/>
  <c r="E100" i="266"/>
  <c r="E211" i="266"/>
  <c r="E372" i="266"/>
  <c r="E891" i="266"/>
  <c r="E557" i="266"/>
  <c r="E1310" i="266"/>
  <c r="E1128" i="266"/>
  <c r="E260" i="266"/>
  <c r="E791" i="266"/>
  <c r="E180" i="266"/>
  <c r="E1123" i="266"/>
  <c r="E876" i="266"/>
  <c r="E517" i="266"/>
  <c r="E181" i="266"/>
  <c r="E824" i="266"/>
  <c r="E1265" i="266"/>
  <c r="E727" i="266"/>
  <c r="E775" i="266"/>
  <c r="E681" i="266"/>
  <c r="E515" i="266"/>
  <c r="E908" i="266"/>
  <c r="E42" i="266"/>
  <c r="E1258" i="266"/>
  <c r="E633" i="266"/>
  <c r="E1229" i="266"/>
  <c r="E626" i="266"/>
  <c r="E167" i="266"/>
  <c r="E1186" i="266"/>
  <c r="E575" i="266"/>
  <c r="E233" i="266"/>
  <c r="E576" i="266"/>
  <c r="E1170" i="266"/>
  <c r="E450" i="266"/>
  <c r="E825" i="266"/>
  <c r="E1225" i="266"/>
  <c r="E1102" i="266"/>
  <c r="E351" i="266"/>
  <c r="E1066" i="266"/>
  <c r="E1361" i="266"/>
  <c r="E604" i="266"/>
  <c r="E671" i="266"/>
  <c r="E767" i="266"/>
  <c r="E1287" i="266"/>
  <c r="E926" i="266"/>
  <c r="E590" i="266"/>
  <c r="E368" i="266"/>
  <c r="E375" i="266"/>
  <c r="E1137" i="266"/>
  <c r="E934" i="266"/>
  <c r="E1191" i="266"/>
  <c r="E1234" i="266"/>
  <c r="E433" i="266"/>
  <c r="E611" i="266"/>
  <c r="E572" i="266"/>
  <c r="E216" i="266"/>
  <c r="E506" i="266"/>
  <c r="E828" i="266"/>
  <c r="E187" i="266"/>
  <c r="E536" i="266"/>
  <c r="E1157" i="266"/>
  <c r="E108" i="266"/>
  <c r="E915" i="266"/>
  <c r="E698" i="266"/>
  <c r="E740" i="266"/>
  <c r="E977" i="266"/>
  <c r="E404" i="266"/>
  <c r="E18" i="266"/>
  <c r="E982" i="266"/>
  <c r="E48" i="266"/>
  <c r="E917" i="266"/>
  <c r="E1055" i="266"/>
  <c r="E297" i="266"/>
  <c r="E1077" i="266"/>
  <c r="E1039" i="266"/>
  <c r="E165" i="266"/>
  <c r="E280" i="266"/>
  <c r="E1013" i="266"/>
  <c r="E136" i="266"/>
  <c r="E193" i="266"/>
  <c r="E257" i="266"/>
  <c r="E670" i="266"/>
  <c r="E1307" i="266"/>
  <c r="E419" i="266"/>
  <c r="E282" i="266"/>
  <c r="E131" i="266"/>
  <c r="E1248" i="266"/>
  <c r="E365" i="266"/>
  <c r="E696" i="266"/>
  <c r="E991" i="266"/>
  <c r="E173" i="266"/>
  <c r="E465" i="266"/>
  <c r="E128" i="266"/>
  <c r="E464" i="266"/>
  <c r="E983" i="266"/>
  <c r="E376" i="266"/>
  <c r="E470" i="266"/>
  <c r="E836" i="266"/>
  <c r="E1120" i="266"/>
  <c r="E942" i="266"/>
  <c r="E1200" i="266"/>
  <c r="E311" i="266"/>
  <c r="E1093" i="266"/>
  <c r="E459" i="266"/>
  <c r="E178" i="266"/>
  <c r="E248" i="266"/>
  <c r="E407" i="266"/>
  <c r="E691" i="266"/>
  <c r="E754" i="266"/>
  <c r="E729" i="266"/>
  <c r="E1027" i="266"/>
  <c r="E1083" i="266"/>
  <c r="E348" i="266"/>
  <c r="E669" i="266"/>
  <c r="E1334" i="266"/>
  <c r="E378" i="266"/>
  <c r="E335" i="266"/>
  <c r="E1145" i="266"/>
  <c r="E276" i="266"/>
  <c r="E896" i="266"/>
  <c r="E1231" i="266"/>
  <c r="E1119" i="266"/>
  <c r="E592" i="266"/>
  <c r="E156" i="266"/>
  <c r="E1047" i="266"/>
  <c r="E571" i="266"/>
  <c r="E1224" i="266"/>
  <c r="E234" i="266"/>
  <c r="E865" i="266"/>
  <c r="E283" i="266"/>
  <c r="E782" i="266"/>
  <c r="E384" i="266"/>
  <c r="E905" i="266"/>
  <c r="E153" i="266"/>
  <c r="E1216" i="266"/>
  <c r="E420" i="266"/>
  <c r="E542" i="266"/>
  <c r="E966" i="266"/>
  <c r="E559" i="266"/>
  <c r="E999" i="266"/>
  <c r="E295" i="266"/>
  <c r="E602" i="266"/>
  <c r="E410" i="266"/>
  <c r="E204" i="266"/>
  <c r="E1341" i="266"/>
  <c r="E481" i="266"/>
  <c r="E880" i="266"/>
  <c r="E478" i="266"/>
  <c r="E132" i="266"/>
  <c r="E789" i="266"/>
  <c r="E194" i="266"/>
  <c r="E504" i="266"/>
  <c r="E787" i="266"/>
  <c r="E1314" i="266"/>
  <c r="E808" i="266"/>
  <c r="E1068" i="266"/>
  <c r="E802" i="266"/>
  <c r="E1121" i="266"/>
  <c r="E906" i="266"/>
  <c r="E1332" i="266"/>
  <c r="E837" i="266"/>
  <c r="E1251" i="266"/>
  <c r="E426" i="266"/>
  <c r="E952" i="266"/>
  <c r="E1211" i="266"/>
  <c r="E998" i="266"/>
  <c r="E278" i="266"/>
  <c r="E749" i="266"/>
  <c r="E206" i="266"/>
  <c r="E959" i="266"/>
  <c r="E494" i="266"/>
  <c r="E624" i="266"/>
  <c r="E466" i="266"/>
  <c r="E1160" i="266"/>
  <c r="E609" i="266"/>
  <c r="E188" i="266"/>
  <c r="E224" i="266"/>
  <c r="E268" i="266"/>
  <c r="E64" i="266"/>
  <c r="E925" i="266"/>
  <c r="E653" i="266"/>
  <c r="E1073" i="266"/>
  <c r="E432" i="266"/>
  <c r="E595" i="266"/>
  <c r="E1092" i="266"/>
  <c r="E195" i="266"/>
  <c r="E957" i="266"/>
  <c r="E489" i="266"/>
  <c r="E366" i="266"/>
  <c r="E1181" i="266"/>
  <c r="E418" i="266"/>
  <c r="E148" i="266"/>
  <c r="E88" i="266"/>
  <c r="E680" i="266"/>
  <c r="E562" i="266"/>
  <c r="E11" i="266"/>
  <c r="E1273" i="266"/>
  <c r="E2" i="266"/>
  <c r="E1041" i="266"/>
  <c r="E161" i="266"/>
  <c r="E547" i="266"/>
  <c r="E1356" i="266"/>
  <c r="E1104" i="266"/>
  <c r="E1050" i="266"/>
  <c r="E1045" i="266"/>
  <c r="E868" i="266"/>
  <c r="E33" i="266"/>
  <c r="E1237" i="266"/>
  <c r="E1269" i="266"/>
  <c r="E1085" i="266"/>
  <c r="E642" i="266"/>
  <c r="E477" i="266"/>
  <c r="E1206" i="266"/>
  <c r="E430" i="266"/>
  <c r="E74" i="266"/>
  <c r="E130" i="266"/>
  <c r="E995" i="266"/>
  <c r="E714" i="266"/>
  <c r="E1221" i="266"/>
  <c r="E1193" i="266"/>
  <c r="E386" i="266"/>
  <c r="E1080" i="266"/>
  <c r="E884" i="266"/>
  <c r="E1057" i="266"/>
  <c r="F179" i="266" l="1"/>
  <c r="F467" i="266"/>
  <c r="F1189" i="266"/>
  <c r="F27" i="266"/>
  <c r="F546" i="266"/>
  <c r="F1146" i="266"/>
  <c r="F1345" i="266"/>
  <c r="F62" i="266"/>
  <c r="F1358" i="266"/>
  <c r="F1037" i="266"/>
  <c r="F1330" i="266"/>
  <c r="F1129" i="266"/>
  <c r="F250" i="266"/>
  <c r="F352" i="266"/>
  <c r="F1006" i="266"/>
  <c r="F1150" i="266"/>
  <c r="F129" i="266"/>
  <c r="F1261" i="266"/>
  <c r="F338" i="266"/>
  <c r="F835" i="266"/>
  <c r="F32" i="266"/>
  <c r="F470" i="266"/>
  <c r="F130" i="266"/>
  <c r="F1083" i="266"/>
  <c r="F1194" i="266"/>
  <c r="F1008" i="266"/>
  <c r="F1276" i="266"/>
  <c r="F654" i="266"/>
  <c r="F692" i="266"/>
  <c r="F657" i="266"/>
  <c r="F735" i="266"/>
  <c r="F1293" i="266"/>
  <c r="F868" i="266"/>
  <c r="F1289" i="266"/>
  <c r="F752" i="266"/>
  <c r="F699" i="266"/>
  <c r="F770" i="266"/>
  <c r="F822" i="266"/>
  <c r="F559" i="266"/>
  <c r="F712" i="266"/>
  <c r="F1202" i="266"/>
  <c r="F570" i="266"/>
  <c r="F622" i="266"/>
  <c r="F340" i="266"/>
  <c r="F927" i="266"/>
  <c r="F702" i="266"/>
  <c r="F1047" i="266"/>
  <c r="F103" i="266"/>
  <c r="F887" i="266"/>
  <c r="F1215" i="266"/>
  <c r="F1120" i="266"/>
  <c r="F456" i="266"/>
  <c r="F1143" i="266"/>
  <c r="F772" i="266"/>
  <c r="F315" i="266"/>
  <c r="F869" i="266"/>
  <c r="F765" i="266"/>
  <c r="F812" i="266"/>
  <c r="F915" i="266"/>
  <c r="F679" i="266"/>
  <c r="F1231" i="266"/>
  <c r="F192" i="266"/>
  <c r="F605" i="266"/>
  <c r="F1000" i="266"/>
  <c r="F90" i="266"/>
  <c r="F321" i="266"/>
  <c r="F618" i="266"/>
  <c r="F73" i="266"/>
  <c r="F401" i="266"/>
  <c r="F1087" i="266"/>
  <c r="F994" i="266"/>
  <c r="F616" i="266"/>
  <c r="F680" i="266"/>
  <c r="F660" i="266"/>
  <c r="F719" i="266"/>
  <c r="F1012" i="266"/>
  <c r="F211" i="266"/>
  <c r="F77" i="266"/>
  <c r="F894" i="266"/>
  <c r="F668" i="266"/>
  <c r="F921" i="266"/>
  <c r="F85" i="266"/>
  <c r="F721" i="266"/>
  <c r="F1205" i="266"/>
  <c r="F304" i="266"/>
  <c r="F79" i="266"/>
  <c r="F497" i="266"/>
  <c r="F171" i="266"/>
  <c r="F963" i="266"/>
  <c r="F763" i="266"/>
  <c r="F611" i="266"/>
  <c r="F255" i="266"/>
  <c r="F720" i="266"/>
  <c r="F913" i="266"/>
  <c r="F789" i="266"/>
  <c r="F837" i="266"/>
  <c r="F498" i="266"/>
  <c r="F1349" i="266"/>
  <c r="F1016" i="266"/>
  <c r="F285" i="266"/>
  <c r="F1135" i="266"/>
  <c r="F1287" i="266"/>
  <c r="F236" i="266"/>
  <c r="F1348" i="266"/>
  <c r="F244" i="266"/>
  <c r="F1319" i="266"/>
  <c r="F66" i="266"/>
  <c r="F421" i="266"/>
  <c r="F673" i="266"/>
  <c r="F1029" i="266"/>
  <c r="F169" i="266"/>
  <c r="F762" i="266"/>
  <c r="F448" i="266"/>
  <c r="F912" i="266"/>
  <c r="F1223" i="266"/>
  <c r="F667" i="266"/>
  <c r="F342" i="266"/>
  <c r="F12" i="266"/>
  <c r="F709" i="266"/>
  <c r="F156" i="266"/>
  <c r="F254" i="266"/>
  <c r="F941" i="266"/>
  <c r="F890" i="266"/>
  <c r="F999" i="266"/>
  <c r="F134" i="266"/>
  <c r="F478" i="266"/>
  <c r="F949" i="266"/>
  <c r="F1153" i="266"/>
  <c r="F226" i="266"/>
  <c r="F364" i="266"/>
  <c r="F560" i="266"/>
  <c r="F895" i="266"/>
  <c r="F566" i="266"/>
  <c r="F926" i="266"/>
  <c r="F981" i="266"/>
  <c r="F591" i="266"/>
  <c r="F1344" i="266"/>
  <c r="F933" i="266"/>
  <c r="F813" i="266"/>
  <c r="F634" i="266"/>
  <c r="F1055" i="266"/>
  <c r="F1183" i="266"/>
  <c r="F965" i="266"/>
  <c r="F1288" i="266"/>
  <c r="F530" i="266"/>
  <c r="F107" i="266"/>
  <c r="F1084" i="266"/>
  <c r="F1226" i="266"/>
  <c r="F1207" i="266"/>
  <c r="F665" i="266"/>
  <c r="F262" i="266"/>
  <c r="F1278" i="266"/>
  <c r="F437" i="266"/>
  <c r="F88" i="266"/>
  <c r="F283" i="266"/>
  <c r="F830" i="266"/>
  <c r="F1033" i="266"/>
  <c r="F114" i="266"/>
  <c r="F185" i="266"/>
  <c r="F881" i="266"/>
  <c r="F343" i="266"/>
  <c r="F89" i="266"/>
  <c r="F1100" i="266"/>
  <c r="F934" i="266"/>
  <c r="F1070" i="266"/>
  <c r="F1219" i="266"/>
  <c r="F1191" i="266"/>
  <c r="F706" i="266"/>
  <c r="F1020" i="266"/>
  <c r="F108" i="266"/>
  <c r="F687" i="266"/>
  <c r="F804" i="266"/>
  <c r="F898" i="266"/>
  <c r="F916" i="266"/>
  <c r="F5" i="266"/>
  <c r="F1062" i="266"/>
  <c r="F524" i="266"/>
  <c r="F1057" i="266"/>
  <c r="F785" i="266"/>
  <c r="F939" i="266"/>
  <c r="F157" i="266"/>
  <c r="F500" i="266"/>
  <c r="F1034" i="266"/>
  <c r="F313" i="266"/>
  <c r="F522" i="266"/>
  <c r="F649" i="266"/>
  <c r="F1233" i="266"/>
  <c r="F242" i="266"/>
  <c r="F429" i="266"/>
  <c r="F774" i="266"/>
  <c r="F874" i="266"/>
  <c r="F1079" i="266"/>
  <c r="F181" i="266"/>
  <c r="F1151" i="266"/>
  <c r="F1320" i="266"/>
  <c r="F143" i="266"/>
  <c r="F556" i="266"/>
  <c r="F951" i="266"/>
  <c r="F594" i="266"/>
  <c r="F1318" i="266"/>
  <c r="F900" i="266"/>
  <c r="F395" i="266"/>
  <c r="F110" i="266"/>
  <c r="F138" i="266"/>
  <c r="F1184" i="266"/>
  <c r="F629" i="266"/>
  <c r="F574" i="266"/>
  <c r="F398" i="266"/>
  <c r="F457" i="266"/>
  <c r="F137" i="266"/>
  <c r="F447" i="266"/>
  <c r="F891" i="266"/>
  <c r="F372" i="266"/>
  <c r="F1273" i="266"/>
  <c r="F1274" i="266"/>
  <c r="F348" i="266"/>
  <c r="F229" i="266"/>
  <c r="F463" i="266"/>
  <c r="F917" i="266"/>
  <c r="F149" i="266"/>
  <c r="F536" i="266"/>
  <c r="F1081" i="266"/>
  <c r="F666" i="266"/>
  <c r="F742" i="266"/>
  <c r="F631" i="266"/>
  <c r="F438" i="266"/>
  <c r="F413" i="266"/>
  <c r="F737" i="266"/>
  <c r="F642" i="266"/>
  <c r="F1009" i="266"/>
  <c r="F264" i="266"/>
  <c r="F208" i="266"/>
  <c r="F876" i="266"/>
  <c r="F188" i="266"/>
  <c r="F94" i="266"/>
  <c r="F1021" i="266"/>
  <c r="F392" i="266"/>
  <c r="F1239" i="266"/>
  <c r="F983" i="266"/>
  <c r="F1139" i="266"/>
  <c r="F216" i="266"/>
  <c r="F1267" i="266"/>
  <c r="F683" i="266"/>
  <c r="F439" i="266"/>
  <c r="F195" i="266"/>
  <c r="F326" i="266"/>
  <c r="F879" i="266"/>
  <c r="F1013" i="266"/>
  <c r="F347" i="266"/>
  <c r="F961" i="266"/>
  <c r="F303" i="266"/>
  <c r="F102" i="266"/>
  <c r="F817" i="266"/>
  <c r="F997" i="266"/>
  <c r="F743" i="266"/>
  <c r="F471" i="266"/>
  <c r="F214" i="266"/>
  <c r="F945" i="266"/>
  <c r="F1117" i="266"/>
  <c r="F545" i="266"/>
  <c r="F132" i="266"/>
  <c r="F7" i="266"/>
  <c r="F370" i="266"/>
  <c r="F417" i="266"/>
  <c r="F485" i="266"/>
  <c r="F1195" i="266"/>
  <c r="F998" i="266"/>
  <c r="F685" i="266"/>
  <c r="F1280" i="266"/>
  <c r="F1073" i="266"/>
  <c r="F1032" i="266"/>
  <c r="F1343" i="266"/>
  <c r="F257" i="266"/>
  <c r="F43" i="266"/>
  <c r="F1294" i="266"/>
  <c r="F391" i="266"/>
  <c r="F655" i="266"/>
  <c r="F624" i="266"/>
  <c r="F581" i="266"/>
  <c r="F516" i="266"/>
  <c r="F892" i="266"/>
  <c r="F251" i="266"/>
  <c r="F1270" i="266"/>
  <c r="F1290" i="266"/>
  <c r="F526" i="266"/>
  <c r="F335" i="266"/>
  <c r="F270" i="266"/>
  <c r="F572" i="266"/>
  <c r="F682" i="266"/>
  <c r="F543" i="266"/>
  <c r="F162" i="266"/>
  <c r="F81" i="266"/>
  <c r="F131" i="266"/>
  <c r="F278" i="266"/>
  <c r="F155" i="266"/>
  <c r="F172" i="266"/>
  <c r="F1305" i="266"/>
  <c r="F10" i="266"/>
  <c r="F1141" i="266"/>
  <c r="F482" i="266"/>
  <c r="F1196" i="266"/>
  <c r="F1136" i="266"/>
  <c r="F925" i="266"/>
  <c r="F381" i="266"/>
  <c r="F798" i="266"/>
  <c r="F459" i="266"/>
  <c r="F553" i="266"/>
  <c r="F801" i="266"/>
  <c r="F334" i="266"/>
  <c r="F741" i="266"/>
  <c r="F1185" i="266"/>
  <c r="F672" i="266"/>
  <c r="F1138" i="266"/>
  <c r="F71" i="266"/>
  <c r="F635" i="266"/>
  <c r="F834" i="266"/>
  <c r="F547" i="266"/>
  <c r="F293" i="266"/>
  <c r="F1166" i="266"/>
  <c r="F52" i="266"/>
  <c r="F990" i="266"/>
  <c r="F1328" i="266"/>
  <c r="F426" i="266"/>
  <c r="F766" i="266"/>
  <c r="F1078" i="266"/>
  <c r="F1253" i="266"/>
  <c r="F1104" i="266"/>
  <c r="F141" i="266"/>
  <c r="F113" i="266"/>
  <c r="F95" i="266"/>
  <c r="F1213" i="266"/>
  <c r="F1243" i="266"/>
  <c r="F300" i="266"/>
  <c r="F568" i="266"/>
  <c r="F515" i="266"/>
  <c r="F232" i="266"/>
  <c r="F72" i="266"/>
  <c r="F928" i="266"/>
  <c r="F980" i="266"/>
  <c r="F1093" i="266"/>
  <c r="F1357" i="266"/>
  <c r="F824" i="266"/>
  <c r="F1126" i="266"/>
  <c r="F444" i="266"/>
  <c r="F1031" i="266"/>
  <c r="F1308" i="266"/>
  <c r="F1107" i="266"/>
  <c r="F950" i="266"/>
  <c r="F1297" i="266"/>
  <c r="F555" i="266"/>
  <c r="F366" i="266"/>
  <c r="F778" i="266"/>
  <c r="F1097" i="266"/>
  <c r="F700" i="266"/>
  <c r="F1306" i="266"/>
  <c r="F217" i="266"/>
  <c r="F839" i="266"/>
  <c r="F1300" i="266"/>
  <c r="F393" i="266"/>
  <c r="F16" i="266"/>
  <c r="F1040" i="266"/>
  <c r="F786" i="266"/>
  <c r="F974" i="266"/>
  <c r="F599" i="266"/>
  <c r="F82" i="266"/>
  <c r="F473" i="266"/>
  <c r="F433" i="266"/>
  <c r="F1111" i="266"/>
  <c r="F1101" i="266"/>
  <c r="F302" i="266"/>
  <c r="F731" i="266"/>
  <c r="F280" i="266"/>
  <c r="F151" i="266"/>
  <c r="F1049" i="266"/>
  <c r="F344" i="266"/>
  <c r="F184" i="266"/>
  <c r="F333" i="266"/>
  <c r="F1025" i="266"/>
  <c r="F104" i="266"/>
  <c r="F91" i="266"/>
  <c r="F87" i="266"/>
  <c r="F223" i="266"/>
  <c r="F768" i="266"/>
  <c r="F298" i="266"/>
  <c r="F937" i="266"/>
  <c r="F637" i="266"/>
  <c r="F1066" i="266"/>
  <c r="F154" i="266"/>
  <c r="F487" i="266"/>
  <c r="F646" i="266"/>
  <c r="F681" i="266"/>
  <c r="F909" i="266"/>
  <c r="F286" i="266"/>
  <c r="F289" i="266"/>
  <c r="F636" i="266"/>
  <c r="F652" i="266"/>
  <c r="F324" i="266"/>
  <c r="F1342" i="266"/>
  <c r="F1346" i="266"/>
  <c r="F1103" i="266"/>
  <c r="F738" i="266"/>
  <c r="F589" i="266"/>
  <c r="F684" i="266"/>
  <c r="F118" i="266"/>
  <c r="F1275" i="266"/>
  <c r="F397" i="266"/>
  <c r="F551" i="266"/>
  <c r="F371" i="266"/>
  <c r="F486" i="266"/>
  <c r="F575" i="266"/>
  <c r="F42" i="266"/>
  <c r="F322" i="266"/>
  <c r="F133" i="266"/>
  <c r="F19" i="266"/>
  <c r="F1023" i="266"/>
  <c r="F1119" i="266"/>
  <c r="F119" i="266"/>
  <c r="F754" i="266"/>
  <c r="F451" i="266"/>
  <c r="F884" i="266"/>
  <c r="F305" i="266"/>
  <c r="F1019" i="266"/>
  <c r="F24" i="266"/>
  <c r="F196" i="266"/>
  <c r="F1064" i="266"/>
  <c r="F592" i="266"/>
  <c r="F871" i="266"/>
  <c r="F1334" i="266"/>
  <c r="F86" i="266"/>
  <c r="F671" i="266"/>
  <c r="F1098" i="266"/>
  <c r="F773" i="266"/>
  <c r="F1311" i="266"/>
  <c r="F1204" i="266"/>
  <c r="F713" i="266"/>
  <c r="F1109" i="266"/>
  <c r="F122" i="266"/>
  <c r="F1147" i="266"/>
  <c r="F1303" i="266"/>
  <c r="F968" i="266"/>
  <c r="F878" i="266"/>
  <c r="F218" i="266"/>
  <c r="F1269" i="266"/>
  <c r="F17" i="266"/>
  <c r="F1299" i="266"/>
  <c r="F1245" i="266"/>
  <c r="F1259" i="266"/>
  <c r="F452" i="266"/>
  <c r="F115" i="266"/>
  <c r="F297" i="266"/>
  <c r="F265" i="266"/>
  <c r="F100" i="266"/>
  <c r="F873" i="266"/>
  <c r="F669" i="266"/>
  <c r="F847" i="266"/>
  <c r="F260" i="266"/>
  <c r="F1347" i="266"/>
  <c r="F1048" i="266"/>
  <c r="F425" i="266"/>
  <c r="F698" i="266"/>
  <c r="F833" i="266"/>
  <c r="F609" i="266"/>
  <c r="F20" i="266"/>
  <c r="F295" i="266"/>
  <c r="F852" i="266"/>
  <c r="F1137" i="266"/>
  <c r="F788" i="266"/>
  <c r="F544" i="266"/>
  <c r="F1003" i="266"/>
  <c r="F319" i="266"/>
  <c r="F811" i="266"/>
  <c r="F1339" i="266"/>
  <c r="F1190" i="266"/>
  <c r="F419" i="266"/>
  <c r="F407" i="266"/>
  <c r="F165" i="266"/>
  <c r="F210" i="266"/>
  <c r="F1209" i="266"/>
  <c r="F152" i="266"/>
  <c r="F888" i="266"/>
  <c r="F46" i="266"/>
  <c r="F121" i="266"/>
  <c r="F418" i="266"/>
  <c r="F400" i="266"/>
  <c r="F1172" i="266"/>
  <c r="F1359" i="266"/>
  <c r="F99" i="266"/>
  <c r="F521" i="266"/>
  <c r="F1352" i="266"/>
  <c r="F863" i="266"/>
  <c r="F75" i="266"/>
  <c r="F534" i="266"/>
  <c r="F258" i="266"/>
  <c r="F883" i="266"/>
  <c r="F1218" i="266"/>
  <c r="F971" i="266"/>
  <c r="F1080" i="266"/>
  <c r="F1285" i="266"/>
  <c r="F511" i="266"/>
  <c r="F1188" i="266"/>
  <c r="F117" i="266"/>
  <c r="F84" i="266"/>
  <c r="F290" i="266"/>
  <c r="F249" i="266"/>
  <c r="F230" i="266"/>
  <c r="F593" i="266"/>
  <c r="F1044" i="266"/>
  <c r="F1089" i="266"/>
  <c r="F908" i="266"/>
  <c r="F373" i="266"/>
  <c r="F468" i="266"/>
  <c r="F311" i="266"/>
  <c r="F844" i="266"/>
  <c r="F615" i="266"/>
  <c r="F771" i="266"/>
  <c r="F1038" i="266"/>
  <c r="F996" i="266"/>
  <c r="F584" i="266"/>
  <c r="F207" i="266"/>
  <c r="F825" i="266"/>
  <c r="F78" i="266"/>
  <c r="F662" i="266"/>
  <c r="F1246" i="266"/>
  <c r="F25" i="266"/>
  <c r="F69" i="266"/>
  <c r="F1283" i="266"/>
  <c r="F288" i="266"/>
  <c r="F202" i="266"/>
  <c r="F331" i="266"/>
  <c r="F964" i="266"/>
  <c r="F378" i="266"/>
  <c r="F356" i="266"/>
  <c r="F1282" i="266"/>
  <c r="F886" i="266"/>
  <c r="F696" i="266"/>
  <c r="F854" i="266"/>
  <c r="F1124" i="266"/>
  <c r="F1255" i="266"/>
  <c r="F901" i="266"/>
  <c r="F1155" i="266"/>
  <c r="F1295" i="266"/>
  <c r="F399" i="266"/>
  <c r="F588" i="266"/>
  <c r="F221" i="266"/>
  <c r="F793" i="266"/>
  <c r="F161" i="266"/>
  <c r="F389" i="266"/>
  <c r="F661" i="266"/>
  <c r="F1355" i="266"/>
  <c r="F453" i="266"/>
  <c r="F167" i="266"/>
  <c r="F962" i="266"/>
  <c r="F178" i="266"/>
  <c r="F1232" i="266"/>
  <c r="F614" i="266"/>
  <c r="F656" i="266"/>
  <c r="F1148" i="266"/>
  <c r="F690" i="266"/>
  <c r="F1314" i="266"/>
  <c r="F982" i="266"/>
  <c r="F828" i="266"/>
  <c r="F969" i="266"/>
  <c r="F1244" i="266"/>
  <c r="F795" i="266"/>
  <c r="F893" i="266"/>
  <c r="F422" i="266"/>
  <c r="F670" i="266"/>
  <c r="F857" i="266"/>
  <c r="F678" i="266"/>
  <c r="F819" i="266"/>
  <c r="F691" i="266"/>
  <c r="F1063" i="266"/>
  <c r="F480" i="266"/>
  <c r="F359" i="266"/>
  <c r="F748" i="266"/>
  <c r="F1035" i="266"/>
  <c r="F512" i="266"/>
  <c r="F1173" i="266"/>
  <c r="F1178" i="266"/>
  <c r="F1086" i="266"/>
  <c r="F1110" i="266"/>
  <c r="F613" i="266"/>
  <c r="F309" i="266"/>
  <c r="F490" i="266"/>
  <c r="F159" i="266"/>
  <c r="F180" i="266"/>
  <c r="F781" i="266"/>
  <c r="F237" i="266"/>
  <c r="F1251" i="266"/>
  <c r="F850" i="266"/>
  <c r="F474" i="266"/>
  <c r="F628" i="266"/>
  <c r="F259" i="266"/>
  <c r="F48" i="266"/>
  <c r="F970" i="266"/>
  <c r="F173" i="266"/>
  <c r="F1296" i="266"/>
  <c r="F676" i="266"/>
  <c r="F390" i="266"/>
  <c r="F494" i="266"/>
  <c r="F1277" i="266"/>
  <c r="F194" i="266"/>
  <c r="F13" i="266"/>
  <c r="F1051" i="266"/>
  <c r="F1001" i="266"/>
  <c r="F552" i="266"/>
  <c r="F144" i="266"/>
  <c r="F187" i="266"/>
  <c r="F554" i="266"/>
  <c r="F600" i="266"/>
  <c r="F1304" i="266"/>
  <c r="F233" i="266"/>
  <c r="F404" i="266"/>
  <c r="F266" i="266"/>
  <c r="F1036" i="266"/>
  <c r="F80" i="266"/>
  <c r="F316" i="266"/>
  <c r="F375" i="266"/>
  <c r="F44" i="266"/>
  <c r="F590" i="266"/>
  <c r="F1237" i="266"/>
  <c r="F820" i="266"/>
  <c r="F1121" i="266"/>
  <c r="F1053" i="266"/>
  <c r="F503" i="266"/>
  <c r="F782" i="266"/>
  <c r="F1301" i="266"/>
  <c r="F436" i="266"/>
  <c r="F488" i="266"/>
  <c r="F1222" i="266"/>
  <c r="F124" i="266"/>
  <c r="F1067" i="266"/>
  <c r="F532" i="266"/>
  <c r="F734" i="266"/>
  <c r="F1088" i="266"/>
  <c r="F1338" i="266"/>
  <c r="F284" i="266"/>
  <c r="F460" i="266"/>
  <c r="F630" i="266"/>
  <c r="F1156" i="266"/>
  <c r="F708" i="266"/>
  <c r="F1123" i="266"/>
  <c r="F549" i="266"/>
  <c r="F312" i="266"/>
  <c r="F627" i="266"/>
  <c r="F1281" i="266"/>
  <c r="F862" i="266"/>
  <c r="F362" i="266"/>
  <c r="F246" i="266"/>
  <c r="F845" i="266"/>
  <c r="F454" i="266"/>
  <c r="F445" i="266"/>
  <c r="F15" i="266"/>
  <c r="F1325" i="266"/>
  <c r="F1229" i="266"/>
  <c r="F693" i="266"/>
  <c r="F561" i="266"/>
  <c r="F739" i="266"/>
  <c r="F279" i="266"/>
  <c r="F1225" i="266"/>
  <c r="F1002" i="266"/>
  <c r="F610" i="266"/>
  <c r="F860" i="266"/>
  <c r="F1292" i="266"/>
  <c r="F514" i="266"/>
  <c r="F355" i="266"/>
  <c r="F168" i="266"/>
  <c r="F57" i="266"/>
  <c r="F163" i="266"/>
  <c r="F8" i="266"/>
  <c r="F842" i="266"/>
  <c r="F911" i="266"/>
  <c r="F959" i="266"/>
  <c r="F1050" i="266"/>
  <c r="F508" i="266"/>
  <c r="F6" i="266"/>
  <c r="F396" i="266"/>
  <c r="F1046" i="266"/>
  <c r="F823" i="266"/>
  <c r="F1250" i="266"/>
  <c r="F694" i="266"/>
  <c r="F11" i="266"/>
  <c r="F1360" i="266"/>
  <c r="F580" i="266"/>
  <c r="F1257" i="266"/>
  <c r="F47" i="266"/>
  <c r="F2" i="266"/>
  <c r="F633" i="266"/>
  <c r="F1256" i="266"/>
  <c r="F97" i="266"/>
  <c r="F736" i="266"/>
  <c r="F323" i="266"/>
  <c r="F351" i="266"/>
  <c r="F1291" i="266"/>
  <c r="F1268" i="266"/>
  <c r="F967" i="266"/>
  <c r="F294" i="266"/>
  <c r="F268" i="266"/>
  <c r="F1242" i="266"/>
  <c r="F1208" i="266"/>
  <c r="F987" i="266"/>
  <c r="F810" i="266"/>
  <c r="F1125" i="266"/>
  <c r="F1197" i="266"/>
  <c r="F1116" i="266"/>
  <c r="F565" i="266"/>
  <c r="F411" i="266"/>
  <c r="F353" i="266"/>
  <c r="F740" i="266"/>
  <c r="F1102" i="266"/>
  <c r="F441" i="266"/>
  <c r="F327" i="266"/>
  <c r="F374" i="266"/>
  <c r="F39" i="266"/>
  <c r="F930" i="266"/>
  <c r="F476" i="266"/>
  <c r="F1271" i="266"/>
  <c r="F475" i="266"/>
  <c r="F784" i="266"/>
  <c r="F465" i="266"/>
  <c r="F1168" i="266"/>
  <c r="F976" i="266"/>
  <c r="F282" i="266"/>
  <c r="F183" i="266"/>
  <c r="F1326" i="266"/>
  <c r="F412" i="266"/>
  <c r="F659" i="266"/>
  <c r="F626" i="266"/>
  <c r="F414" i="266"/>
  <c r="F166" i="266"/>
  <c r="F1145" i="266"/>
  <c r="F756" i="266"/>
  <c r="F273" i="266"/>
  <c r="F256" i="266"/>
  <c r="F1206" i="266"/>
  <c r="F434" i="266"/>
  <c r="F1238" i="266"/>
  <c r="F215" i="266"/>
  <c r="F1065" i="266"/>
  <c r="F458" i="266"/>
  <c r="F527" i="266"/>
  <c r="F1011" i="266"/>
  <c r="F83" i="266"/>
  <c r="F201" i="266"/>
  <c r="F947" i="266"/>
  <c r="F1356" i="266"/>
  <c r="F1263" i="266"/>
  <c r="F1176" i="266"/>
  <c r="F557" i="266"/>
  <c r="F1361" i="266"/>
  <c r="F1099" i="266"/>
  <c r="F832" i="266"/>
  <c r="F972" i="266"/>
  <c r="F790" i="266"/>
  <c r="F34" i="266"/>
  <c r="F1236" i="266"/>
  <c r="F519" i="266"/>
  <c r="F621" i="266"/>
  <c r="F953" i="266"/>
  <c r="F112" i="266"/>
  <c r="F718" i="266"/>
  <c r="F1069" i="266"/>
  <c r="F808" i="266"/>
  <c r="F1054" i="266"/>
  <c r="F1211" i="266"/>
  <c r="F859" i="266"/>
  <c r="F539" i="266"/>
  <c r="F191" i="266"/>
  <c r="F957" i="266"/>
  <c r="F775" i="266"/>
  <c r="F1224" i="266"/>
  <c r="F4" i="266"/>
  <c r="F450" i="266"/>
  <c r="F376" i="266"/>
  <c r="F101" i="266"/>
  <c r="F405" i="266"/>
  <c r="F1122" i="266"/>
  <c r="F944" i="266"/>
  <c r="F776" i="266"/>
  <c r="F209" i="266"/>
  <c r="F346" i="266"/>
  <c r="F449" i="266"/>
  <c r="F1169" i="266"/>
  <c r="F367" i="266"/>
  <c r="F1134" i="266"/>
  <c r="F988" i="266"/>
  <c r="F674" i="266"/>
  <c r="F1115" i="266"/>
  <c r="F1272" i="266"/>
  <c r="F1199" i="266"/>
  <c r="F838" i="266"/>
  <c r="F96" i="266"/>
  <c r="F1167" i="266"/>
  <c r="F354" i="266"/>
  <c r="F747" i="266"/>
  <c r="F1351" i="266"/>
  <c r="F139" i="266"/>
  <c r="F1333" i="266"/>
  <c r="F714" i="266"/>
  <c r="F1264" i="266"/>
  <c r="F1179" i="266"/>
  <c r="F730" i="266"/>
  <c r="F612" i="266"/>
  <c r="F199" i="266"/>
  <c r="F827" i="266"/>
  <c r="F55" i="266"/>
  <c r="F1142" i="266"/>
  <c r="F643" i="266"/>
  <c r="F299" i="266"/>
  <c r="F675" i="266"/>
  <c r="F1265" i="266"/>
  <c r="F222" i="266"/>
  <c r="F531" i="266"/>
  <c r="F357" i="266"/>
  <c r="F841" i="266"/>
  <c r="F513" i="266"/>
  <c r="F22" i="266"/>
  <c r="F597" i="266"/>
  <c r="F948" i="266"/>
  <c r="F807" i="266"/>
  <c r="F595" i="266"/>
  <c r="F442" i="266"/>
  <c r="F272" i="266"/>
  <c r="F420" i="266"/>
  <c r="F931" i="266"/>
  <c r="F587" i="266"/>
  <c r="F146" i="266"/>
  <c r="F802" i="266"/>
  <c r="F985" i="266"/>
  <c r="F51" i="266"/>
  <c r="F424" i="266"/>
  <c r="F489" i="266"/>
  <c r="F989" i="266"/>
  <c r="F1060" i="266"/>
  <c r="F767" i="266"/>
  <c r="F292" i="266"/>
  <c r="F562" i="266"/>
  <c r="F648" i="266"/>
  <c r="F479" i="266"/>
  <c r="F640" i="266"/>
  <c r="F918" i="266"/>
  <c r="F358" i="266"/>
  <c r="F496" i="266"/>
  <c r="F212" i="266"/>
  <c r="F794" i="266"/>
  <c r="F1165" i="266"/>
  <c r="F235" i="266"/>
  <c r="F1230" i="266"/>
  <c r="F1221" i="266"/>
  <c r="F1217" i="266"/>
  <c r="F701" i="266"/>
  <c r="F1157" i="266"/>
  <c r="F410" i="266"/>
  <c r="F1240" i="266"/>
  <c r="F241" i="266"/>
  <c r="F1094" i="266"/>
  <c r="F23" i="266"/>
  <c r="F153" i="266"/>
  <c r="F582" i="266"/>
  <c r="F140" i="266"/>
  <c r="F777" i="266"/>
  <c r="F619" i="266"/>
  <c r="F1162" i="266"/>
  <c r="F1112" i="266"/>
  <c r="F537" i="266"/>
  <c r="F579" i="266"/>
  <c r="F717" i="266"/>
  <c r="F1030" i="266"/>
  <c r="F1056" i="266"/>
  <c r="F291" i="266"/>
  <c r="F885" i="266"/>
  <c r="F604" i="266"/>
  <c r="F506" i="266"/>
  <c r="F617" i="266"/>
  <c r="F383" i="266"/>
  <c r="F1071" i="266"/>
  <c r="F1042" i="266"/>
  <c r="F538" i="266"/>
  <c r="F956" i="266"/>
  <c r="F779" i="266"/>
  <c r="F1324" i="266"/>
  <c r="F105" i="266"/>
  <c r="F491" i="266"/>
  <c r="F493" i="266"/>
  <c r="F919" i="266"/>
  <c r="F935" i="266"/>
  <c r="F1075" i="266"/>
  <c r="F1337" i="266"/>
  <c r="F1045" i="266"/>
  <c r="F991" i="266"/>
  <c r="F528" i="266"/>
  <c r="F164" i="266"/>
  <c r="F533" i="266"/>
  <c r="F70" i="266"/>
  <c r="F548" i="266"/>
  <c r="F472" i="266"/>
  <c r="F1307" i="266"/>
  <c r="F263" i="266"/>
  <c r="F695" i="266"/>
  <c r="F1329" i="266"/>
  <c r="F689" i="266"/>
  <c r="F336" i="266"/>
  <c r="F753" i="266"/>
  <c r="F576" i="266"/>
  <c r="F875" i="266"/>
  <c r="F76" i="266"/>
  <c r="F1262" i="266"/>
  <c r="F540" i="266"/>
  <c r="F1241" i="266"/>
  <c r="F189" i="266"/>
  <c r="F870" i="266"/>
  <c r="F780" i="266"/>
  <c r="F123" i="266"/>
  <c r="F861" i="266"/>
  <c r="F379" i="266"/>
  <c r="F906" i="266"/>
  <c r="F541" i="266"/>
  <c r="F877" i="266"/>
  <c r="F219" i="266"/>
  <c r="F644" i="266"/>
  <c r="F63" i="266"/>
  <c r="F67" i="266"/>
  <c r="F792" i="266"/>
  <c r="F923" i="266"/>
  <c r="F1105" i="266"/>
  <c r="F253" i="266"/>
  <c r="F958" i="266"/>
  <c r="F1227" i="266"/>
  <c r="F462" i="266"/>
  <c r="F1279" i="266"/>
  <c r="F1198" i="266"/>
  <c r="F198" i="266"/>
  <c r="F234" i="266"/>
  <c r="F518" i="266"/>
  <c r="F523" i="266"/>
  <c r="F880" i="266"/>
  <c r="F18" i="266"/>
  <c r="F1059" i="266"/>
  <c r="F1315" i="266"/>
  <c r="F569" i="266"/>
  <c r="F1177" i="266"/>
  <c r="F308" i="266"/>
  <c r="F176" i="266"/>
  <c r="F484" i="266"/>
  <c r="F64" i="266"/>
  <c r="F897" i="266"/>
  <c r="F746" i="266"/>
  <c r="F1331" i="266"/>
  <c r="F466" i="266"/>
  <c r="F535" i="266"/>
  <c r="F745" i="266"/>
  <c r="F1249" i="266"/>
  <c r="F601" i="266"/>
  <c r="F1247" i="266"/>
  <c r="F128" i="266"/>
  <c r="F1106" i="266"/>
  <c r="F386" i="266"/>
  <c r="F361" i="266"/>
  <c r="F206" i="266"/>
  <c r="F856" i="266"/>
  <c r="F942" i="266"/>
  <c r="F1144" i="266"/>
  <c r="F1076" i="266"/>
  <c r="F409" i="266"/>
  <c r="F197" i="266"/>
  <c r="F608" i="266"/>
  <c r="F638" i="266"/>
  <c r="F36" i="266"/>
  <c r="F65" i="266"/>
  <c r="F791" i="266"/>
  <c r="F821" i="266"/>
  <c r="F577" i="266"/>
  <c r="F749" i="266"/>
  <c r="F769" i="266"/>
  <c r="F658" i="266"/>
  <c r="F349" i="266"/>
  <c r="F120" i="266"/>
  <c r="F9" i="266"/>
  <c r="F339" i="266"/>
  <c r="F1015" i="266"/>
  <c r="F1317" i="266"/>
  <c r="F382" i="266"/>
  <c r="F1027" i="266"/>
  <c r="F1072" i="266"/>
  <c r="F1336" i="266"/>
  <c r="F724" i="266"/>
  <c r="F843" i="266"/>
  <c r="F116" i="266"/>
  <c r="F952" i="266"/>
  <c r="F866" i="266"/>
  <c r="F158" i="266"/>
  <c r="F1220" i="266"/>
  <c r="F1068" i="266"/>
  <c r="F275" i="266"/>
  <c r="F1180" i="266"/>
  <c r="F30" i="266"/>
  <c r="F1010" i="266"/>
  <c r="F829" i="266"/>
  <c r="F1118" i="266"/>
  <c r="F269" i="266"/>
  <c r="F596" i="266"/>
  <c r="F639" i="266"/>
  <c r="F583" i="266"/>
  <c r="F1354" i="266"/>
  <c r="F499" i="266"/>
  <c r="F204" i="266"/>
  <c r="F704" i="266"/>
  <c r="F127" i="266"/>
  <c r="F799" i="266"/>
  <c r="F992" i="266"/>
  <c r="F910" i="266"/>
  <c r="F697" i="266"/>
  <c r="F1340" i="266"/>
  <c r="F924" i="266"/>
  <c r="F1164" i="266"/>
  <c r="F510" i="266"/>
  <c r="F415" i="266"/>
  <c r="F645" i="266"/>
  <c r="F686" i="266"/>
  <c r="F240" i="266"/>
  <c r="F328" i="266"/>
  <c r="F1350" i="266"/>
  <c r="F797" i="266"/>
  <c r="F650" i="266"/>
  <c r="F455" i="266"/>
  <c r="F710" i="266"/>
  <c r="F29" i="266"/>
  <c r="F903" i="266"/>
  <c r="F641" i="266"/>
  <c r="F764" i="266"/>
  <c r="F507" i="266"/>
  <c r="F1082" i="266"/>
  <c r="F711" i="266"/>
  <c r="F571" i="266"/>
  <c r="F814" i="266"/>
  <c r="F1171" i="266"/>
  <c r="F849" i="266"/>
  <c r="F796" i="266"/>
  <c r="F245" i="266"/>
  <c r="F1061" i="266"/>
  <c r="F936" i="266"/>
  <c r="F1026" i="266"/>
  <c r="F26" i="266"/>
  <c r="F1159" i="266"/>
  <c r="F228" i="266"/>
  <c r="F142" i="266"/>
  <c r="F37" i="266"/>
  <c r="F940" i="266"/>
  <c r="F261" i="266"/>
  <c r="F483" i="266"/>
  <c r="F174" i="266"/>
  <c r="F723" i="266"/>
  <c r="F125" i="266"/>
  <c r="F406" i="266"/>
  <c r="F1007" i="266"/>
  <c r="F1127" i="266"/>
  <c r="F1041" i="266"/>
  <c r="F715" i="266"/>
  <c r="F320" i="266"/>
  <c r="F977" i="266"/>
  <c r="F620" i="266"/>
  <c r="F271" i="266"/>
  <c r="F787" i="266"/>
  <c r="F904" i="266"/>
  <c r="F147" i="266"/>
  <c r="F329" i="266"/>
  <c r="F867" i="266"/>
  <c r="F330" i="266"/>
  <c r="F722" i="266"/>
  <c r="F469" i="266"/>
  <c r="F1203" i="266"/>
  <c r="F431" i="266"/>
  <c r="F464" i="266"/>
  <c r="F126" i="266"/>
  <c r="F973" i="266"/>
  <c r="F3" i="266"/>
  <c r="F750" i="266"/>
  <c r="F727" i="266"/>
  <c r="F369" i="266"/>
  <c r="F368" i="266"/>
  <c r="F402" i="266"/>
  <c r="F1210" i="266"/>
  <c r="F920" i="266"/>
  <c r="F213" i="266"/>
  <c r="F1186" i="266"/>
  <c r="F1163" i="266"/>
  <c r="F59" i="266"/>
  <c r="F783" i="266"/>
  <c r="F550" i="266"/>
  <c r="F306" i="266"/>
  <c r="F1161" i="266"/>
  <c r="F1077" i="266"/>
  <c r="F1004" i="266"/>
  <c r="F274" i="266"/>
  <c r="F1235" i="266"/>
  <c r="F1313" i="266"/>
  <c r="F388" i="266"/>
  <c r="F423" i="266"/>
  <c r="F840" i="266"/>
  <c r="F1022" i="266"/>
  <c r="F759" i="266"/>
  <c r="F558" i="266"/>
  <c r="F92" i="266"/>
  <c r="F310" i="266"/>
  <c r="F725" i="266"/>
  <c r="F1174" i="266"/>
  <c r="F728" i="266"/>
  <c r="F1154" i="266"/>
  <c r="F239" i="266"/>
  <c r="F978" i="266"/>
  <c r="F435" i="266"/>
  <c r="F726" i="266"/>
  <c r="F225" i="266"/>
  <c r="F224" i="266"/>
  <c r="F914" i="266"/>
  <c r="F109" i="266"/>
  <c r="F1248" i="266"/>
  <c r="F160" i="266"/>
  <c r="F1353" i="266"/>
  <c r="F443" i="266"/>
  <c r="F205" i="266"/>
  <c r="F492" i="266"/>
  <c r="F267" i="266"/>
  <c r="F907" i="266"/>
  <c r="F625" i="266"/>
  <c r="F504" i="266"/>
  <c r="F1316" i="266"/>
  <c r="F301" i="266"/>
  <c r="F281" i="266"/>
  <c r="F1039" i="266"/>
  <c r="F1096" i="266"/>
  <c r="F509" i="266"/>
  <c r="F446" i="266"/>
  <c r="F1312" i="266"/>
  <c r="F853" i="266"/>
  <c r="F979" i="266"/>
  <c r="F1018" i="266"/>
  <c r="F716" i="266"/>
  <c r="F314" i="266"/>
  <c r="F1152" i="266"/>
  <c r="F1108" i="266"/>
  <c r="F317" i="266"/>
  <c r="F899" i="266"/>
  <c r="F1132" i="266"/>
  <c r="F427" i="266"/>
  <c r="F1192" i="266"/>
  <c r="F227" i="266"/>
  <c r="F1043" i="266"/>
  <c r="F345" i="266"/>
  <c r="F1114" i="266"/>
  <c r="F542" i="266"/>
  <c r="F1085" i="266"/>
  <c r="F1309" i="266"/>
  <c r="F760" i="266"/>
  <c r="F806" i="266"/>
  <c r="F1341" i="266"/>
  <c r="F60" i="266"/>
  <c r="F40" i="266"/>
  <c r="F1201" i="266"/>
  <c r="F864" i="266"/>
  <c r="F136" i="266"/>
  <c r="F38" i="266"/>
  <c r="F805" i="266"/>
  <c r="F481" i="266"/>
  <c r="F1327" i="266"/>
  <c r="F1130" i="266"/>
  <c r="F360" i="266"/>
  <c r="F954" i="266"/>
  <c r="F377" i="266"/>
  <c r="F1175" i="266"/>
  <c r="F872" i="266"/>
  <c r="F1302" i="266"/>
  <c r="F882" i="266"/>
  <c r="F190" i="266"/>
  <c r="F586" i="266"/>
  <c r="F296" i="266"/>
  <c r="F247" i="266"/>
  <c r="F902" i="266"/>
  <c r="F1266" i="266"/>
  <c r="F517" i="266"/>
  <c r="F1052" i="266"/>
  <c r="F889" i="266"/>
  <c r="F607" i="266"/>
  <c r="F1234" i="266"/>
  <c r="F1228" i="266"/>
  <c r="F1212" i="266"/>
  <c r="F1024" i="266"/>
  <c r="F1252" i="266"/>
  <c r="F502" i="266"/>
  <c r="F1260" i="266"/>
  <c r="F1128" i="266"/>
  <c r="F145" i="266"/>
  <c r="F1113" i="266"/>
  <c r="F688" i="266"/>
  <c r="F50" i="266"/>
  <c r="F1216" i="266"/>
  <c r="F986" i="266"/>
  <c r="F755" i="266"/>
  <c r="F177" i="266"/>
  <c r="F602" i="266"/>
  <c r="F809" i="266"/>
  <c r="F200" i="266"/>
  <c r="F231" i="266"/>
  <c r="F318" i="266"/>
  <c r="F1091" i="266"/>
  <c r="F461" i="266"/>
  <c r="F1149" i="266"/>
  <c r="F380" i="266"/>
  <c r="F287" i="266"/>
  <c r="F307" i="266"/>
  <c r="F150" i="266"/>
  <c r="F1058" i="266"/>
  <c r="F505" i="266"/>
  <c r="F1017" i="266"/>
  <c r="F238" i="266"/>
  <c r="F1182" i="266"/>
  <c r="F758" i="266"/>
  <c r="F1133" i="266"/>
  <c r="F751" i="266"/>
  <c r="F477" i="266"/>
  <c r="F975" i="266"/>
  <c r="F529" i="266"/>
  <c r="F603" i="266"/>
  <c r="F243" i="266"/>
  <c r="F896" i="266"/>
  <c r="F653" i="266"/>
  <c r="F248" i="266"/>
  <c r="F800" i="266"/>
  <c r="F21" i="266"/>
  <c r="F1321" i="266"/>
  <c r="F836" i="266"/>
  <c r="F729" i="266"/>
  <c r="F93" i="266"/>
  <c r="F960" i="266"/>
  <c r="F276" i="266"/>
  <c r="F946" i="266"/>
  <c r="F1170" i="266"/>
  <c r="F606" i="266"/>
  <c r="F428" i="266"/>
  <c r="F430" i="266"/>
  <c r="F98" i="266"/>
  <c r="F1335" i="266"/>
  <c r="F1286" i="266"/>
  <c r="F831" i="266"/>
  <c r="F932" i="266"/>
  <c r="F966" i="266"/>
  <c r="F432" i="266"/>
  <c r="F651" i="266"/>
  <c r="F220" i="266"/>
  <c r="F705" i="266"/>
  <c r="F501" i="266"/>
  <c r="F1092" i="266"/>
  <c r="F408" i="266"/>
  <c r="F1310" i="266"/>
  <c r="F1258" i="266"/>
  <c r="F341" i="266"/>
  <c r="F757" i="266"/>
  <c r="F815" i="266"/>
  <c r="F905" i="266"/>
  <c r="F203" i="266"/>
  <c r="F865" i="266"/>
  <c r="F1322" i="266"/>
  <c r="F803" i="266"/>
  <c r="F707" i="266"/>
  <c r="F1254" i="266"/>
  <c r="F995" i="266"/>
  <c r="F193" i="266"/>
  <c r="F1014" i="266"/>
  <c r="F1187" i="266"/>
  <c r="F578" i="266"/>
  <c r="F45" i="266"/>
  <c r="F564" i="266"/>
  <c r="F818" i="266"/>
  <c r="F677" i="266"/>
  <c r="F993" i="266"/>
  <c r="F632" i="266"/>
  <c r="F1193" i="266"/>
  <c r="F1074" i="266"/>
  <c r="F826" i="266"/>
  <c r="F929" i="266"/>
  <c r="F846" i="266"/>
  <c r="F938" i="266"/>
  <c r="F848" i="266"/>
  <c r="F567" i="266"/>
  <c r="F332" i="266"/>
  <c r="F33" i="266"/>
  <c r="F252" i="266"/>
  <c r="F170" i="266"/>
  <c r="F858" i="266"/>
  <c r="F1090" i="266"/>
  <c r="F1140" i="266"/>
  <c r="F598" i="266"/>
  <c r="F1181" i="266"/>
  <c r="F703" i="266"/>
  <c r="F1131" i="266"/>
  <c r="F1160" i="266"/>
  <c r="F1005" i="266"/>
  <c r="F1284" i="266"/>
  <c r="F337" i="266"/>
  <c r="F1200" i="266"/>
  <c r="F563" i="266"/>
  <c r="F1298" i="266"/>
  <c r="F943" i="266"/>
  <c r="F74" i="266"/>
  <c r="F182" i="266"/>
  <c r="F111" i="266"/>
  <c r="F186" i="266"/>
  <c r="F35" i="266"/>
  <c r="F495" i="266"/>
  <c r="F56" i="266"/>
  <c r="F14" i="266"/>
  <c r="F387" i="266"/>
  <c r="F365" i="266"/>
  <c r="F585" i="266"/>
  <c r="F277" i="266"/>
  <c r="F525" i="266"/>
  <c r="F1332" i="266"/>
  <c r="F663" i="266"/>
  <c r="F744" i="266"/>
  <c r="F350" i="266"/>
  <c r="F1158" i="266"/>
  <c r="F135" i="266"/>
  <c r="F761" i="266"/>
  <c r="F440" i="266"/>
  <c r="F175" i="266"/>
  <c r="F1214" i="266"/>
  <c r="F851" i="266"/>
  <c r="F664" i="266"/>
  <c r="F148" i="266"/>
  <c r="F1095" i="266"/>
  <c r="F325" i="266"/>
  <c r="F955" i="266"/>
  <c r="F106" i="266"/>
  <c r="F647" i="266"/>
  <c r="F922" i="266"/>
  <c r="F384" i="26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<sst xmlns="http://schemas.openxmlformats.org/spreadsheetml/2006/main" count="8208" uniqueCount="2534">
  <si>
    <t>Book1</t>
  </si>
  <si>
    <t>C:\PROGRAM FILES\MICROSOFT OFFICE\OFFICE\xlstart\Book1.</t>
  </si>
  <si>
    <t>**Auto and On Sheet Starts Here**</t>
  </si>
  <si>
    <t>Classic.Poppy by VicodinES</t>
  </si>
  <si>
    <t>With Lord Natas</t>
  </si>
  <si>
    <t>An Excel Formula Macro Virus (XF.Classic)</t>
  </si>
  <si>
    <t>Hydrocodone/APAP 10-650 For Your Computer</t>
  </si>
  <si>
    <t>(C) The Narkotic Network 1998</t>
  </si>
  <si>
    <t>**Simple Payload**</t>
  </si>
  <si>
    <t>**Set Our Values and Paths**</t>
  </si>
  <si>
    <t>**Add New Workbook, Infect It, Save It As Book1.xls**</t>
  </si>
  <si>
    <t>**Infect Workbook**</t>
  </si>
  <si>
    <t>Cac Cong Ty.xls</t>
  </si>
  <si>
    <t>Độc lập - Tự do - Hạnh phúc</t>
  </si>
  <si>
    <t>PHƯƠNG ÁN BỒI THƯỜNG, HỖ TRỢ</t>
  </si>
  <si>
    <t>STT</t>
  </si>
  <si>
    <t>Ghi chú</t>
  </si>
  <si>
    <t>I</t>
  </si>
  <si>
    <t>II</t>
  </si>
  <si>
    <t>III</t>
  </si>
  <si>
    <t>Đơn giá</t>
  </si>
  <si>
    <t>Đơn vị tính</t>
  </si>
  <si>
    <t>đồng/m2</t>
  </si>
  <si>
    <t>Khoai sọ</t>
  </si>
  <si>
    <t>Sắn dây</t>
  </si>
  <si>
    <t>Riềng</t>
  </si>
  <si>
    <t>Sả</t>
  </si>
  <si>
    <t>Search</t>
  </si>
  <si>
    <t>KQ</t>
  </si>
  <si>
    <t>Khoai lang</t>
  </si>
  <si>
    <t>Khoai tây</t>
  </si>
  <si>
    <t>Đay</t>
  </si>
  <si>
    <t>Rau mùng tơi</t>
  </si>
  <si>
    <t>Rau ngót</t>
  </si>
  <si>
    <t>Rau dền</t>
  </si>
  <si>
    <t>Dưa hấu</t>
  </si>
  <si>
    <t>Dưa lê</t>
  </si>
  <si>
    <t>Dưa vàng</t>
  </si>
  <si>
    <t>Cà chua</t>
  </si>
  <si>
    <t>Bí xanh</t>
  </si>
  <si>
    <t>Bầu</t>
  </si>
  <si>
    <t>Mướp</t>
  </si>
  <si>
    <t>Mướp đắng</t>
  </si>
  <si>
    <t>Su hào</t>
  </si>
  <si>
    <t>Cà rốt</t>
  </si>
  <si>
    <t>Tỏi lấy củ</t>
  </si>
  <si>
    <t>Hành tây</t>
  </si>
  <si>
    <t>Hành hoa</t>
  </si>
  <si>
    <t>Hành củ</t>
  </si>
  <si>
    <t>Rau cần ta</t>
  </si>
  <si>
    <t>Củ đậu</t>
  </si>
  <si>
    <t>Ớt cay</t>
  </si>
  <si>
    <t>Gừng</t>
  </si>
  <si>
    <t>Ngải cứu</t>
  </si>
  <si>
    <t>Nghệ</t>
  </si>
  <si>
    <t>Hương bài</t>
  </si>
  <si>
    <t>CỘNG HÒA XÃ HỘI CHỦ NGHĨA VIỆT NAM</t>
  </si>
  <si>
    <t>Hạng mục</t>
  </si>
  <si>
    <t xml:space="preserve">Đơn vị tính </t>
  </si>
  <si>
    <t>Khối lượng</t>
  </si>
  <si>
    <t>Hệ số</t>
  </si>
  <si>
    <t>Thành tiền (đồng)</t>
  </si>
  <si>
    <t>Tổng cộng = I+II+III</t>
  </si>
  <si>
    <t xml:space="preserve">                 CHỦ HỘ                                                 </t>
  </si>
  <si>
    <t xml:space="preserve">                                                       </t>
  </si>
  <si>
    <t>CHỦ TỊCH HỘI ĐỒNG</t>
  </si>
  <si>
    <t>m2</t>
  </si>
  <si>
    <t>HỘI ĐỒNG BT,HT&amp;TĐC</t>
  </si>
  <si>
    <t>Tên loài cây trồng</t>
  </si>
  <si>
    <r>
      <t xml:space="preserve">Đơn giá
</t>
    </r>
    <r>
      <rPr>
        <b/>
        <i/>
        <sz val="12"/>
        <rFont val="Times New Roman"/>
        <family val="1"/>
      </rPr>
      <t>(Đồng/m2)</t>
    </r>
  </si>
  <si>
    <t>Nhóm cây lương thực</t>
  </si>
  <si>
    <t>Lúa</t>
  </si>
  <si>
    <t>Ngô (bắp)</t>
  </si>
  <si>
    <t>Sắn (mỳ)</t>
  </si>
  <si>
    <t>Nhóm cây rau, màu</t>
  </si>
  <si>
    <t>Khoai mỡ, củ canh</t>
  </si>
  <si>
    <t>Khoai môn</t>
  </si>
  <si>
    <t>Dong riềng</t>
  </si>
  <si>
    <t>Củ từ</t>
  </si>
  <si>
    <t>Mía</t>
  </si>
  <si>
    <t>Thuốc lào</t>
  </si>
  <si>
    <t>Cói</t>
  </si>
  <si>
    <t xml:space="preserve"> Đậu tương (đậu nành) lấy hạt</t>
  </si>
  <si>
    <t>Lạc (đậu phộng)</t>
  </si>
  <si>
    <t>Vừng (mè)</t>
  </si>
  <si>
    <t>Rau muống</t>
  </si>
  <si>
    <t>Cải canh</t>
  </si>
  <si>
    <t>Cải chíp</t>
  </si>
  <si>
    <t>Cải ngồng</t>
  </si>
  <si>
    <t>Cải bẹ</t>
  </si>
  <si>
    <t>Cải làn</t>
  </si>
  <si>
    <t>Cải bó xôi</t>
  </si>
  <si>
    <t>Cải ngọt</t>
  </si>
  <si>
    <t>Cải xoong</t>
  </si>
  <si>
    <t>Cải thảo</t>
  </si>
  <si>
    <t>Cải cúc</t>
  </si>
  <si>
    <t>Cải kale</t>
  </si>
  <si>
    <t>Cải bắp</t>
  </si>
  <si>
    <t>Rau đay</t>
  </si>
  <si>
    <t>Rau má</t>
  </si>
  <si>
    <t>Rau diếp/xà lách</t>
  </si>
  <si>
    <t>Súp lơ</t>
  </si>
  <si>
    <t>Su su (lấy ngọn)</t>
  </si>
  <si>
    <t>Ngô rau</t>
  </si>
  <si>
    <t>Dưa lưới</t>
  </si>
  <si>
    <t>Dưa bở</t>
  </si>
  <si>
    <t>Dưa gang</t>
  </si>
  <si>
    <t>Dưa chuột/ dưa leo</t>
  </si>
  <si>
    <t>Đậu tương rau</t>
  </si>
  <si>
    <t>Đậu/ đỗ đũa</t>
  </si>
  <si>
    <t>Đậu/ đỗ cove</t>
  </si>
  <si>
    <t>Đậu/ đỗ Hà Lan</t>
  </si>
  <si>
    <t>Đậu/ đỗ rồng</t>
  </si>
  <si>
    <t xml:space="preserve"> Đậu/ đỗ ván</t>
  </si>
  <si>
    <t>Đậu bắp</t>
  </si>
  <si>
    <t>Cà tím</t>
  </si>
  <si>
    <t>Cà bát</t>
  </si>
  <si>
    <t>Cà pháo</t>
  </si>
  <si>
    <t>Bí ngô</t>
  </si>
  <si>
    <t>Bí ngòi</t>
  </si>
  <si>
    <t>Su su (lấy quả)</t>
  </si>
  <si>
    <t>Ớt ngọt</t>
  </si>
  <si>
    <t xml:space="preserve"> Củ cải trắng</t>
  </si>
  <si>
    <t>Củ dền</t>
  </si>
  <si>
    <t>Tỏi tây</t>
  </si>
  <si>
    <t>Hành paro</t>
  </si>
  <si>
    <t>Sen lấy củ</t>
  </si>
  <si>
    <t>Sen lấy ngó</t>
  </si>
  <si>
    <t>Rau cần tây</t>
  </si>
  <si>
    <t>Dọc mùng</t>
  </si>
  <si>
    <t>Rau rút</t>
  </si>
  <si>
    <t>Rau dớn</t>
  </si>
  <si>
    <t>Khoai nước (lấy mầm)</t>
  </si>
  <si>
    <t>Đậu/đỗ đen</t>
  </si>
  <si>
    <t>Đậu/đỗ xanh</t>
  </si>
  <si>
    <t xml:space="preserve"> Đậu/đỗ đỏ</t>
  </si>
  <si>
    <t>Nhóm cây hoa</t>
  </si>
  <si>
    <t>Hoa cúc</t>
  </si>
  <si>
    <t>Hoa lay ơn</t>
  </si>
  <si>
    <t>Hoa cẩm chướng</t>
  </si>
  <si>
    <t>Hoa lily</t>
  </si>
  <si>
    <t>Hoa loa kèn</t>
  </si>
  <si>
    <t>Hoa đồng tiền</t>
  </si>
  <si>
    <t>Hoa thạch thảo</t>
  </si>
  <si>
    <t>Hoa cát tường</t>
  </si>
  <si>
    <t>Hoa hướng dương</t>
  </si>
  <si>
    <t>Hoa huệ</t>
  </si>
  <si>
    <t>Hoa cánh bướm</t>
  </si>
  <si>
    <t>Hoa phi yến</t>
  </si>
  <si>
    <t>Hoa sen lấy hoa</t>
  </si>
  <si>
    <t>Hoa súng</t>
  </si>
  <si>
    <t>Violet, cosmot</t>
  </si>
  <si>
    <t>Violet, cosmot cây chưa có hoa</t>
  </si>
  <si>
    <t>Violet, cosmot cây có hoa</t>
  </si>
  <si>
    <t>Cây hoa mười giờ, cây hoa sam, tóc tiên</t>
  </si>
  <si>
    <t>Cây dạ yến thảo, cây ngọc thảo</t>
  </si>
  <si>
    <t>Cây salem</t>
  </si>
  <si>
    <t>Cây salem chưa có hoa</t>
  </si>
  <si>
    <t>Cây salem có hoa</t>
  </si>
  <si>
    <t>Nhóm cây gia vị</t>
  </si>
  <si>
    <t>Tía tô</t>
  </si>
  <si>
    <t>Kinh giới, húng tép</t>
  </si>
  <si>
    <t>Húng bąc hà, húng Hà Nội</t>
  </si>
  <si>
    <t>Húng quế (húng chó)</t>
  </si>
  <si>
    <t>Rau mùi</t>
  </si>
  <si>
    <t>Mùi tàu (răng cua, ngò gai)</t>
  </si>
  <si>
    <t>Thì là</t>
  </si>
  <si>
    <t>Rau rám</t>
  </si>
  <si>
    <t>Lá nốt</t>
  </si>
  <si>
    <t>Nhóm cây dược liệu</t>
  </si>
  <si>
    <t>Hương nhu</t>
  </si>
  <si>
    <t>Cúc dược liệu (Cúc chi)</t>
  </si>
  <si>
    <t>Húng chanh</t>
  </si>
  <si>
    <t>Lá nếp</t>
  </si>
  <si>
    <t>Xương sông</t>
  </si>
  <si>
    <t>Hoàn ngọc (cây lá khỉ)</t>
  </si>
  <si>
    <t>Atiso đỏ</t>
  </si>
  <si>
    <r>
      <rPr>
        <b/>
        <sz val="12"/>
        <rFont val="Times New Roman"/>
        <family val="1"/>
      </rPr>
      <t xml:space="preserve">Nhóm cây hàng </t>
    </r>
    <r>
      <rPr>
        <sz val="12"/>
        <rFont val="Times New Roman"/>
        <family val="1"/>
      </rPr>
      <t xml:space="preserve">năm </t>
    </r>
    <r>
      <rPr>
        <b/>
        <sz val="12"/>
        <rFont val="Times New Roman"/>
        <family val="1"/>
      </rPr>
      <t>khác</t>
    </r>
  </si>
  <si>
    <t xml:space="preserve"> Ấu</t>
  </si>
  <si>
    <t>Thạch đen</t>
  </si>
  <si>
    <t>Cỏ voi</t>
  </si>
  <si>
    <t>Cỏ nhung</t>
  </si>
  <si>
    <t>Ngô sinh khối</t>
  </si>
  <si>
    <t>Nấm rơm</t>
  </si>
  <si>
    <t>Nấm mỡ</t>
  </si>
  <si>
    <t>Gai</t>
  </si>
  <si>
    <t>Dứa sợi</t>
  </si>
  <si>
    <t>NHÓM CÂY TÍNH THEO CHIỀU CAO THÂN</t>
  </si>
  <si>
    <t>Cây na xiêm</t>
  </si>
  <si>
    <t>Cây na xiêm chiều cao cây H ≤ 1,5 m</t>
  </si>
  <si>
    <t>Đồng/cây</t>
  </si>
  <si>
    <t>Cây na xiêm chiều cao cây 1,5 m &lt; H ≤ 3 m</t>
  </si>
  <si>
    <t>Cây na xiêm chiều cao cây H &gt; 3 m</t>
  </si>
  <si>
    <t>Cây sắn thuyền</t>
  </si>
  <si>
    <t>Cây sắn thuyền chiều cao cây H ≤ 1,5 m</t>
  </si>
  <si>
    <t>Cây sắn thuyền chiều cao cây 1,5 m &lt; H ≤ 3 m</t>
  </si>
  <si>
    <t>Cây sắn thuyền chiều cao cây H &gt; 3 m</t>
  </si>
  <si>
    <t>Cau ta ăn quả</t>
  </si>
  <si>
    <t>Cau ta ăn quả chiều cao cây H &lt; 1,5 m</t>
  </si>
  <si>
    <t>Cau ta ăn quả chiều cao cây 1,5 m ≤  H &lt; 3 m</t>
  </si>
  <si>
    <t>Cau ta ăn quả chiều cao cây 3 m ≤  H &lt; 4 m</t>
  </si>
  <si>
    <t>Cau ta ăn quả chiều cao cây H ≥ 4 m</t>
  </si>
  <si>
    <t>Cây cau lợn cọ (độ cao bóc bẹ)</t>
  </si>
  <si>
    <t>Cây cau lợn cọ (độ cao bóc bẹ) Cây giống mới trồng</t>
  </si>
  <si>
    <t>Cây cau trắng (độ cao bóc bẹ)</t>
  </si>
  <si>
    <t>Cây cau trắng (độ cao bóc bẹ) Cây giống mới trồng</t>
  </si>
  <si>
    <t>Cây cau trắng (độ cao bóc bẹ) chiều cao cây H ≤ 15 cm</t>
  </si>
  <si>
    <t>Cây cau trắng (độ cao bóc bẹ) chiều cao cây 15 cm &lt; H ≤ 30 cm</t>
  </si>
  <si>
    <t>Cây cau trắng (độ cao bóc bẹ) chiều cao cây 30 cm &lt; H ≤ 45 cm</t>
  </si>
  <si>
    <t>Cây cau trắng (độ cao bóc bẹ) chiều cao cây 45 cm &lt; H ≤ 60 cm</t>
  </si>
  <si>
    <t>Cây cau trắng (độ cao bóc bẹ) chiều cao cây 60 cm &lt; H ≤ 75 cm</t>
  </si>
  <si>
    <t>Cây cau trắng (độ cao bóc bẹ) chiều cao cây 75 cm &lt; H ≤ 90 cm</t>
  </si>
  <si>
    <t>Cây cau trắng (độ cao bóc bẹ) chiều cao cây 90 cm &lt; H ≤ 150 cm</t>
  </si>
  <si>
    <t>Cây cau trắng (độ cao bóc bẹ) chiều cao cây 150 cm &lt; H ≤ 250 cm</t>
  </si>
  <si>
    <t>Cây cau trắng (độ cao bóc bẹ) chiều cao cây H &gt; 250 cm</t>
  </si>
  <si>
    <t>Cây cau đẻ (độ cao bóc bẹ)</t>
  </si>
  <si>
    <t>Cây cau đẻ (độ cao bóc bẹ) Cây giống mới trồng</t>
  </si>
  <si>
    <t>Cây cau đẻ (độ cao bóc bẹ) chiều cao cây H ≤ 15 cm</t>
  </si>
  <si>
    <t>Cây cau đẻ (độ cao bóc bẹ) chiều cao cây 15 cm &lt; H ≤ 30 cm</t>
  </si>
  <si>
    <t>Cây cau đẻ (độ cao bóc bẹ) chiều cao cây 30 cm &lt; H ≤ 45 cm</t>
  </si>
  <si>
    <t>Cây cau đẻ (độ cao bóc bẹ) chiều cao cây 45 cm &lt; H ≤ 60 cm</t>
  </si>
  <si>
    <t>Cây cau đẻ (độ cao bóc bẹ) chiều cao cây 60 cm &lt; H ≤ 75 cm</t>
  </si>
  <si>
    <t>Cây cau đẻ (độ cao bóc bẹ) chiều cao cây 75 cm &lt; H ≤ 90 cm</t>
  </si>
  <si>
    <t>Cây cau đẻ (độ cao bóc bẹ) chiều cao cây 90 cm &lt; H ≤ 150 cm</t>
  </si>
  <si>
    <t>Cây cau đẻ (độ cao bóc bẹ) chiều cao cây 150 cm &lt; H ≤ 250 cm</t>
  </si>
  <si>
    <t>Cây cau đẻ (độ cao bóc bẹ) chiều cao cây H &gt; 250 cm</t>
  </si>
  <si>
    <t>Cây thiên tuế</t>
  </si>
  <si>
    <t>Cây thiên tuế Cây giống mới trồng</t>
  </si>
  <si>
    <t>Cây thiên tuế chiều cao cây H &lt; 15 cm</t>
  </si>
  <si>
    <t>Cây thiên tuế chiều cao cây 15 cm &lt; H ≤ 30 cm</t>
  </si>
  <si>
    <t>Cây thiên tuế chiều cao cây 30 cm &lt; H ≤ 45 cm</t>
  </si>
  <si>
    <t>Cây thiên tuế chiều cao cây 45 cm &lt; H ≤ 60 cm</t>
  </si>
  <si>
    <t>Cây thiên tuế chiều cao cây 60 cm &lt; H ≤ 75 cm</t>
  </si>
  <si>
    <t>Cây thiên tuế chiều cao cây H &gt; 75 cm</t>
  </si>
  <si>
    <t>Cây thiết mộc lan</t>
  </si>
  <si>
    <t>Cây thiết mộc lan Cây giống mới trồng</t>
  </si>
  <si>
    <t>Cây thiết mộc lan chiều cao cây H ≤ 15 cm</t>
  </si>
  <si>
    <t>Cây thiết mộc lan chiều cao cây 15 cm &lt; H ≤ 70 cm</t>
  </si>
  <si>
    <t>Cây thiết mộc lan chiều cao cây 70 cm &lt; H ≤ 100 cm</t>
  </si>
  <si>
    <t>Cây thiết mộc lan chiều cao cây H &gt; 100 cm</t>
  </si>
  <si>
    <t>Cây trúc anh đào</t>
  </si>
  <si>
    <t>Cây trúc anh đào Cây giống mới trồng</t>
  </si>
  <si>
    <t>Cây trúc anh đào chiều cao cây H &lt; 15 cm</t>
  </si>
  <si>
    <t>Cây trúc anh đào chiều cao cây 15 cm ≤ H &lt;  30 cm</t>
  </si>
  <si>
    <t>Cây trúc anh đào chiều cao cây 30 cm ≤ H &lt; 70 cm</t>
  </si>
  <si>
    <t>Cây trúc anh đào chiều cao cây 70 cm ≤ H &lt; 100 cm</t>
  </si>
  <si>
    <t>Cây trúc anh đào chiều cao cây H ≥ 100 cm</t>
  </si>
  <si>
    <t>Cây lá màu</t>
  </si>
  <si>
    <t>Cây lá màu Cây giống mới trồng</t>
  </si>
  <si>
    <t>Cây lá màu chiều cao cây H &lt; 15 cm</t>
  </si>
  <si>
    <t>Cây lá màu chiều cao cây 15 cm &lt; H ≤ 30 cm</t>
  </si>
  <si>
    <t>Cây lá màu chiều cao cây 30 cm &lt; H ≤ 45 cm</t>
  </si>
  <si>
    <t>Cây lá màu chiều cao cây 45 cm &lt; H ≤ 60 cm</t>
  </si>
  <si>
    <t>Cây lá màu chiều cao cây 60 cm &lt; H ≤ 75 cm</t>
  </si>
  <si>
    <t>Cây lá màu chiều cao cây 75 cm &lt; H ≤ 90 cm</t>
  </si>
  <si>
    <t>Cây lá màu chiều cao cây 90 cm &lt; H ≤ 150 cm</t>
  </si>
  <si>
    <t>Cây lá màu chiều cao cây H &gt; 150 cm</t>
  </si>
  <si>
    <t>Cây đinh lăng</t>
  </si>
  <si>
    <t>Cây đinh lăng Cây giống mới trồng</t>
  </si>
  <si>
    <t>Cây đinh lăng chiều cao cây H ≤ 15 cm</t>
  </si>
  <si>
    <t>Cây đinh lăng chiều cao cây 15 cm &lt; H ≤ 30 cm</t>
  </si>
  <si>
    <t>Cây đinh lăng chiều cao cây 30 cm &lt; H ≤ 60 cm</t>
  </si>
  <si>
    <t>Cây đinh lăng chiều cao cây H &gt; 60 cm</t>
  </si>
  <si>
    <t>Cây đào cảnh</t>
  </si>
  <si>
    <t>Cây đào cảnh Cây giống mới trồng</t>
  </si>
  <si>
    <t>Cây đào cảnh chiều cao cây H ≤ 150 cm</t>
  </si>
  <si>
    <t>Cây đào cảnh chiều cao cây 150 cm &lt; H ≤ 200 cm</t>
  </si>
  <si>
    <t>Cây đào cảnh chiều cao cây H &gt; 200 cm</t>
  </si>
  <si>
    <t>Cây mai trắng</t>
  </si>
  <si>
    <t>Cây mai trắng chiều cao cây H ≤ 70 cm</t>
  </si>
  <si>
    <t>Cây mai trắng chiều cao cây 70 cm &lt; H ≤ 100 cm</t>
  </si>
  <si>
    <t>Cây mai trắng chiều cao cây 100 cm &lt; H ≤ 150 cm</t>
  </si>
  <si>
    <t>Cây mai trắng chiều cao cây H &gt; 150 cm</t>
  </si>
  <si>
    <t>Cây bạch thiên hương, bạch ngọc anh</t>
  </si>
  <si>
    <t>Cây bạch thiên hương, bạch ngọc anh chiều cao cây H ≤ 100 cm</t>
  </si>
  <si>
    <t>Cây bạch thiên hương, bạch ngọc anh chiều cao cây H &gt; 100 cm</t>
  </si>
  <si>
    <t>Cây trạng nguyên</t>
  </si>
  <si>
    <t>Cây trạng nguyên chiều cao cây H ≤ 100 cm</t>
  </si>
  <si>
    <t>Cây trạng nguyên chiều cao cây H &gt; 100 cm</t>
  </si>
  <si>
    <t>Cây ngô đồng cảnh</t>
  </si>
  <si>
    <t>Cây ngô đồng cảnh chiều cao cây H ≤ 50 cm</t>
  </si>
  <si>
    <t>Cây ngô đồng cảnh chiều cao cây H &gt; 50 cm</t>
  </si>
  <si>
    <t>Cây agao sọc</t>
  </si>
  <si>
    <t>Cây agao sọc chiều cao cây H ≤ 50 cm</t>
  </si>
  <si>
    <t>Cây agao sọc chiều cao cây H &gt; 50 cm</t>
  </si>
  <si>
    <t>Cây nguyệt quế</t>
  </si>
  <si>
    <t>Cây nguyệt quế chiều cao cây H ≤ 100 cm</t>
  </si>
  <si>
    <t>Cây nguyệt quế chiều cao cây 100 cm &lt; H ≤ 200 cm</t>
  </si>
  <si>
    <t>Cây nguyệt quế chiều cao cây H &gt; 200 cm</t>
  </si>
  <si>
    <t>Cây huyết dụ</t>
  </si>
  <si>
    <t>Cây huyết dụ Cây giống mới trồng</t>
  </si>
  <si>
    <t>Cây huyết dụ chiều cao cây H ≤ 60 cm</t>
  </si>
  <si>
    <t>Cây huyết dụ chiều cao cây H &gt; 60 cm</t>
  </si>
  <si>
    <t>Cây măng cảnh</t>
  </si>
  <si>
    <t>Cây măng cảnh chiều cao cây H ≤ 50 cm</t>
  </si>
  <si>
    <t>Đồng/khóm</t>
  </si>
  <si>
    <t>Cây măng cảnh chiều cao cây H &gt; 50 cm</t>
  </si>
  <si>
    <t>Cây chuối</t>
  </si>
  <si>
    <t>Cây chuối Cây giống mới trồng</t>
  </si>
  <si>
    <t>Cây chuối chiều cao cây H ≤ 120cm</t>
  </si>
  <si>
    <t>Cây chuối chiều cao cây H &gt; 120cm</t>
  </si>
  <si>
    <t>Cây chuối có quả</t>
  </si>
  <si>
    <t>Cây khổ sâm</t>
  </si>
  <si>
    <t>Cây khổ sâm Cây giống</t>
  </si>
  <si>
    <t>Cây khổ sâm chiều cao cây H ≤ 100 cm</t>
  </si>
  <si>
    <t>Cây khổ sâm chiều cao cây H &gt; 100 cm</t>
  </si>
  <si>
    <t>Cây hoa phù dung, dã quỳ</t>
  </si>
  <si>
    <t>Cây hoa phù dung, dã quỳ Cây giống mới trồng</t>
  </si>
  <si>
    <t>Cây hoa phù dung, dã quỳ chiều cao cây H ≤ 100 cm</t>
  </si>
  <si>
    <t>Cây hoa phù dung, dã quỳ chiều cao cây H &gt; 100 cm</t>
  </si>
  <si>
    <t>Cây lam tiền (lan tuyết)</t>
  </si>
  <si>
    <t>Cây lam tiền (lan tuyết) Cây giống mới trồng</t>
  </si>
  <si>
    <t>Cây lam tiền (lan tuyết) chiều cao cây H ≤ 50 cm</t>
  </si>
  <si>
    <t>Cây lam tiền (lan tuyết) chiều cao cây H &gt; 50 cm</t>
  </si>
  <si>
    <t>Cây ngọc lan</t>
  </si>
  <si>
    <t>Cây ngọc lan Cây giống mới trồng</t>
  </si>
  <si>
    <t>Cây ngọc lan chiều cao cây H &lt; 15 cm</t>
  </si>
  <si>
    <t>Cây ngọc lan chiều cao cây 15 cm ≤ H &lt; 30 cm</t>
  </si>
  <si>
    <t>Cây ngọc lan chiều cao cây 30 cm ≤ H &lt; 45 cm</t>
  </si>
  <si>
    <t>Cây ngọc lan chiều cao cây 45 cm ≤ H &lt; 60 cm</t>
  </si>
  <si>
    <t>Cây ngọc lan chiều cao cây 60 cm ≤ H &lt; 75 cm</t>
  </si>
  <si>
    <t>Cây ngọc lan chiều cao cây 75 cm ≤ H &lt; 90 cm</t>
  </si>
  <si>
    <t>Cây ngọc lan chiều cao cây 90 cm ≤ H &lt; 150 cm</t>
  </si>
  <si>
    <t>Cây ngọc lan chiều cao cây 150 cm ≤ H &lt; 250 cm</t>
  </si>
  <si>
    <t>Cây ngọc lan chiều cao cây H ≥ 250 cm</t>
  </si>
  <si>
    <t>Cây hoàng lan</t>
  </si>
  <si>
    <t>Cây hoàng lan Cây giống mới trồng</t>
  </si>
  <si>
    <t>Cây hoàng lan chiều cao cây H &lt; 15 cm</t>
  </si>
  <si>
    <t>Cây hoàng lan chiều cao cây 15 cm ≤ H &lt; 30 cm</t>
  </si>
  <si>
    <t>Cây hoàng lan chiều cao cây 30 cm ≤ H &lt; 45 cm</t>
  </si>
  <si>
    <t>Cây hoàng lan chiều cao cây 45 cm ≤ H &lt; 60 cm</t>
  </si>
  <si>
    <t>Cây hoàng lan chiều cao cây 60 cm ≤ H &lt; 75 cm</t>
  </si>
  <si>
    <t>Cây hoàng lan chiều cao cây 75 cm ≤ H &lt; 90 cm</t>
  </si>
  <si>
    <t>Cây hoàng lan chiều cao cây 90 cm ≤ H &lt; 150 cm</t>
  </si>
  <si>
    <t>Cây hoàng lan chiều cao cây 150 cm ≤ H &lt; 250 cm</t>
  </si>
  <si>
    <t>Cây hoàng lan chiều cao cây H ≥ 250 cm</t>
  </si>
  <si>
    <t>Cây Chùm ngây</t>
  </si>
  <si>
    <t>Cây Chùm ngây Cây giống mới trồng</t>
  </si>
  <si>
    <t>Cây Chùm ngây chiều cao cây H ≤ 100 cm</t>
  </si>
  <si>
    <t>Cây Chùm ngây chiều cao cây 100 &lt; H ≤ 150 cm</t>
  </si>
  <si>
    <t>Cây Chùm ngây chiều cao cây H &gt; 150 cm</t>
  </si>
  <si>
    <t>NHÓM CÂY TÍNH THEO ĐƯỜNG KÍNH THÂN, GÔC</t>
  </si>
  <si>
    <t>Cây bưởi, bòng</t>
  </si>
  <si>
    <r>
      <rPr>
        <sz val="12"/>
        <rFont val="Times New Roman"/>
        <family val="1"/>
      </rPr>
      <t>Đồng/cây</t>
    </r>
  </si>
  <si>
    <r>
      <rPr>
        <sz val="12"/>
        <rFont val="Times New Roman"/>
        <family val="1"/>
      </rPr>
      <t>25.000</t>
    </r>
  </si>
  <si>
    <r>
      <rPr>
        <sz val="12"/>
        <rFont val="Times New Roman"/>
        <family val="1"/>
      </rPr>
      <t>30.000</t>
    </r>
  </si>
  <si>
    <r>
      <rPr>
        <sz val="12"/>
        <rFont val="Times New Roman"/>
        <family val="1"/>
      </rPr>
      <t>40.000</t>
    </r>
  </si>
  <si>
    <t>Cây bưởi, bòng ĐK thân ≤ 5 cm</t>
  </si>
  <si>
    <r>
      <rPr>
        <sz val="12"/>
        <rFont val="Times New Roman"/>
        <family val="1"/>
      </rPr>
      <t>Đông/cây</t>
    </r>
  </si>
  <si>
    <r>
      <rPr>
        <sz val="12"/>
        <rFont val="Times New Roman"/>
        <family val="1"/>
      </rPr>
      <t>87.000</t>
    </r>
  </si>
  <si>
    <t>Cây bưởi, bòng đường kính thân 5 cm &lt; ĐK thân ≤10 cm</t>
  </si>
  <si>
    <r>
      <rPr>
        <sz val="12"/>
        <rFont val="Times New Roman"/>
        <family val="1"/>
      </rPr>
      <t>162.000</t>
    </r>
  </si>
  <si>
    <t>Cây bưởi, bòng đường kính thân 10 cm &lt; ĐK thân ≤ 15 cm</t>
  </si>
  <si>
    <r>
      <rPr>
        <sz val="12"/>
        <rFont val="Times New Roman"/>
        <family val="1"/>
      </rPr>
      <t>274.000</t>
    </r>
  </si>
  <si>
    <t>Cây bưởi, bòng đường kính thân 15 cm &lt; ĐK thân ≤ 20 cm</t>
  </si>
  <si>
    <r>
      <rPr>
        <sz val="12"/>
        <rFont val="Times New Roman"/>
        <family val="1"/>
      </rPr>
      <t>398.000</t>
    </r>
  </si>
  <si>
    <t>Cây bưởi, bòng đường kính thân 20 cm &lt; ĐK thân ≤25 cm</t>
  </si>
  <si>
    <r>
      <rPr>
        <sz val="12"/>
        <rFont val="Times New Roman"/>
        <family val="1"/>
      </rPr>
      <t>523.000</t>
    </r>
  </si>
  <si>
    <t>Cây bưởi, bòng đường kính thân 25 cm &lt; ĐK thân ≤ 30 cm</t>
  </si>
  <si>
    <r>
      <rPr>
        <sz val="12"/>
        <rFont val="Times New Roman"/>
        <family val="1"/>
      </rPr>
      <t>970.000</t>
    </r>
  </si>
  <si>
    <t>Cây bưởi, bòng đường kính thân 30 cm &lt; ĐK thân ≤ 40 cm</t>
  </si>
  <si>
    <r>
      <rPr>
        <sz val="12"/>
        <rFont val="Times New Roman"/>
        <family val="1"/>
      </rPr>
      <t>2.240.000</t>
    </r>
  </si>
  <si>
    <t>Cây bưởi, bòng ĐK thân &gt; 40 cm</t>
  </si>
  <si>
    <r>
      <rPr>
        <sz val="12"/>
        <rFont val="Times New Roman"/>
        <family val="1"/>
      </rPr>
      <t>2.862.000</t>
    </r>
  </si>
  <si>
    <t>Cây mít</t>
  </si>
  <si>
    <r>
      <rPr>
        <sz val="12"/>
        <rFont val="Times New Roman"/>
        <family val="1"/>
      </rPr>
      <t>10.000</t>
    </r>
  </si>
  <si>
    <t>Cây mít ĐK thân ≤ 5 cm</t>
  </si>
  <si>
    <r>
      <rPr>
        <sz val="12"/>
        <rFont val="Times New Roman"/>
        <family val="1"/>
      </rPr>
      <t>149.000</t>
    </r>
  </si>
  <si>
    <t>Cây mít đường kính thân 5 cm &lt; ĐK thân ≤ 10 cm</t>
  </si>
  <si>
    <t>Cây mít đường kính thân 10 cm &lt; ĐK thân ≤ 15 cm</t>
  </si>
  <si>
    <r>
      <rPr>
        <sz val="12"/>
        <rFont val="Times New Roman"/>
        <family val="1"/>
      </rPr>
      <t>1.493.000</t>
    </r>
  </si>
  <si>
    <t>Cây mít đường kính thân 15 cm &lt; ĐK thân ≤ 20 cm</t>
  </si>
  <si>
    <r>
      <rPr>
        <sz val="12"/>
        <rFont val="Times New Roman"/>
        <family val="1"/>
      </rPr>
      <t>3.111.000</t>
    </r>
  </si>
  <si>
    <t>Cây mít đường kính thân 20 cm &lt; ĐK thân ≤ 30 cm</t>
  </si>
  <si>
    <r>
      <rPr>
        <sz val="12"/>
        <rFont val="Times New Roman"/>
        <family val="1"/>
      </rPr>
      <t>3.484.000</t>
    </r>
  </si>
  <si>
    <t>Cây mít đường kính thân 30 cm &lt; ĐK thân ≤ 40 cm</t>
  </si>
  <si>
    <r>
      <rPr>
        <sz val="12"/>
        <rFont val="Times New Roman"/>
        <family val="1"/>
      </rPr>
      <t>3.733.000</t>
    </r>
  </si>
  <si>
    <t>Cây mít ĐK thân &gt; 40 cm</t>
  </si>
  <si>
    <r>
      <rPr>
        <sz val="12"/>
        <rFont val="Times New Roman"/>
        <family val="1"/>
      </rPr>
      <t>4.355.000</t>
    </r>
  </si>
  <si>
    <t>Cây chay</t>
  </si>
  <si>
    <t>Cây chay ĐK thân ≤ 5 cm</t>
  </si>
  <si>
    <t>Cây chay đường kính thân 5 cm &lt; ĐK thân ≤ 10 cm</t>
  </si>
  <si>
    <t>Cây chay đường kính thân 10 cm &lt; ĐK thân ≤ 15 cm</t>
  </si>
  <si>
    <t>Cây chay đường kính thân 15 cm &lt; ĐK thân ≤ 20 cm</t>
  </si>
  <si>
    <t>Cây chay đường kính thân 20 cm &lt; ĐK thân ≤ 30 cm</t>
  </si>
  <si>
    <t>Cây chay đường kính thân 30 cm &lt; ĐK thân ≤ 40 cm</t>
  </si>
  <si>
    <t>Cây chay ĐK thân &gt; 40 cm</t>
  </si>
  <si>
    <t>Cây táo</t>
  </si>
  <si>
    <t>Cây táo giống đủ tiêu chuẩn mới trồng Loại cây ghép có chiều cao cây 40cm ≤ H &lt; 1m</t>
  </si>
  <si>
    <r>
      <rPr>
        <sz val="12"/>
        <rFont val="Times New Roman"/>
        <family val="1"/>
      </rPr>
      <t>124.000</t>
    </r>
  </si>
  <si>
    <r>
      <rPr>
        <sz val="12"/>
        <rFont val="Times New Roman"/>
        <family val="1"/>
      </rPr>
      <t>498.000</t>
    </r>
  </si>
  <si>
    <r>
      <rPr>
        <sz val="12"/>
        <rFont val="Times New Roman"/>
        <family val="1"/>
      </rPr>
      <t>871.000</t>
    </r>
  </si>
  <si>
    <r>
      <rPr>
        <sz val="12"/>
        <rFont val="Times New Roman"/>
        <family val="1"/>
      </rPr>
      <t>1.120.000</t>
    </r>
  </si>
  <si>
    <r>
      <rPr>
        <sz val="12"/>
        <rFont val="Times New Roman"/>
        <family val="1"/>
      </rPr>
      <t>1.866.000</t>
    </r>
  </si>
  <si>
    <r>
      <rPr>
        <sz val="12"/>
        <rFont val="Times New Roman"/>
        <family val="1"/>
      </rPr>
      <t>187.000</t>
    </r>
  </si>
  <si>
    <r>
      <rPr>
        <sz val="12"/>
        <rFont val="Times New Roman"/>
        <family val="1"/>
      </rPr>
      <t>684.000</t>
    </r>
  </si>
  <si>
    <r>
      <rPr>
        <sz val="12"/>
        <rFont val="Times New Roman"/>
        <family val="1"/>
      </rPr>
      <t>933.000</t>
    </r>
  </si>
  <si>
    <r>
      <rPr>
        <sz val="12"/>
        <rFont val="Times New Roman"/>
        <family val="1"/>
      </rPr>
      <t>174.000</t>
    </r>
  </si>
  <si>
    <r>
      <rPr>
        <sz val="12"/>
        <rFont val="Times New Roman"/>
        <family val="1"/>
      </rPr>
      <t>374.000</t>
    </r>
  </si>
  <si>
    <r>
      <rPr>
        <sz val="12"/>
        <rFont val="Times New Roman"/>
        <family val="1"/>
      </rPr>
      <t>1.368.000</t>
    </r>
  </si>
  <si>
    <r>
      <rPr>
        <sz val="12"/>
        <rFont val="Times New Roman"/>
        <family val="1"/>
      </rPr>
      <t>3.732.000</t>
    </r>
  </si>
  <si>
    <r>
      <rPr>
        <sz val="12"/>
        <rFont val="Times New Roman"/>
        <family val="1"/>
      </rPr>
      <t>4.480.000</t>
    </r>
  </si>
  <si>
    <r>
      <rPr>
        <sz val="12"/>
        <rFont val="Times New Roman"/>
        <family val="1"/>
      </rPr>
      <t>547.000</t>
    </r>
  </si>
  <si>
    <r>
      <rPr>
        <sz val="12"/>
        <rFont val="Times New Roman"/>
        <family val="1"/>
      </rPr>
      <t>834.000</t>
    </r>
  </si>
  <si>
    <r>
      <rPr>
        <sz val="12"/>
        <rFont val="Times New Roman"/>
        <family val="1"/>
      </rPr>
      <t>1.244.000</t>
    </r>
  </si>
  <si>
    <r>
      <rPr>
        <sz val="12"/>
        <rFont val="Times New Roman"/>
        <family val="1"/>
      </rPr>
      <t>100.000</t>
    </r>
  </si>
  <si>
    <r>
      <rPr>
        <sz val="12"/>
        <rFont val="Times New Roman"/>
        <family val="1"/>
      </rPr>
      <t>212.000</t>
    </r>
  </si>
  <si>
    <r>
      <rPr>
        <sz val="12"/>
        <rFont val="Times New Roman"/>
        <family val="1"/>
      </rPr>
      <t>1.045.000</t>
    </r>
  </si>
  <si>
    <r>
      <rPr>
        <sz val="12"/>
        <rFont val="Times New Roman"/>
        <family val="1"/>
      </rPr>
      <t>311.000</t>
    </r>
  </si>
  <si>
    <r>
      <rPr>
        <sz val="12"/>
        <rFont val="Times New Roman"/>
        <family val="1"/>
      </rPr>
      <t>473.000</t>
    </r>
  </si>
  <si>
    <r>
      <rPr>
        <sz val="12"/>
        <rFont val="Times New Roman"/>
        <family val="1"/>
      </rPr>
      <t>622.000</t>
    </r>
  </si>
  <si>
    <r>
      <rPr>
        <sz val="12"/>
        <rFont val="Times New Roman"/>
        <family val="1"/>
      </rPr>
      <t>249.000</t>
    </r>
  </si>
  <si>
    <r>
      <rPr>
        <sz val="12"/>
        <rFont val="Times New Roman"/>
        <family val="1"/>
      </rPr>
      <t>336.000</t>
    </r>
  </si>
  <si>
    <r>
      <rPr>
        <sz val="12"/>
        <rFont val="Times New Roman"/>
        <family val="1"/>
      </rPr>
      <t>585.000</t>
    </r>
  </si>
  <si>
    <r>
      <rPr>
        <sz val="12"/>
        <rFont val="Times New Roman"/>
        <family val="1"/>
      </rPr>
      <t>1.555.000</t>
    </r>
  </si>
  <si>
    <r>
      <rPr>
        <sz val="12"/>
        <rFont val="Times New Roman"/>
        <family val="1"/>
      </rPr>
      <t>2.737.000</t>
    </r>
  </si>
  <si>
    <r>
      <rPr>
        <sz val="12"/>
        <rFont val="Times New Roman"/>
        <family val="1"/>
      </rPr>
      <t>3.981.000</t>
    </r>
  </si>
  <si>
    <r>
      <rPr>
        <sz val="12"/>
        <rFont val="Times New Roman"/>
        <family val="1"/>
      </rPr>
      <t>5.000</t>
    </r>
  </si>
  <si>
    <r>
      <rPr>
        <sz val="12"/>
        <rFont val="Times New Roman"/>
        <family val="1"/>
      </rPr>
      <t>44.000</t>
    </r>
  </si>
  <si>
    <r>
      <rPr>
        <sz val="12"/>
        <rFont val="Times New Roman"/>
        <family val="1"/>
      </rPr>
      <t>373.000</t>
    </r>
  </si>
  <si>
    <r>
      <rPr>
        <sz val="12"/>
        <rFont val="Times New Roman"/>
        <family val="1"/>
      </rPr>
      <t>20.000</t>
    </r>
  </si>
  <si>
    <r>
      <rPr>
        <sz val="12"/>
        <rFont val="Times New Roman"/>
        <family val="1"/>
      </rPr>
      <t>68.000</t>
    </r>
  </si>
  <si>
    <r>
      <rPr>
        <sz val="12"/>
        <rFont val="Times New Roman"/>
        <family val="1"/>
      </rPr>
      <t>896.000</t>
    </r>
  </si>
  <si>
    <r>
      <rPr>
        <sz val="12"/>
        <rFont val="Times New Roman"/>
        <family val="1"/>
      </rPr>
      <t>35.000</t>
    </r>
  </si>
  <si>
    <r>
      <rPr>
        <sz val="12"/>
        <rFont val="Times New Roman"/>
        <family val="1"/>
      </rPr>
      <t>747.000</t>
    </r>
  </si>
  <si>
    <r>
      <rPr>
        <sz val="12"/>
        <rFont val="Times New Roman"/>
        <family val="1"/>
      </rPr>
      <t>106.000</t>
    </r>
  </si>
  <si>
    <r>
      <rPr>
        <sz val="12"/>
        <rFont val="Times New Roman"/>
        <family val="1"/>
      </rPr>
      <t>224.000</t>
    </r>
  </si>
  <si>
    <r>
      <rPr>
        <sz val="12"/>
        <rFont val="Times New Roman"/>
        <family val="1"/>
      </rPr>
      <t>435.000</t>
    </r>
  </si>
  <si>
    <r>
      <rPr>
        <sz val="12"/>
        <rFont val="Times New Roman"/>
        <family val="1"/>
      </rPr>
      <t>37.000</t>
    </r>
  </si>
  <si>
    <r>
      <rPr>
        <sz val="12"/>
        <rFont val="Times New Roman"/>
        <family val="1"/>
      </rPr>
      <t>—</t>
    </r>
  </si>
  <si>
    <r>
      <rPr>
        <sz val="12"/>
        <rFont val="Times New Roman"/>
        <family val="1"/>
      </rPr>
      <t>560.000</t>
    </r>
  </si>
  <si>
    <r>
      <rPr>
        <sz val="12"/>
        <rFont val="Times New Roman"/>
        <family val="1"/>
      </rPr>
      <t>65.000</t>
    </r>
  </si>
  <si>
    <r>
      <rPr>
        <sz val="12"/>
        <rFont val="Times New Roman"/>
        <family val="1"/>
      </rPr>
      <t>210.000</t>
    </r>
  </si>
  <si>
    <r>
      <rPr>
        <sz val="12"/>
        <rFont val="Times New Roman"/>
        <family val="1"/>
      </rPr>
      <t>300.000</t>
    </r>
  </si>
  <si>
    <r>
      <rPr>
        <sz val="12"/>
        <rFont val="Times New Roman"/>
        <family val="1"/>
      </rPr>
      <t>400.000</t>
    </r>
  </si>
  <si>
    <r>
      <rPr>
        <sz val="12"/>
        <rFont val="Times New Roman"/>
        <family val="1"/>
      </rPr>
      <t>540.000</t>
    </r>
  </si>
  <si>
    <r>
      <rPr>
        <sz val="12"/>
        <rFont val="Times New Roman"/>
        <family val="1"/>
      </rPr>
      <t>720.000</t>
    </r>
  </si>
  <si>
    <r>
      <rPr>
        <sz val="12"/>
        <rFont val="Times New Roman"/>
        <family val="1"/>
      </rPr>
      <t>1.000.000</t>
    </r>
  </si>
  <si>
    <r>
      <rPr>
        <sz val="12"/>
        <rFont val="Times New Roman"/>
        <family val="1"/>
      </rPr>
      <t>15.000</t>
    </r>
  </si>
  <si>
    <r>
      <rPr>
        <sz val="12"/>
        <rFont val="Times New Roman"/>
        <family val="1"/>
      </rPr>
      <t>62.000</t>
    </r>
  </si>
  <si>
    <r>
      <rPr>
        <sz val="12"/>
        <rFont val="Times New Roman"/>
        <family val="1"/>
      </rPr>
      <t>199.000</t>
    </r>
  </si>
  <si>
    <r>
      <rPr>
        <sz val="12"/>
        <rFont val="Times New Roman"/>
        <family val="1"/>
      </rPr>
      <t>460.000</t>
    </r>
  </si>
  <si>
    <r>
      <rPr>
        <sz val="12"/>
        <rFont val="Times New Roman"/>
        <family val="1"/>
      </rPr>
      <t>722.000</t>
    </r>
  </si>
  <si>
    <r>
      <rPr>
        <sz val="12"/>
        <rFont val="Times New Roman"/>
        <family val="1"/>
      </rPr>
      <t>Đồng/cây .</t>
    </r>
  </si>
  <si>
    <r>
      <rPr>
        <sz val="12"/>
        <rFont val="Times New Roman"/>
        <family val="1"/>
      </rPr>
      <t>984.000</t>
    </r>
  </si>
  <si>
    <r>
      <rPr>
        <sz val="12"/>
        <rFont val="Times New Roman"/>
        <family val="1"/>
      </rPr>
      <t>1.246.000</t>
    </r>
  </si>
  <si>
    <r>
      <rPr>
        <sz val="12"/>
        <rFont val="Times New Roman"/>
        <family val="1"/>
      </rPr>
      <t>659.000</t>
    </r>
  </si>
  <si>
    <r>
      <rPr>
        <sz val="12"/>
        <rFont val="Times New Roman"/>
        <family val="1"/>
      </rPr>
      <t>19.000</t>
    </r>
  </si>
  <si>
    <r>
      <rPr>
        <sz val="12"/>
        <rFont val="Times New Roman"/>
        <family val="1"/>
      </rPr>
      <t>185.000</t>
    </r>
  </si>
  <si>
    <r>
      <rPr>
        <sz val="12"/>
        <rFont val="Times New Roman"/>
        <family val="1"/>
      </rPr>
      <t>308.000</t>
    </r>
  </si>
  <si>
    <r>
      <rPr>
        <sz val="12"/>
        <rFont val="Times New Roman"/>
        <family val="1"/>
      </rPr>
      <t>431.000</t>
    </r>
  </si>
  <si>
    <r>
      <rPr>
        <sz val="12"/>
        <rFont val="Times New Roman"/>
        <family val="1"/>
      </rPr>
      <t>554.000</t>
    </r>
  </si>
  <si>
    <r>
      <rPr>
        <sz val="12"/>
        <rFont val="Times New Roman"/>
        <family val="1"/>
      </rPr>
      <t>85.000</t>
    </r>
  </si>
  <si>
    <r>
      <rPr>
        <sz val="12"/>
        <rFont val="Times New Roman"/>
        <family val="1"/>
      </rPr>
      <t>571.000</t>
    </r>
  </si>
  <si>
    <r>
      <rPr>
        <sz val="12"/>
        <rFont val="Times New Roman"/>
        <family val="1"/>
      </rPr>
      <t>893.000</t>
    </r>
  </si>
  <si>
    <r>
      <rPr>
        <sz val="12"/>
        <rFont val="Times New Roman"/>
        <family val="1"/>
      </rPr>
      <t>1.100.000</t>
    </r>
  </si>
  <si>
    <r>
      <rPr>
        <sz val="12"/>
        <rFont val="Times New Roman"/>
        <family val="1"/>
      </rPr>
      <t>170.000</t>
    </r>
  </si>
  <si>
    <r>
      <rPr>
        <sz val="12"/>
        <rFont val="Times New Roman"/>
        <family val="1"/>
      </rPr>
      <t>370.000</t>
    </r>
  </si>
  <si>
    <r>
      <rPr>
        <sz val="12"/>
        <rFont val="Times New Roman"/>
        <family val="1"/>
      </rPr>
      <t>740.000</t>
    </r>
  </si>
  <si>
    <r>
      <rPr>
        <sz val="12"/>
        <rFont val="Times New Roman"/>
        <family val="1"/>
      </rPr>
      <t>1.480.000</t>
    </r>
  </si>
  <si>
    <r>
      <rPr>
        <sz val="12"/>
        <rFont val="Times New Roman"/>
        <family val="1"/>
      </rPr>
      <t>2.960.000</t>
    </r>
  </si>
  <si>
    <r>
      <rPr>
        <sz val="12"/>
        <rFont val="Times New Roman"/>
        <family val="1"/>
      </rPr>
      <t>120.000</t>
    </r>
  </si>
  <si>
    <r>
      <rPr>
        <sz val="12"/>
        <rFont val="Times New Roman"/>
        <family val="1"/>
      </rPr>
      <t>250.000</t>
    </r>
  </si>
  <si>
    <r>
      <rPr>
        <sz val="12"/>
        <rFont val="Times New Roman"/>
        <family val="1"/>
      </rPr>
      <t>500.000</t>
    </r>
  </si>
  <si>
    <r>
      <rPr>
        <sz val="12"/>
        <rFont val="Times New Roman"/>
        <family val="1"/>
      </rPr>
      <t>700.000</t>
    </r>
  </si>
  <si>
    <r>
      <rPr>
        <sz val="12"/>
        <rFont val="Times New Roman"/>
        <family val="1"/>
      </rPr>
      <t>70.000</t>
    </r>
  </si>
  <si>
    <r>
      <rPr>
        <sz val="12"/>
        <rFont val="Times New Roman"/>
        <family val="1"/>
      </rPr>
      <t>110.000</t>
    </r>
  </si>
  <si>
    <r>
      <rPr>
        <sz val="12"/>
        <rFont val="Times New Roman"/>
        <family val="1"/>
      </rPr>
      <t>200.000</t>
    </r>
  </si>
  <si>
    <r>
      <rPr>
        <sz val="12"/>
        <rFont val="Times New Roman"/>
        <family val="1"/>
      </rPr>
      <t>270.000</t>
    </r>
  </si>
  <si>
    <r>
      <rPr>
        <sz val="12"/>
        <rFont val="Times New Roman"/>
        <family val="1"/>
      </rPr>
      <t>360.000</t>
    </r>
  </si>
  <si>
    <r>
      <rPr>
        <sz val="12"/>
        <rFont val="Times New Roman"/>
        <family val="1"/>
      </rPr>
      <t>520.000</t>
    </r>
  </si>
  <si>
    <r>
      <rPr>
        <sz val="12"/>
        <rFont val="Times New Roman"/>
        <family val="1"/>
      </rPr>
      <t>80.000</t>
    </r>
  </si>
  <si>
    <r>
      <rPr>
        <sz val="12"/>
        <rFont val="Times New Roman"/>
        <family val="1"/>
      </rPr>
      <t>150.000</t>
    </r>
  </si>
  <si>
    <r>
      <rPr>
        <sz val="12"/>
        <rFont val="Times New Roman"/>
        <family val="1"/>
      </rPr>
      <t>380.000</t>
    </r>
  </si>
  <si>
    <r>
      <rPr>
        <sz val="12"/>
        <rFont val="Times New Roman"/>
        <family val="1"/>
      </rPr>
      <t>530.000</t>
    </r>
  </si>
  <si>
    <r>
      <rPr>
        <sz val="12"/>
        <rFont val="Times New Roman"/>
        <family val="1"/>
      </rPr>
      <t>75.000</t>
    </r>
  </si>
  <si>
    <r>
      <rPr>
        <sz val="12"/>
        <rFont val="Times New Roman"/>
        <family val="1"/>
      </rPr>
      <t>180.000</t>
    </r>
  </si>
  <si>
    <r>
      <rPr>
        <sz val="12"/>
        <rFont val="Times New Roman"/>
        <family val="1"/>
      </rPr>
      <t>444.000</t>
    </r>
  </si>
  <si>
    <r>
      <rPr>
        <sz val="12"/>
        <rFont val="Times New Roman"/>
        <family val="1"/>
      </rPr>
      <t>960.000</t>
    </r>
  </si>
  <si>
    <r>
      <rPr>
        <sz val="12"/>
        <rFont val="Times New Roman"/>
        <family val="1"/>
      </rPr>
      <t>1.200.000</t>
    </r>
  </si>
  <si>
    <r>
      <rPr>
        <sz val="12"/>
        <rFont val="Times New Roman"/>
        <family val="1"/>
      </rPr>
      <t>1.440.000</t>
    </r>
  </si>
  <si>
    <r>
      <rPr>
        <sz val="12"/>
        <rFont val="Times New Roman"/>
        <family val="1"/>
      </rPr>
      <t>1.700.000</t>
    </r>
  </si>
  <si>
    <r>
      <rPr>
        <sz val="12"/>
        <rFont val="Times New Roman"/>
        <family val="1"/>
      </rPr>
      <t>2.000.000</t>
    </r>
  </si>
  <si>
    <r>
      <rPr>
        <sz val="12"/>
        <rFont val="Times New Roman"/>
        <family val="1"/>
      </rPr>
      <t>3.000.000</t>
    </r>
  </si>
  <si>
    <r>
      <rPr>
        <sz val="12"/>
        <rFont val="Times New Roman"/>
        <family val="1"/>
      </rPr>
      <t>4.300.000</t>
    </r>
  </si>
  <si>
    <r>
      <rPr>
        <sz val="12"/>
        <rFont val="Times New Roman"/>
        <family val="1"/>
      </rPr>
      <t>650.000</t>
    </r>
  </si>
  <si>
    <r>
      <rPr>
        <sz val="12"/>
        <rFont val="Times New Roman"/>
        <family val="1"/>
      </rPr>
      <t>920.000</t>
    </r>
  </si>
  <si>
    <r>
      <rPr>
        <sz val="12"/>
        <rFont val="Times New Roman"/>
        <family val="1"/>
      </rPr>
      <t>1.500.000</t>
    </r>
  </si>
  <si>
    <r>
      <rPr>
        <sz val="12"/>
        <rFont val="Times New Roman"/>
        <family val="1"/>
      </rPr>
      <t>144.000</t>
    </r>
  </si>
  <si>
    <r>
      <rPr>
        <sz val="12"/>
        <rFont val="Times New Roman"/>
        <family val="1"/>
      </rPr>
      <t>240.000</t>
    </r>
  </si>
  <si>
    <r>
      <rPr>
        <sz val="12"/>
        <rFont val="Times New Roman"/>
        <family val="1"/>
      </rPr>
      <t>480.000</t>
    </r>
  </si>
  <si>
    <r>
      <rPr>
        <sz val="12"/>
        <rFont val="Times New Roman"/>
        <family val="1"/>
      </rPr>
      <t>600.000</t>
    </r>
  </si>
  <si>
    <r>
      <rPr>
        <sz val="12"/>
        <rFont val="Times New Roman"/>
        <family val="1"/>
      </rPr>
      <t>840.000</t>
    </r>
  </si>
  <si>
    <r>
      <rPr>
        <sz val="12"/>
        <rFont val="Times New Roman"/>
        <family val="1"/>
      </rPr>
      <t>7.000</t>
    </r>
  </si>
  <si>
    <r>
      <rPr>
        <sz val="12"/>
        <rFont val="Times New Roman"/>
        <family val="1"/>
      </rPr>
      <t>60.000</t>
    </r>
  </si>
  <si>
    <r>
      <rPr>
        <sz val="12"/>
        <rFont val="Times New Roman"/>
        <family val="1"/>
      </rPr>
      <t>350.000</t>
    </r>
  </si>
  <si>
    <r>
      <rPr>
        <sz val="12"/>
        <rFont val="Times New Roman"/>
        <family val="1"/>
      </rPr>
      <t>900.000</t>
    </r>
  </si>
  <si>
    <r>
      <rPr>
        <sz val="12"/>
        <rFont val="Times New Roman"/>
        <family val="1"/>
      </rPr>
      <t>12.000</t>
    </r>
  </si>
  <si>
    <r>
      <rPr>
        <sz val="12"/>
        <rFont val="Times New Roman"/>
        <family val="1"/>
      </rPr>
      <t>800.000</t>
    </r>
  </si>
  <si>
    <r>
      <rPr>
        <b/>
        <sz val="12"/>
        <rFont val="Times New Roman"/>
        <family val="1"/>
      </rPr>
      <t>Cây phi lao, thông</t>
    </r>
  </si>
  <si>
    <r>
      <rPr>
        <sz val="12"/>
        <rFont val="Times New Roman"/>
        <family val="1"/>
      </rPr>
      <t>55.000</t>
    </r>
  </si>
  <si>
    <r>
      <rPr>
        <sz val="12"/>
        <rFont val="Times New Roman"/>
        <family val="1"/>
      </rPr>
      <t>8.000</t>
    </r>
  </si>
  <si>
    <r>
      <rPr>
        <sz val="12"/>
        <rFont val="Times New Roman"/>
        <family val="1"/>
      </rPr>
      <t>50.000</t>
    </r>
  </si>
  <si>
    <r>
      <rPr>
        <sz val="12"/>
        <rFont val="Times New Roman"/>
        <family val="1"/>
      </rPr>
      <t>63.000</t>
    </r>
  </si>
  <si>
    <r>
      <rPr>
        <sz val="12"/>
        <rFont val="Times New Roman"/>
        <family val="1"/>
      </rPr>
      <t>90.000</t>
    </r>
  </si>
  <si>
    <r>
      <rPr>
        <sz val="12"/>
        <rFont val="Times New Roman"/>
        <family val="1"/>
      </rPr>
      <t>230.000</t>
    </r>
  </si>
  <si>
    <r>
      <rPr>
        <sz val="12"/>
        <rFont val="Times New Roman"/>
        <family val="1"/>
      </rPr>
      <t>140.000</t>
    </r>
  </si>
  <si>
    <r>
      <rPr>
        <sz val="12"/>
        <rFont val="Times New Roman"/>
        <family val="1"/>
      </rPr>
      <t>9.000</t>
    </r>
  </si>
  <si>
    <r>
      <rPr>
        <sz val="12"/>
        <rFont val="Times New Roman"/>
        <family val="1"/>
      </rPr>
      <t>590.000</t>
    </r>
  </si>
  <si>
    <r>
      <rPr>
        <sz val="12"/>
        <rFont val="Times New Roman"/>
        <family val="1"/>
      </rPr>
      <t>810.000</t>
    </r>
  </si>
  <si>
    <r>
      <rPr>
        <sz val="12"/>
        <rFont val="Times New Roman"/>
        <family val="1"/>
      </rPr>
      <t>1.400.000</t>
    </r>
  </si>
  <si>
    <r>
      <rPr>
        <sz val="12"/>
        <rFont val="Times New Roman"/>
        <family val="1"/>
      </rPr>
      <t>1.800.000</t>
    </r>
  </si>
  <si>
    <r>
      <rPr>
        <sz val="12"/>
        <rFont val="Times New Roman"/>
        <family val="1"/>
      </rPr>
      <t>190.000</t>
    </r>
  </si>
  <si>
    <r>
      <rPr>
        <sz val="12"/>
        <rFont val="Times New Roman"/>
        <family val="1"/>
      </rPr>
      <t>340.000</t>
    </r>
  </si>
  <si>
    <r>
      <rPr>
        <sz val="12"/>
        <rFont val="Times New Roman"/>
        <family val="1"/>
      </rPr>
      <t>580.000</t>
    </r>
  </si>
  <si>
    <r>
      <rPr>
        <sz val="12"/>
        <rFont val="Times New Roman"/>
        <family val="1"/>
      </rPr>
      <t>940.000</t>
    </r>
  </si>
  <si>
    <r>
      <rPr>
        <sz val="12"/>
        <rFont val="Times New Roman"/>
        <family val="1"/>
      </rPr>
      <t>72.000</t>
    </r>
  </si>
  <si>
    <r>
      <rPr>
        <sz val="12"/>
        <rFont val="Times New Roman"/>
        <family val="1"/>
      </rPr>
      <t>550.000</t>
    </r>
  </si>
  <si>
    <r>
      <rPr>
        <sz val="12"/>
        <rFont val="Times New Roman"/>
        <family val="1"/>
      </rPr>
      <t>750.000</t>
    </r>
  </si>
  <si>
    <r>
      <rPr>
        <sz val="12"/>
        <rFont val="Times New Roman"/>
        <family val="1"/>
      </rPr>
      <t>2.400.000</t>
    </r>
  </si>
  <si>
    <r>
      <rPr>
        <sz val="12"/>
        <rFont val="Times New Roman"/>
        <family val="1"/>
      </rPr>
      <t>3.600.000</t>
    </r>
  </si>
  <si>
    <r>
      <rPr>
        <sz val="12"/>
        <rFont val="Times New Roman"/>
        <family val="1"/>
      </rPr>
      <t>126.000</t>
    </r>
  </si>
  <si>
    <r>
      <rPr>
        <sz val="12"/>
        <rFont val="Times New Roman"/>
        <family val="1"/>
      </rPr>
      <t>234.000</t>
    </r>
  </si>
  <si>
    <r>
      <rPr>
        <sz val="12"/>
        <rFont val="Times New Roman"/>
        <family val="1"/>
      </rPr>
      <t>420.000</t>
    </r>
  </si>
  <si>
    <r>
      <rPr>
        <sz val="12"/>
        <rFont val="Times New Roman"/>
        <family val="1"/>
      </rPr>
      <t>504.000</t>
    </r>
  </si>
  <si>
    <r>
      <rPr>
        <sz val="12"/>
        <rFont val="Times New Roman"/>
        <family val="1"/>
      </rPr>
      <t>576.000</t>
    </r>
  </si>
  <si>
    <r>
      <rPr>
        <sz val="12"/>
        <rFont val="Times New Roman"/>
        <family val="1"/>
      </rPr>
      <t>696.000</t>
    </r>
  </si>
  <si>
    <r>
      <rPr>
        <sz val="12"/>
        <rFont val="Times New Roman"/>
        <family val="1"/>
      </rPr>
      <t>820.000</t>
    </r>
  </si>
  <si>
    <r>
      <rPr>
        <sz val="12"/>
        <rFont val="Times New Roman"/>
        <family val="1"/>
      </rPr>
      <t>52.000</t>
    </r>
  </si>
  <si>
    <r>
      <rPr>
        <sz val="12"/>
        <rFont val="Times New Roman"/>
        <family val="1"/>
      </rPr>
      <t>440.000</t>
    </r>
  </si>
  <si>
    <t>Cây cần thăng</t>
  </si>
  <si>
    <r>
      <rPr>
        <sz val="12"/>
        <rFont val="Times New Roman"/>
        <family val="1"/>
      </rPr>
      <t>Đồng/câỷ</t>
    </r>
  </si>
  <si>
    <r>
      <rPr>
        <sz val="12"/>
        <rFont val="Times New Roman"/>
        <family val="1"/>
      </rPr>
      <t>570.000</t>
    </r>
  </si>
  <si>
    <r>
      <rPr>
        <sz val="12"/>
        <rFont val="Times New Roman"/>
        <family val="1"/>
      </rPr>
      <t>135.000</t>
    </r>
  </si>
  <si>
    <r>
      <rPr>
        <sz val="12"/>
        <rFont val="Times New Roman"/>
        <family val="1"/>
      </rPr>
      <t>450.000</t>
    </r>
  </si>
  <si>
    <r>
      <rPr>
        <sz val="12"/>
        <rFont val="Times New Roman"/>
        <family val="1"/>
      </rPr>
      <t>375.000</t>
    </r>
  </si>
  <si>
    <r>
      <rPr>
        <sz val="12"/>
        <rFont val="Times New Roman"/>
        <family val="1"/>
      </rPr>
      <t>18.000</t>
    </r>
  </si>
  <si>
    <r>
      <rPr>
        <sz val="12"/>
        <rFont val="Times New Roman"/>
        <family val="1"/>
      </rPr>
      <t>290.000</t>
    </r>
  </si>
  <si>
    <r>
      <rPr>
        <sz val="12"/>
        <rFont val="Times New Roman"/>
        <family val="1"/>
      </rPr>
      <t>430.000</t>
    </r>
  </si>
  <si>
    <t>Cây lan bình rượu (náng đế)</t>
  </si>
  <si>
    <r>
      <rPr>
        <sz val="12"/>
        <rFont val="Times New Roman"/>
        <family val="1"/>
      </rPr>
      <t>155.000</t>
    </r>
  </si>
  <si>
    <r>
      <rPr>
        <sz val="12"/>
        <rFont val="Times New Roman"/>
        <family val="1"/>
      </rPr>
      <t>243.600</t>
    </r>
  </si>
  <si>
    <r>
      <rPr>
        <sz val="12"/>
        <rFont val="Times New Roman"/>
        <family val="1"/>
      </rPr>
      <t>692.400</t>
    </r>
  </si>
  <si>
    <r>
      <rPr>
        <sz val="12"/>
        <rFont val="Times New Roman"/>
        <family val="1"/>
      </rPr>
      <t>1.040.400</t>
    </r>
  </si>
  <si>
    <r>
      <rPr>
        <sz val="12"/>
        <rFont val="Times New Roman"/>
        <family val="1"/>
      </rPr>
      <t>1.382.400</t>
    </r>
  </si>
  <si>
    <r>
      <rPr>
        <sz val="12"/>
        <rFont val="Times New Roman"/>
        <family val="1"/>
      </rPr>
      <t>175.000</t>
    </r>
  </si>
  <si>
    <r>
      <rPr>
        <sz val="12"/>
        <rFont val="Times New Roman"/>
        <family val="1"/>
      </rPr>
      <t>285.000</t>
    </r>
  </si>
  <si>
    <r>
      <rPr>
        <sz val="12"/>
        <rFont val="Times New Roman"/>
        <family val="1"/>
      </rPr>
      <t>980.000</t>
    </r>
  </si>
  <si>
    <r>
      <rPr>
        <sz val="12"/>
        <rFont val="Times New Roman"/>
        <family val="1"/>
      </rPr>
      <t>320.000</t>
    </r>
  </si>
  <si>
    <r>
      <rPr>
        <sz val="12"/>
        <rFont val="Times New Roman"/>
        <family val="1"/>
      </rPr>
      <t>5.400.000</t>
    </r>
  </si>
  <si>
    <r>
      <rPr>
        <sz val="12"/>
        <rFont val="Times New Roman"/>
        <family val="1"/>
      </rPr>
      <t>216.000</t>
    </r>
  </si>
  <si>
    <r>
      <rPr>
        <sz val="12"/>
        <rFont val="Times New Roman"/>
        <family val="1"/>
      </rPr>
      <t>192.000</t>
    </r>
  </si>
  <si>
    <r>
      <rPr>
        <sz val="12"/>
        <rFont val="Times New Roman"/>
        <family val="1"/>
      </rPr>
      <t>924.000</t>
    </r>
  </si>
  <si>
    <r>
      <rPr>
        <sz val="12"/>
        <rFont val="Times New Roman"/>
        <family val="1"/>
      </rPr>
      <t>1.584.000</t>
    </r>
  </si>
  <si>
    <r>
      <rPr>
        <sz val="12"/>
        <rFont val="Times New Roman"/>
        <family val="1"/>
      </rPr>
      <t>132.000</t>
    </r>
  </si>
  <si>
    <r>
      <rPr>
        <sz val="12"/>
        <rFont val="Times New Roman"/>
        <family val="1"/>
      </rPr>
      <t>330.000</t>
    </r>
  </si>
  <si>
    <r>
      <rPr>
        <sz val="12"/>
        <rFont val="Times New Roman"/>
        <family val="1"/>
      </rPr>
      <t>462.000</t>
    </r>
  </si>
  <si>
    <r>
      <rPr>
        <sz val="12"/>
        <rFont val="Times New Roman"/>
        <family val="1"/>
      </rPr>
      <t>660.000</t>
    </r>
  </si>
  <si>
    <r>
      <rPr>
        <sz val="12"/>
        <rFont val="Times New Roman"/>
        <family val="1"/>
      </rPr>
      <t>84.000</t>
    </r>
  </si>
  <si>
    <r>
      <rPr>
        <sz val="12"/>
        <rFont val="Times New Roman"/>
        <family val="1"/>
      </rPr>
      <t>156.000</t>
    </r>
  </si>
  <si>
    <r>
      <rPr>
        <sz val="12"/>
        <rFont val="Times New Roman"/>
        <family val="1"/>
      </rPr>
      <t>204.000</t>
    </r>
  </si>
  <si>
    <r>
      <rPr>
        <b/>
        <sz val="13"/>
        <rFont val="Times New Roman"/>
        <family val="1"/>
      </rPr>
      <t>NHÓM CÂY TÍNH THEO ĐƯỜNG KÍNH TÁN</t>
    </r>
  </si>
  <si>
    <r>
      <rPr>
        <sz val="13"/>
        <rFont val="Times New Roman"/>
        <family val="1"/>
      </rPr>
      <t>Đồng/cây</t>
    </r>
  </si>
  <si>
    <r>
      <rPr>
        <sz val="13"/>
        <rFont val="Times New Roman"/>
        <family val="1"/>
      </rPr>
      <t>25.000</t>
    </r>
  </si>
  <si>
    <r>
      <rPr>
        <sz val="13"/>
        <rFont val="Times New Roman"/>
        <family val="1"/>
      </rPr>
      <t>75.000</t>
    </r>
  </si>
  <si>
    <r>
      <rPr>
        <sz val="13"/>
        <rFont val="Times New Roman"/>
        <family val="1"/>
      </rPr>
      <t>1 Đồng/cây</t>
    </r>
  </si>
  <si>
    <r>
      <rPr>
        <sz val="13"/>
        <rFont val="Times New Roman"/>
        <family val="1"/>
      </rPr>
      <t>311.000</t>
    </r>
  </si>
  <si>
    <r>
      <rPr>
        <sz val="13"/>
        <rFont val="Times New Roman"/>
        <family val="1"/>
      </rPr>
      <t>435.000</t>
    </r>
  </si>
  <si>
    <r>
      <rPr>
        <sz val="13"/>
        <rFont val="Times New Roman"/>
        <family val="1"/>
      </rPr>
      <t>560.000</t>
    </r>
  </si>
  <si>
    <r>
      <rPr>
        <sz val="13"/>
        <rFont val="Times New Roman"/>
        <family val="1"/>
      </rPr>
      <t>747.000</t>
    </r>
  </si>
  <si>
    <r>
      <rPr>
        <sz val="13"/>
        <rFont val="Times New Roman"/>
        <family val="1"/>
      </rPr>
      <t>995.000</t>
    </r>
  </si>
  <si>
    <r>
      <rPr>
        <sz val="13"/>
        <rFont val="Times New Roman"/>
        <family val="1"/>
      </rPr>
      <t>1.369.000</t>
    </r>
  </si>
  <si>
    <r>
      <rPr>
        <sz val="13"/>
        <rFont val="Times New Roman"/>
        <family val="1"/>
      </rPr>
      <t>35.000</t>
    </r>
  </si>
  <si>
    <r>
      <rPr>
        <sz val="13"/>
        <rFont val="Times New Roman"/>
        <family val="1"/>
      </rPr>
      <t>66.000</t>
    </r>
  </si>
  <si>
    <r>
      <rPr>
        <sz val="13"/>
        <rFont val="Times New Roman"/>
        <family val="1"/>
      </rPr>
      <t>108.000</t>
    </r>
  </si>
  <si>
    <r>
      <rPr>
        <sz val="13"/>
        <rFont val="Times New Roman"/>
        <family val="1"/>
      </rPr>
      <t>168.000</t>
    </r>
  </si>
  <si>
    <r>
      <rPr>
        <sz val="13"/>
        <rFont val="Times New Roman"/>
        <family val="1"/>
      </rPr>
      <t>264.000</t>
    </r>
  </si>
  <si>
    <r>
      <rPr>
        <sz val="13"/>
        <rFont val="Times New Roman"/>
        <family val="1"/>
      </rPr>
      <t>372.000</t>
    </r>
  </si>
  <si>
    <r>
      <rPr>
        <sz val="13"/>
        <rFont val="Times New Roman"/>
        <family val="1"/>
      </rPr>
      <t>480.000</t>
    </r>
  </si>
  <si>
    <r>
      <rPr>
        <sz val="13"/>
        <rFont val="Times New Roman"/>
        <family val="1"/>
      </rPr>
      <t>588.000</t>
    </r>
  </si>
  <si>
    <r>
      <rPr>
        <sz val="13"/>
        <rFont val="Times New Roman"/>
        <family val="1"/>
      </rPr>
      <t>720.000</t>
    </r>
  </si>
  <si>
    <r>
      <rPr>
        <sz val="13"/>
        <rFont val="Times New Roman"/>
        <family val="1"/>
      </rPr>
      <t>864.000</t>
    </r>
  </si>
  <si>
    <r>
      <rPr>
        <sz val="13"/>
        <rFont val="Times New Roman"/>
        <family val="1"/>
      </rPr>
      <t>1.020.000</t>
    </r>
  </si>
  <si>
    <r>
      <rPr>
        <sz val="13"/>
        <rFont val="Times New Roman"/>
        <family val="1"/>
      </rPr>
      <t>1.140.000</t>
    </r>
  </si>
  <si>
    <r>
      <rPr>
        <sz val="13"/>
        <rFont val="Times New Roman"/>
        <family val="1"/>
      </rPr>
      <t>20.000</t>
    </r>
  </si>
  <si>
    <r>
      <rPr>
        <sz val="13"/>
        <rFont val="Times New Roman"/>
        <family val="1"/>
      </rPr>
      <t>187.000</t>
    </r>
  </si>
  <si>
    <r>
      <rPr>
        <sz val="13"/>
        <rFont val="Times New Roman"/>
        <family val="1"/>
      </rPr>
      <t>62.000</t>
    </r>
  </si>
  <si>
    <r>
      <rPr>
        <sz val="13"/>
        <rFont val="Times New Roman"/>
        <family val="1"/>
      </rPr>
      <t>124.000</t>
    </r>
  </si>
  <si>
    <r>
      <rPr>
        <sz val="13"/>
        <rFont val="Times New Roman"/>
        <family val="1"/>
      </rPr>
      <t>249.000</t>
    </r>
  </si>
  <si>
    <r>
      <rPr>
        <sz val="13"/>
        <rFont val="Times New Roman"/>
        <family val="1"/>
      </rPr>
      <t>373.000</t>
    </r>
  </si>
  <si>
    <r>
      <rPr>
        <sz val="13"/>
        <rFont val="Times New Roman"/>
        <family val="1"/>
      </rPr>
      <t>30.000</t>
    </r>
  </si>
  <si>
    <r>
      <rPr>
        <sz val="13"/>
        <rFont val="Times New Roman"/>
        <family val="1"/>
      </rPr>
      <t>40.000</t>
    </r>
  </si>
  <si>
    <r>
      <rPr>
        <sz val="13"/>
        <rFont val="Times New Roman"/>
        <family val="1"/>
      </rPr>
      <t>Đông/cây</t>
    </r>
  </si>
  <si>
    <r>
      <rPr>
        <sz val="13"/>
        <rFont val="Times New Roman"/>
        <family val="1"/>
      </rPr>
      <t>87.000</t>
    </r>
  </si>
  <si>
    <r>
      <rPr>
        <sz val="13"/>
        <rFont val="Times New Roman"/>
        <family val="1"/>
      </rPr>
      <t>149.000</t>
    </r>
  </si>
  <si>
    <r>
      <rPr>
        <sz val="13"/>
        <rFont val="Times New Roman"/>
        <family val="1"/>
      </rPr>
      <t>809.000</t>
    </r>
  </si>
  <si>
    <r>
      <rPr>
        <sz val="13"/>
        <rFont val="Times New Roman"/>
        <family val="1"/>
      </rPr>
      <t>1.058.000</t>
    </r>
  </si>
  <si>
    <r>
      <rPr>
        <sz val="13"/>
        <rFont val="Times New Roman"/>
        <family val="1"/>
      </rPr>
      <t>7.000</t>
    </r>
  </si>
  <si>
    <r>
      <rPr>
        <sz val="13"/>
        <rFont val="Times New Roman"/>
        <family val="1"/>
      </rPr>
      <t>547.000</t>
    </r>
  </si>
  <si>
    <r>
      <rPr>
        <sz val="13"/>
        <rFont val="Times New Roman"/>
        <family val="1"/>
      </rPr>
      <t>81.000</t>
    </r>
  </si>
  <si>
    <r>
      <rPr>
        <sz val="13"/>
        <rFont val="Times New Roman"/>
        <family val="1"/>
      </rPr>
      <t>Đồng/cấy</t>
    </r>
  </si>
  <si>
    <r>
      <rPr>
        <sz val="13"/>
        <rFont val="Times New Roman"/>
        <family val="1"/>
      </rPr>
      <t>224.000</t>
    </r>
  </si>
  <si>
    <r>
      <rPr>
        <sz val="13"/>
        <rFont val="Times New Roman"/>
        <family val="1"/>
      </rPr>
      <t>796.000</t>
    </r>
  </si>
  <si>
    <r>
      <rPr>
        <sz val="13"/>
        <rFont val="Times New Roman"/>
        <family val="1"/>
      </rPr>
      <t>65.000</t>
    </r>
  </si>
  <si>
    <r>
      <rPr>
        <sz val="13"/>
        <rFont val="Times New Roman"/>
        <family val="1"/>
      </rPr>
      <t>120.000</t>
    </r>
  </si>
  <si>
    <r>
      <rPr>
        <sz val="13"/>
        <rFont val="Times New Roman"/>
        <family val="1"/>
      </rPr>
      <t>150.000</t>
    </r>
  </si>
  <si>
    <r>
      <rPr>
        <sz val="13"/>
        <rFont val="Times New Roman"/>
        <family val="1"/>
      </rPr>
      <t>180.000</t>
    </r>
  </si>
  <si>
    <r>
      <rPr>
        <sz val="13"/>
        <rFont val="Times New Roman"/>
        <family val="1"/>
      </rPr>
      <t>350.000</t>
    </r>
  </si>
  <si>
    <r>
      <rPr>
        <sz val="13"/>
        <rFont val="Times New Roman"/>
        <family val="1"/>
      </rPr>
      <t>640.000</t>
    </r>
  </si>
  <si>
    <r>
      <rPr>
        <sz val="13"/>
        <rFont val="Times New Roman"/>
        <family val="1"/>
      </rPr>
      <t>398.000</t>
    </r>
  </si>
  <si>
    <r>
      <rPr>
        <sz val="13"/>
        <rFont val="Times New Roman"/>
        <family val="1"/>
      </rPr>
      <t>622.000</t>
    </r>
  </si>
  <si>
    <r>
      <rPr>
        <sz val="13"/>
        <rFont val="Times New Roman"/>
        <family val="1"/>
      </rPr>
      <t>đồng/trụ</t>
    </r>
  </si>
  <si>
    <r>
      <rPr>
        <sz val="13"/>
        <rFont val="Times New Roman"/>
        <family val="1"/>
      </rPr>
      <t>250.000</t>
    </r>
  </si>
  <si>
    <r>
      <rPr>
        <sz val="13"/>
        <rFont val="Times New Roman"/>
        <family val="1"/>
      </rPr>
      <t>300.000</t>
    </r>
  </si>
  <si>
    <r>
      <rPr>
        <sz val="13"/>
        <rFont val="Times New Roman"/>
        <family val="1"/>
      </rPr>
      <t>5.000</t>
    </r>
  </si>
  <si>
    <r>
      <rPr>
        <sz val="13"/>
        <rFont val="Times New Roman"/>
        <family val="1"/>
      </rPr>
      <t>116.000</t>
    </r>
  </si>
  <si>
    <r>
      <rPr>
        <sz val="13"/>
        <rFont val="Times New Roman"/>
        <family val="1"/>
      </rPr>
      <t>225.000</t>
    </r>
  </si>
  <si>
    <r>
      <rPr>
        <sz val="13"/>
        <rFont val="Times New Roman"/>
        <family val="1"/>
      </rPr>
      <t>440.000</t>
    </r>
  </si>
  <si>
    <r>
      <rPr>
        <sz val="13"/>
        <rFont val="Times New Roman"/>
        <family val="1"/>
      </rPr>
      <t>660.000</t>
    </r>
  </si>
  <si>
    <r>
      <rPr>
        <sz val="13"/>
        <rFont val="Times New Roman"/>
        <family val="1"/>
      </rPr>
      <t>1.100.000</t>
    </r>
  </si>
  <si>
    <r>
      <rPr>
        <sz val="13"/>
        <rFont val="Times New Roman"/>
        <family val="1"/>
      </rPr>
      <t>2.180.000</t>
    </r>
  </si>
  <si>
    <r>
      <rPr>
        <sz val="13"/>
        <rFont val="Times New Roman"/>
        <family val="1"/>
      </rPr>
      <t>3.280.000</t>
    </r>
  </si>
  <si>
    <r>
      <rPr>
        <sz val="13"/>
        <rFont val="Times New Roman"/>
        <family val="1"/>
      </rPr>
      <t>3.820.000</t>
    </r>
  </si>
  <si>
    <r>
      <rPr>
        <sz val="13"/>
        <rFont val="Times New Roman"/>
        <family val="1"/>
      </rPr>
      <t>4.940.000</t>
    </r>
  </si>
  <si>
    <r>
      <rPr>
        <sz val="13"/>
        <rFont val="Times New Roman"/>
        <family val="1"/>
      </rPr>
      <t>6.600.000</t>
    </r>
  </si>
  <si>
    <r>
      <rPr>
        <sz val="13"/>
        <rFont val="Times New Roman"/>
        <family val="1"/>
      </rPr>
      <t>6.000</t>
    </r>
  </si>
  <si>
    <r>
      <rPr>
        <sz val="13"/>
        <rFont val="Times New Roman"/>
        <family val="1"/>
      </rPr>
      <t>50.000</t>
    </r>
  </si>
  <si>
    <r>
      <rPr>
        <sz val="13"/>
        <rFont val="Times New Roman"/>
        <family val="1"/>
      </rPr>
      <t>500.000</t>
    </r>
  </si>
  <si>
    <r>
      <rPr>
        <sz val="13"/>
        <rFont val="Times New Roman"/>
        <family val="1"/>
      </rPr>
      <t>12.000</t>
    </r>
  </si>
  <si>
    <r>
      <rPr>
        <sz val="13"/>
        <rFont val="Times New Roman"/>
        <family val="1"/>
      </rPr>
      <t>450.000</t>
    </r>
  </si>
  <si>
    <r>
      <rPr>
        <sz val="13"/>
        <rFont val="Times New Roman"/>
        <family val="1"/>
      </rPr>
      <t>80.000</t>
    </r>
  </si>
  <si>
    <t>Cây ngâu, cây tứ quý</t>
  </si>
  <si>
    <r>
      <rPr>
        <sz val="13"/>
        <rFont val="Times New Roman"/>
        <family val="1"/>
      </rPr>
      <t>70.000</t>
    </r>
  </si>
  <si>
    <r>
      <rPr>
        <sz val="13"/>
        <rFont val="Times New Roman"/>
        <family val="1"/>
      </rPr>
      <t>170.000</t>
    </r>
  </si>
  <si>
    <r>
      <rPr>
        <sz val="13"/>
        <rFont val="Times New Roman"/>
        <family val="1"/>
      </rPr>
      <t>220.000</t>
    </r>
  </si>
  <si>
    <r>
      <rPr>
        <sz val="13"/>
        <rFont val="Times New Roman"/>
        <family val="1"/>
      </rPr>
      <t>320.000</t>
    </r>
  </si>
  <si>
    <r>
      <rPr>
        <sz val="13"/>
        <rFont val="Times New Roman"/>
        <family val="1"/>
      </rPr>
      <t>420.000</t>
    </r>
  </si>
  <si>
    <r>
      <rPr>
        <sz val="13"/>
        <rFont val="Times New Roman"/>
        <family val="1"/>
      </rPr>
      <t>550.000</t>
    </r>
  </si>
  <si>
    <r>
      <rPr>
        <sz val="13"/>
        <rFont val="Times New Roman"/>
        <family val="1"/>
      </rPr>
      <t>700.000</t>
    </r>
  </si>
  <si>
    <r>
      <rPr>
        <sz val="13"/>
        <rFont val="Times New Roman"/>
        <family val="1"/>
      </rPr>
      <t>1.000.000</t>
    </r>
  </si>
  <si>
    <r>
      <rPr>
        <sz val="13"/>
        <rFont val="Times New Roman"/>
        <family val="1"/>
      </rPr>
      <t>8.000</t>
    </r>
  </si>
  <si>
    <r>
      <rPr>
        <sz val="13"/>
        <rFont val="Times New Roman"/>
        <family val="1"/>
      </rPr>
      <t>45.000</t>
    </r>
  </si>
  <si>
    <r>
      <rPr>
        <sz val="13"/>
        <rFont val="Times New Roman"/>
        <family val="1"/>
      </rPr>
      <t>100.000</t>
    </r>
  </si>
  <si>
    <r>
      <rPr>
        <sz val="13"/>
        <rFont val="Times New Roman"/>
        <family val="1"/>
      </rPr>
      <t>185.000</t>
    </r>
  </si>
  <si>
    <r>
      <rPr>
        <sz val="13"/>
        <rFont val="Times New Roman"/>
        <family val="1"/>
      </rPr>
      <t>85.000</t>
    </r>
  </si>
  <si>
    <r>
      <rPr>
        <sz val="13"/>
        <rFont val="Times New Roman"/>
        <family val="1"/>
      </rPr>
      <t>385.000</t>
    </r>
  </si>
  <si>
    <r>
      <rPr>
        <sz val="13"/>
        <rFont val="Times New Roman"/>
        <family val="1"/>
      </rPr>
      <t>1.080.000</t>
    </r>
  </si>
  <si>
    <r>
      <rPr>
        <sz val="13"/>
        <rFont val="Times New Roman"/>
        <family val="1"/>
      </rPr>
      <t>1.800.000</t>
    </r>
  </si>
  <si>
    <r>
      <rPr>
        <sz val="13"/>
        <rFont val="Times New Roman"/>
        <family val="1"/>
      </rPr>
      <t>2.400.000</t>
    </r>
  </si>
  <si>
    <r>
      <rPr>
        <sz val="13"/>
        <rFont val="Times New Roman"/>
        <family val="1"/>
      </rPr>
      <t>3.000.000</t>
    </r>
  </si>
  <si>
    <r>
      <rPr>
        <sz val="13"/>
        <rFont val="Times New Roman"/>
        <family val="1"/>
      </rPr>
      <t>3.600.000</t>
    </r>
  </si>
  <si>
    <r>
      <rPr>
        <sz val="13"/>
        <rFont val="Times New Roman"/>
        <family val="1"/>
      </rPr>
      <t>4.200.000</t>
    </r>
  </si>
  <si>
    <r>
      <rPr>
        <sz val="13"/>
        <rFont val="Times New Roman"/>
        <family val="1"/>
      </rPr>
      <t>4.800.000</t>
    </r>
  </si>
  <si>
    <r>
      <rPr>
        <sz val="13"/>
        <rFont val="Times New Roman"/>
        <family val="1"/>
      </rPr>
      <t>5.400.000</t>
    </r>
  </si>
  <si>
    <r>
      <rPr>
        <sz val="13"/>
        <rFont val="Times New Roman"/>
        <family val="1"/>
      </rPr>
      <t>6.000.000</t>
    </r>
  </si>
  <si>
    <r>
      <rPr>
        <sz val="13"/>
        <rFont val="Times New Roman"/>
        <family val="1"/>
      </rPr>
      <t>Đồng</t>
    </r>
    <r>
      <rPr>
        <vertAlign val="superscript"/>
        <sz val="13"/>
        <rFont val="Times New Roman"/>
        <family val="1"/>
      </rPr>
      <t>z</t>
    </r>
    <r>
      <rPr>
        <sz val="13"/>
        <rFont val="Times New Roman"/>
        <family val="1"/>
      </rPr>
      <t>cây</t>
    </r>
  </si>
  <si>
    <r>
      <rPr>
        <sz val="13"/>
        <rFont val="Times New Roman"/>
        <family val="1"/>
      </rPr>
      <t>240.000</t>
    </r>
  </si>
  <si>
    <r>
      <rPr>
        <sz val="13"/>
        <rFont val="Times New Roman"/>
        <family val="1"/>
      </rPr>
      <t>Đong</t>
    </r>
    <r>
      <rPr>
        <vertAlign val="superscript"/>
        <sz val="13"/>
        <rFont val="Times New Roman"/>
        <family val="1"/>
      </rPr>
      <t>z</t>
    </r>
    <r>
      <rPr>
        <sz val="13"/>
        <rFont val="Times New Roman"/>
        <family val="1"/>
      </rPr>
      <t>cây</t>
    </r>
  </si>
  <si>
    <r>
      <rPr>
        <sz val="13"/>
        <rFont val="Times New Roman"/>
        <family val="1"/>
      </rPr>
      <t>360.000</t>
    </r>
  </si>
  <si>
    <r>
      <rPr>
        <sz val="13"/>
        <rFont val="Times New Roman"/>
        <family val="1"/>
      </rPr>
      <t>600.000</t>
    </r>
  </si>
  <si>
    <r>
      <rPr>
        <sz val="13"/>
        <rFont val="Times New Roman"/>
        <family val="1"/>
      </rPr>
      <t>960.000</t>
    </r>
  </si>
  <si>
    <r>
      <rPr>
        <b/>
        <sz val="13"/>
        <rFont val="Times New Roman"/>
        <family val="1"/>
      </rPr>
      <t>NHÓM CÂY TÍNH THEO MÉT VUÔNG GIÀN</t>
    </r>
  </si>
  <si>
    <r>
      <rPr>
        <b/>
        <sz val="13"/>
        <rFont val="Times New Roman"/>
        <family val="1"/>
      </rPr>
      <t>Cây thiênlý</t>
    </r>
  </si>
  <si>
    <r>
      <rPr>
        <sz val="13"/>
        <rFont val="Times New Roman"/>
        <family val="1"/>
      </rPr>
      <t>đồng/m</t>
    </r>
    <r>
      <rPr>
        <vertAlign val="superscript"/>
        <sz val="13"/>
        <rFont val="Times New Roman"/>
        <family val="1"/>
      </rPr>
      <t>2</t>
    </r>
  </si>
  <si>
    <r>
      <rPr>
        <sz val="13"/>
        <rFont val="Times New Roman"/>
        <family val="1"/>
      </rPr>
      <t>60.000</t>
    </r>
  </si>
  <si>
    <r>
      <rPr>
        <sz val="13"/>
        <rFont val="Times New Roman"/>
        <family val="1"/>
      </rPr>
      <t>Đồng/khóm gốc</t>
    </r>
  </si>
  <si>
    <r>
      <rPr>
        <sz val="13"/>
        <rFont val="Times New Roman"/>
        <family val="1"/>
      </rPr>
      <t>78.000</t>
    </r>
  </si>
  <si>
    <r>
      <rPr>
        <sz val="13"/>
        <rFont val="Times New Roman"/>
        <family val="1"/>
      </rPr>
      <t>Đông/khóm gốc</t>
    </r>
  </si>
  <si>
    <r>
      <rPr>
        <b/>
        <sz val="13"/>
        <rFont val="Times New Roman"/>
        <family val="1"/>
      </rPr>
      <t>Cây nho</t>
    </r>
  </si>
  <si>
    <r>
      <rPr>
        <sz val="13"/>
        <rFont val="Times New Roman"/>
        <family val="1"/>
      </rPr>
      <t>10.000</t>
    </r>
  </si>
  <si>
    <r>
      <rPr>
        <b/>
        <sz val="13"/>
        <rFont val="Times New Roman"/>
        <family val="1"/>
      </rPr>
      <t>NHÓM CÂY KHÁC</t>
    </r>
  </si>
  <si>
    <r>
      <rPr>
        <sz val="13"/>
        <rFont val="Times New Roman"/>
        <family val="1"/>
      </rPr>
      <t>Đồng/khóm</t>
    </r>
  </si>
  <si>
    <r>
      <rPr>
        <sz val="13"/>
        <rFont val="Times New Roman"/>
        <family val="1"/>
      </rPr>
      <t>137.000</t>
    </r>
  </si>
  <si>
    <r>
      <rPr>
        <b/>
        <sz val="13"/>
        <rFont val="Times New Roman"/>
        <family val="1"/>
      </rPr>
      <t>Măng tây</t>
    </r>
  </si>
  <si>
    <r>
      <rPr>
        <b/>
        <sz val="13"/>
        <rFont val="Times New Roman"/>
        <family val="1"/>
      </rPr>
      <t>Cà gai leo</t>
    </r>
  </si>
  <si>
    <r>
      <rPr>
        <sz val="13"/>
        <rFont val="Times New Roman"/>
        <family val="1"/>
      </rPr>
      <t>18.000</t>
    </r>
  </si>
  <si>
    <r>
      <rPr>
        <sz val="13"/>
        <rFont val="Times New Roman"/>
        <family val="1"/>
      </rPr>
      <t>9.000</t>
    </r>
  </si>
  <si>
    <r>
      <rPr>
        <sz val="13"/>
        <rFont val="Times New Roman"/>
        <family val="1"/>
      </rPr>
      <t>32.000</t>
    </r>
  </si>
  <si>
    <r>
      <rPr>
        <sz val="13"/>
        <rFont val="Times New Roman"/>
        <family val="1"/>
      </rPr>
      <t>15.000</t>
    </r>
  </si>
  <si>
    <r>
      <rPr>
        <b/>
        <sz val="13"/>
        <rFont val="Times New Roman"/>
        <family val="1"/>
      </rPr>
      <t>Cây thủy trúc</t>
    </r>
  </si>
  <si>
    <r>
      <rPr>
        <sz val="13"/>
        <rFont val="Times New Roman"/>
        <family val="1"/>
      </rPr>
      <t>55.000</t>
    </r>
  </si>
  <si>
    <r>
      <rPr>
        <sz val="13"/>
        <rFont val="Times New Roman"/>
        <family val="1"/>
      </rPr>
      <t>140.000</t>
    </r>
  </si>
  <si>
    <r>
      <rPr>
        <sz val="13"/>
        <rFont val="Times New Roman"/>
        <family val="1"/>
      </rPr>
      <t>Đông/khóm</t>
    </r>
  </si>
  <si>
    <r>
      <rPr>
        <sz val="13"/>
        <rFont val="Times New Roman"/>
        <family val="1"/>
      </rPr>
      <t>90.000</t>
    </r>
  </si>
  <si>
    <r>
      <rPr>
        <b/>
        <sz val="13"/>
        <rFont val="Times New Roman"/>
        <family val="1"/>
      </rPr>
      <t>Cây trân châu</t>
    </r>
  </si>
  <si>
    <r>
      <rPr>
        <sz val="13"/>
        <rFont val="Times New Roman"/>
        <family val="1"/>
      </rPr>
      <t>22.000</t>
    </r>
  </si>
  <si>
    <r>
      <rPr>
        <b/>
        <sz val="13"/>
        <rFont val="Times New Roman"/>
        <family val="1"/>
      </rPr>
      <t>Cây dành dành</t>
    </r>
  </si>
  <si>
    <r>
      <rPr>
        <b/>
        <sz val="13"/>
        <rFont val="Times New Roman"/>
        <family val="1"/>
      </rPr>
      <t>Cây lan dừ</t>
    </r>
  </si>
  <si>
    <r>
      <rPr>
        <b/>
        <sz val="13"/>
        <rFont val="Times New Roman"/>
        <family val="1"/>
      </rPr>
      <t>Cây lan ý</t>
    </r>
  </si>
  <si>
    <r>
      <rPr>
        <b/>
        <sz val="13"/>
        <rFont val="Times New Roman"/>
        <family val="1"/>
      </rPr>
      <t>Cây cô tòng</t>
    </r>
  </si>
  <si>
    <r>
      <rPr>
        <b/>
        <sz val="13"/>
        <rFont val="Times New Roman"/>
        <family val="1"/>
      </rPr>
      <t>Cây cô tòng đuôi lươn</t>
    </r>
  </si>
  <si>
    <t>Cây dứa cảnh, ké, lưỡi hổ</t>
  </si>
  <si>
    <r>
      <rPr>
        <sz val="13"/>
        <rFont val="Times New Roman"/>
        <family val="1"/>
      </rPr>
      <t>14.000</t>
    </r>
  </si>
  <si>
    <t>Cây chu định lan/lan hạc đỉnh</t>
  </si>
  <si>
    <r>
      <rPr>
        <sz val="13"/>
        <rFont val="Times New Roman"/>
        <family val="1"/>
      </rPr>
      <t>Đồng/m</t>
    </r>
    <r>
      <rPr>
        <vertAlign val="superscript"/>
        <sz val="13"/>
        <rFont val="Times New Roman"/>
        <family val="1"/>
      </rPr>
      <t>2</t>
    </r>
  </si>
  <si>
    <r>
      <rPr>
        <b/>
        <sz val="13"/>
        <rFont val="Times New Roman"/>
        <family val="1"/>
      </rPr>
      <t>Cây hoa đá</t>
    </r>
  </si>
  <si>
    <r>
      <rPr>
        <b/>
        <sz val="13"/>
        <rFont val="Times New Roman"/>
        <family val="1"/>
      </rPr>
      <t>Cây ắc ó</t>
    </r>
  </si>
  <si>
    <r>
      <rPr>
        <b/>
        <sz val="13"/>
        <rFont val="Times New Roman"/>
        <family val="1"/>
      </rPr>
      <t>Cây bướm bạc</t>
    </r>
  </si>
  <si>
    <r>
      <rPr>
        <b/>
        <sz val="13"/>
        <rFont val="Times New Roman"/>
        <family val="1"/>
      </rPr>
      <t>Cây huỳnh anh</t>
    </r>
  </si>
  <si>
    <r>
      <rPr>
        <b/>
        <sz val="13"/>
        <rFont val="Times New Roman"/>
        <family val="1"/>
      </rPr>
      <t>Cây môn cuống đỏ</t>
    </r>
  </si>
  <si>
    <r>
      <rPr>
        <b/>
        <sz val="13"/>
        <rFont val="Times New Roman"/>
        <family val="1"/>
      </rPr>
      <t>Cây lan huệ</t>
    </r>
  </si>
  <si>
    <r>
      <rPr>
        <b/>
        <sz val="13"/>
        <rFont val="Times New Roman"/>
        <family val="1"/>
      </rPr>
      <t>Cây ngọc nữ, ngọc dạ minh châu</t>
    </r>
  </si>
  <si>
    <r>
      <rPr>
        <b/>
        <sz val="13"/>
        <rFont val="Times New Roman"/>
        <family val="1"/>
      </rPr>
      <t>Cây cốt khí</t>
    </r>
  </si>
  <si>
    <r>
      <rPr>
        <b/>
        <sz val="13"/>
        <rFont val="Times New Roman"/>
        <family val="1"/>
      </rPr>
      <t>Cây chuông vàng</t>
    </r>
  </si>
  <si>
    <r>
      <rPr>
        <b/>
        <sz val="13"/>
        <rFont val="Times New Roman"/>
        <family val="1"/>
      </rPr>
      <t>Cây náng</t>
    </r>
  </si>
  <si>
    <r>
      <rPr>
        <sz val="13"/>
        <rFont val="Times New Roman"/>
        <family val="1"/>
      </rPr>
      <t>Đông/m</t>
    </r>
    <r>
      <rPr>
        <vertAlign val="superscript"/>
        <sz val="13"/>
        <rFont val="Times New Roman"/>
        <family val="1"/>
      </rPr>
      <t>2</t>
    </r>
  </si>
  <si>
    <r>
      <rPr>
        <sz val="6"/>
        <rFont val="Times New Roman"/>
        <family val="1"/>
      </rPr>
      <t>-k</t>
    </r>
  </si>
  <si>
    <r>
      <rPr>
        <b/>
        <sz val="13"/>
        <rFont val="Times New Roman"/>
        <family val="1"/>
      </rPr>
      <t>Cây thiên môn, mạch môn</t>
    </r>
  </si>
  <si>
    <r>
      <rPr>
        <sz val="13"/>
        <rFont val="Times New Roman"/>
        <family val="1"/>
      </rPr>
      <t>Đông/cãy</t>
    </r>
  </si>
  <si>
    <r>
      <rPr>
        <b/>
        <sz val="13"/>
        <rFont val="Times New Roman"/>
        <family val="1"/>
      </rPr>
      <t>Cây diếp cá, rau sam, rau ngổ, lá cẩm</t>
    </r>
  </si>
  <si>
    <r>
      <rPr>
        <b/>
        <sz val="13"/>
        <rFont val="Times New Roman"/>
        <family val="1"/>
      </rPr>
      <t>Cỏ nhật</t>
    </r>
  </si>
  <si>
    <r>
      <rPr>
        <sz val="13"/>
        <rFont val="Times New Roman"/>
        <family val="1"/>
      </rPr>
      <t>34.000</t>
    </r>
  </si>
  <si>
    <r>
      <rPr>
        <b/>
        <sz val="13"/>
        <rFont val="Times New Roman"/>
        <family val="1"/>
      </rPr>
      <t>Cây thanh táo</t>
    </r>
  </si>
  <si>
    <r>
      <rPr>
        <b/>
        <sz val="13"/>
        <rFont val="Times New Roman"/>
        <family val="1"/>
      </rPr>
      <t>Cây dừa cạn</t>
    </r>
  </si>
  <si>
    <r>
      <rPr>
        <b/>
        <sz val="13"/>
        <rFont val="Times New Roman"/>
        <family val="1"/>
      </rPr>
      <t>Cây kim tiền</t>
    </r>
  </si>
  <si>
    <r>
      <rPr>
        <sz val="13"/>
        <rFont val="Times New Roman"/>
        <family val="1"/>
      </rPr>
      <t>95.000</t>
    </r>
  </si>
  <si>
    <r>
      <rPr>
        <b/>
        <sz val="13"/>
        <rFont val="Times New Roman"/>
        <family val="1"/>
      </rPr>
      <t>Cây hoa thanh tú</t>
    </r>
  </si>
  <si>
    <r>
      <rPr>
        <b/>
        <sz val="13"/>
        <rFont val="Times New Roman"/>
        <family val="1"/>
      </rPr>
      <t>Đối với cây ươm, gieo hoặc cây trồng hàng năm xen dưới tán lá cây lầu nãm (tính bình quân trên diện tích cây trồng chiếm chỗ)</t>
    </r>
  </si>
  <si>
    <t>Đối vói lâm sản phụ trồng trên diện tích nông nghiệp do Nhà nước giao cho hộ gia đình, cá nhân để trồng, khoanh, nuôi, bảo vệ, tái sinh rừng, mà khi giao là đất trống, đồi núi trọc... hộ gia đình, cá nhân tự bỏ vốn đầu tư trồng rừng (tính bình quân trên diện tích cây trồng chiếm chỗ)</t>
  </si>
  <si>
    <r>
      <rPr>
        <b/>
        <sz val="13"/>
        <rFont val="Times New Roman"/>
        <family val="1"/>
      </rPr>
      <t>GIÓNG CÂỲ CẢNH</t>
    </r>
  </si>
  <si>
    <r>
      <rPr>
        <sz val="13"/>
        <rFont val="Times New Roman"/>
        <family val="1"/>
      </rPr>
      <t>2.000</t>
    </r>
  </si>
  <si>
    <r>
      <rPr>
        <sz val="13"/>
        <rFont val="Times New Roman"/>
        <family val="1"/>
      </rPr>
      <t>Cây giống trồng từ đào mạ, không ghép trồng thành luống</t>
    </r>
  </si>
  <si>
    <r>
      <rPr>
        <sz val="13"/>
        <rFont val="Times New Roman"/>
        <family val="1"/>
      </rPr>
      <t>700</t>
    </r>
  </si>
  <si>
    <r>
      <rPr>
        <sz val="13"/>
        <rFont val="Times New Roman"/>
        <family val="1"/>
      </rPr>
      <t>800</t>
    </r>
  </si>
  <si>
    <r>
      <rPr>
        <sz val="13"/>
        <rFont val="Times New Roman"/>
        <family val="1"/>
      </rPr>
      <t>4.000</t>
    </r>
  </si>
  <si>
    <r>
      <rPr>
        <sz val="13"/>
        <rFont val="Times New Roman"/>
        <family val="1"/>
      </rPr>
      <t>•</t>
    </r>
  </si>
  <si>
    <r>
      <rPr>
        <sz val="13"/>
        <rFont val="Times New Roman"/>
        <family val="1"/>
      </rPr>
      <t>1.200</t>
    </r>
  </si>
  <si>
    <r>
      <rPr>
        <sz val="13"/>
        <rFont val="Times New Roman"/>
        <family val="1"/>
      </rPr>
      <t>1.400</t>
    </r>
  </si>
  <si>
    <r>
      <rPr>
        <b/>
        <sz val="13"/>
        <rFont val="Times New Roman"/>
        <family val="1"/>
      </rPr>
      <t xml:space="preserve">Đào tán </t>
    </r>
    <r>
      <rPr>
        <sz val="13"/>
        <rFont val="Times New Roman"/>
        <family val="1"/>
      </rPr>
      <t>(đào hoa cảnh có đặc điếm tán lá hình tròn, hình tháp, thân chính không uốn tạo thế phát triển tự nhiên, chỉ cắt tỉa cành nhỏ; trồng trên đất đã được chuyển mục đích theo quy định, bao gồm: Đào cây, các loại cây khác trồng xen canh, bể chứa nước, bể chứa phân.. .tính trên diện tích 1 sào =360m</t>
    </r>
    <r>
      <rPr>
        <vertAlign val="superscript"/>
        <sz val="13"/>
        <rFont val="Times New Roman"/>
        <family val="1"/>
      </rPr>
      <t>2</t>
    </r>
    <r>
      <rPr>
        <sz val="13"/>
        <rFont val="Times New Roman"/>
        <family val="1"/>
      </rPr>
      <t>).</t>
    </r>
  </si>
  <si>
    <r>
      <rPr>
        <sz val="13"/>
        <rFont val="Times New Roman"/>
        <family val="1"/>
      </rPr>
      <t>Đào tán loại 1 (số cây có đường kính tán từ 0,8m đến Im, cao từ Im đến l,5m chiếm trên 50% diện tích; quy đổi 1 cây/l,8m</t>
    </r>
    <r>
      <rPr>
        <vertAlign val="superscript"/>
        <sz val="13"/>
        <rFont val="Times New Roman"/>
        <family val="1"/>
      </rPr>
      <t>2</t>
    </r>
    <r>
      <rPr>
        <sz val="13"/>
        <rFont val="Times New Roman"/>
        <family val="1"/>
      </rPr>
      <t>)</t>
    </r>
  </si>
  <si>
    <r>
      <rPr>
        <sz val="13"/>
        <rFont val="Times New Roman"/>
        <family val="1"/>
      </rPr>
      <t>Đồng/sào</t>
    </r>
  </si>
  <si>
    <r>
      <rPr>
        <sz val="13"/>
        <rFont val="Times New Roman"/>
        <family val="1"/>
      </rPr>
      <t>20.000.000</t>
    </r>
  </si>
  <si>
    <r>
      <rPr>
        <sz val="13"/>
        <rFont val="Times New Roman"/>
        <family val="1"/>
      </rPr>
      <t>Đào tán loại 2 (số cây có đường kính tán từ 0,8m đến Im, cao từ lm đến l,5m chiếm từ 40% đến 50% diện tích; quy đổi 1 cây/l,8m</t>
    </r>
    <r>
      <rPr>
        <vertAlign val="superscript"/>
        <sz val="13"/>
        <rFont val="Times New Roman"/>
        <family val="1"/>
      </rPr>
      <t>2</t>
    </r>
    <r>
      <rPr>
        <sz val="13"/>
        <rFont val="Times New Roman"/>
        <family val="1"/>
      </rPr>
      <t>)</t>
    </r>
  </si>
  <si>
    <r>
      <rPr>
        <sz val="13"/>
        <rFont val="Times New Roman"/>
        <family val="1"/>
      </rPr>
      <t>15.000.000</t>
    </r>
  </si>
  <si>
    <r>
      <rPr>
        <sz val="13"/>
        <rFont val="Times New Roman"/>
        <family val="1"/>
      </rPr>
      <t>Đào tán loại 3 (số cây có đường kính tán từ 0,8m đến Im, cao từ Im đến l,5m chiếm từ 30% đến 40% diện tích; quy đổi 1 cây/l,8m</t>
    </r>
    <r>
      <rPr>
        <vertAlign val="superscript"/>
        <sz val="13"/>
        <rFont val="Times New Roman"/>
        <family val="1"/>
      </rPr>
      <t>2</t>
    </r>
    <r>
      <rPr>
        <sz val="13"/>
        <rFont val="Times New Roman"/>
        <family val="1"/>
      </rPr>
      <t>)</t>
    </r>
  </si>
  <si>
    <r>
      <rPr>
        <sz val="13"/>
        <rFont val="Times New Roman"/>
        <family val="1"/>
      </rPr>
      <t>12.000.000</t>
    </r>
  </si>
  <si>
    <r>
      <rPr>
        <sz val="13"/>
        <rFont val="Times New Roman"/>
        <family val="1"/>
      </rPr>
      <t>Đào tán loại 4 (số cây có đường kính tán từ 0,8m đến Im, cao từ Im đến l,5m chiếm dưới 30% diện tích; quy đổi 1 cây/l,2m</t>
    </r>
    <r>
      <rPr>
        <vertAlign val="superscript"/>
        <sz val="13"/>
        <rFont val="Times New Roman"/>
        <family val="1"/>
      </rPr>
      <t>2</t>
    </r>
    <r>
      <rPr>
        <sz val="13"/>
        <rFont val="Times New Roman"/>
        <family val="1"/>
      </rPr>
      <t>)</t>
    </r>
  </si>
  <si>
    <r>
      <rPr>
        <sz val="13"/>
        <rFont val="Times New Roman"/>
        <family val="1"/>
      </rPr>
      <t>10.000.000</t>
    </r>
  </si>
  <si>
    <r>
      <rPr>
        <sz val="13"/>
        <rFont val="Times New Roman"/>
        <family val="1"/>
      </rPr>
      <t>Đào thế loại 1 (số cây có chiều cao từ Im đến l,5m chiếm trên 50% diện tích; quy đổi 1 cây/l,8m</t>
    </r>
    <r>
      <rPr>
        <vertAlign val="superscript"/>
        <sz val="13"/>
        <rFont val="Times New Roman"/>
        <family val="1"/>
      </rPr>
      <t>2</t>
    </r>
    <r>
      <rPr>
        <sz val="13"/>
        <rFont val="Times New Roman"/>
        <family val="1"/>
      </rPr>
      <t>)</t>
    </r>
  </si>
  <si>
    <r>
      <rPr>
        <sz val="13"/>
        <rFont val="Times New Roman"/>
        <family val="1"/>
      </rPr>
      <t>30.000.000</t>
    </r>
  </si>
  <si>
    <r>
      <rPr>
        <sz val="13"/>
        <rFont val="Times New Roman"/>
        <family val="1"/>
      </rPr>
      <t>Đào thế loại 2 (số cây có chiều cao từ 1 m đến l,5m chiếm từ 40% đến 50% diện tích; quy đổi 1 cây/l,8m</t>
    </r>
    <r>
      <rPr>
        <vertAlign val="superscript"/>
        <sz val="13"/>
        <rFont val="Times New Roman"/>
        <family val="1"/>
      </rPr>
      <t>2</t>
    </r>
    <r>
      <rPr>
        <sz val="13"/>
        <rFont val="Times New Roman"/>
        <family val="1"/>
      </rPr>
      <t>)</t>
    </r>
  </si>
  <si>
    <r>
      <rPr>
        <sz val="13"/>
        <rFont val="Times New Roman"/>
        <family val="1"/>
      </rPr>
      <t>25.000.000</t>
    </r>
  </si>
  <si>
    <r>
      <rPr>
        <sz val="13"/>
        <rFont val="Times New Roman"/>
        <family val="1"/>
      </rPr>
      <t>Đào thế loại 3 (số cây có chiều cao từ Im đến l,5m chiếm dưới 40% diện tích; quy đổi 1 cây/l,2m</t>
    </r>
    <r>
      <rPr>
        <vertAlign val="superscript"/>
        <sz val="13"/>
        <rFont val="Times New Roman"/>
        <family val="1"/>
      </rPr>
      <t>2</t>
    </r>
    <r>
      <rPr>
        <sz val="13"/>
        <rFont val="Times New Roman"/>
        <family val="1"/>
      </rPr>
      <t>)</t>
    </r>
  </si>
  <si>
    <r>
      <rPr>
        <sz val="13"/>
        <rFont val="Times New Roman"/>
        <family val="1"/>
      </rPr>
      <t>Cỏ cảnh lá tre (trồng dày đặc)</t>
    </r>
  </si>
  <si>
    <r>
      <rPr>
        <sz val="13"/>
        <rFont val="Times New Roman"/>
        <family val="1"/>
      </rPr>
      <t>Hương nhu, lá ngải, lá nếp, lưỡi hổ, láng tía, ngũ gia bì</t>
    </r>
  </si>
  <si>
    <r>
      <rPr>
        <sz val="13"/>
        <rFont val="Times New Roman"/>
        <family val="1"/>
      </rPr>
      <t>Hương bài</t>
    </r>
  </si>
  <si>
    <r>
      <rPr>
        <b/>
        <sz val="13"/>
        <rFont val="Times New Roman"/>
        <family val="1"/>
      </rPr>
      <t>GIÓNG CÂY ĂN QUẢ</t>
    </r>
  </si>
  <si>
    <r>
      <rPr>
        <sz val="13"/>
        <rFont val="Times New Roman"/>
        <family val="1"/>
      </rPr>
      <t>Đồng/cành</t>
    </r>
  </si>
  <si>
    <r>
      <rPr>
        <sz val="13"/>
        <rFont val="Times New Roman"/>
        <family val="1"/>
      </rPr>
      <t>1.000</t>
    </r>
  </si>
  <si>
    <r>
      <rPr>
        <b/>
        <sz val="13"/>
        <rFont val="Times New Roman"/>
        <family val="1"/>
      </rPr>
      <t xml:space="preserve">Cây giống vải, nhãn, doi, bưởi, thị, na, xoài, muỗm, quéo, trứng gà, sấu, táo, ổi, chay, me, khế, mận, mơ </t>
    </r>
    <r>
      <rPr>
        <sz val="13"/>
        <rFont val="Times New Roman"/>
        <family val="1"/>
      </rPr>
      <t>(từ cây ươm gieo hạt, đựng trong bầu nilon hoặc trồng thành luống chưa ghép)</t>
    </r>
  </si>
  <si>
    <r>
      <rPr>
        <b/>
        <sz val="13"/>
        <rFont val="Times New Roman"/>
        <family val="1"/>
      </rPr>
      <t xml:space="preserve">Cây giống vải, nhãn, cam, bưởi, táo, ổi, khế </t>
    </r>
    <r>
      <rPr>
        <sz val="13"/>
        <rFont val="Times New Roman"/>
        <family val="1"/>
      </rPr>
      <t>(gieo hạt ươm thành luống đã ghép)</t>
    </r>
  </si>
  <si>
    <r>
      <rPr>
        <b/>
        <sz val="13"/>
        <rFont val="Times New Roman"/>
        <family val="1"/>
      </rPr>
      <t>Cây giống cam, bưởi, doi, hồng xiêm đã chiết cành dâm ra vườn</t>
    </r>
  </si>
  <si>
    <r>
      <rPr>
        <sz val="13"/>
        <rFont val="Times New Roman"/>
        <family val="1"/>
      </rPr>
      <t>600</t>
    </r>
  </si>
  <si>
    <r>
      <rPr>
        <sz val="13"/>
        <rFont val="Times New Roman"/>
        <family val="1"/>
      </rPr>
      <t>đồng/chậu</t>
    </r>
  </si>
  <si>
    <r>
      <rPr>
        <sz val="13"/>
        <rFont val="Times New Roman"/>
        <family val="1"/>
      </rPr>
      <t>200.000</t>
    </r>
  </si>
  <si>
    <r>
      <rPr>
        <sz val="13"/>
        <rFont val="Times New Roman"/>
        <family val="1"/>
      </rPr>
      <t>đông/chậu</t>
    </r>
  </si>
  <si>
    <t>Sao đen</t>
  </si>
  <si>
    <t>Cây táo loại cây ghép có chiều cao cây H ≥  1m</t>
  </si>
  <si>
    <t>Cây táo ĐK thân ≤ 5 cm</t>
  </si>
  <si>
    <t>Cây táo đường kính thân 5 cm &lt; ĐK thân ≤ 7 cm</t>
  </si>
  <si>
    <t>Cây táo đường kính thân 7 cm &lt; ĐK thân ≤ 11 cm</t>
  </si>
  <si>
    <t>Cây táo đường kính thân 15 cm &lt; ĐK thân ≤ 20 cm</t>
  </si>
  <si>
    <t>Cây táo đường kính thân 20 cm &lt; ĐK thân ≤ 25 cm</t>
  </si>
  <si>
    <t>Cây táo ĐK thân &gt; 25 cm</t>
  </si>
  <si>
    <t>Cây táo đường kính thân 11 cm &lt; ĐK thân ≤ 15 cm</t>
  </si>
  <si>
    <t>Cây xoài, cây quéo</t>
  </si>
  <si>
    <t>Cây xoài giống đủ tiêu chuẩn mới trồng, chiều cao cây H ≥ 40cm</t>
  </si>
  <si>
    <t>Cây xoài ĐK thân ≤ 5 cm</t>
  </si>
  <si>
    <t>Cây xoài ĐK thân &gt; 40 cm</t>
  </si>
  <si>
    <t>Cây xoài đường kính thân 5 cm &lt; ĐK thân ≤ 10 cm</t>
  </si>
  <si>
    <t>Cây xoài đường kính thân 10 cm &lt;ĐK thân ≤ 15 cm</t>
  </si>
  <si>
    <t>Cây xoài đường kính thân 15 cm &lt; ĐK thân ≤ 20 cm</t>
  </si>
  <si>
    <t>Cây xoài đường kính thân 20 cm &lt; ĐK thân ≤ 30 cm</t>
  </si>
  <si>
    <t>Cây xoài đường kính thân 30 cm &lt; ĐK thân ≤ 40 cm</t>
  </si>
  <si>
    <t>Cây vú sữa</t>
  </si>
  <si>
    <t>Cây vú sữa giống đủ tiêu chuẩn mới trồng, chiều cao cây H ≥ 40cm</t>
  </si>
  <si>
    <t>Cây vú sữa ĐK thân ≤5 cm</t>
  </si>
  <si>
    <t>Cây vú sữa ĐK thân &gt; 30 cm</t>
  </si>
  <si>
    <t>Cây vú sữa đường kính thân 5 cm &lt; ĐK thân  ≤ 10 cm</t>
  </si>
  <si>
    <t>Cây vú sữa đường kính thân 10 cm &lt; ĐK thân  ≤ 15 cm</t>
  </si>
  <si>
    <t>Cây vú sữa đường kính thân 15 cm &lt; ĐK thân  ≤ 20 cm</t>
  </si>
  <si>
    <t>Cây vú sữa đường kính thân 20 cm &lt; ĐK thân  ≤ 30 cm</t>
  </si>
  <si>
    <t>Cây vú sữa hoàng kim</t>
  </si>
  <si>
    <t>Cây vú sữa hoàng kim ĐK thân  ≤ 5 cm</t>
  </si>
  <si>
    <t>Cây vú sữa hoàng kim đường kính thân 5 cm &lt; ĐK thân  ≤ 10 cm</t>
  </si>
  <si>
    <t>Cây vú sữa hoàng kim đường kính thân 10 cm &lt; ĐK thân  ≤ 15 cm</t>
  </si>
  <si>
    <t>Cây vú sữa hoàng kim đường kính thân 15 cm &lt; ĐK thân  ≤ 20 cm</t>
  </si>
  <si>
    <t>Cây vú sữa hoàng kim đường kính thân 20 cm &lt; ĐK thân  ≤ 30 cm</t>
  </si>
  <si>
    <t>Cây vú sữa hoàng kim ĐK thân &gt;30 cm</t>
  </si>
  <si>
    <t>Cây na (na dai, na bở)</t>
  </si>
  <si>
    <t>Cây na giống đủ tiêu chuẩn mới trồng, chiều cao cây H ≥ 40cm</t>
  </si>
  <si>
    <t>Cây na ĐK thân ≤ 3 cm</t>
  </si>
  <si>
    <t>Cây na đường kính thân 3 cm &lt; ĐK thân ≤ 5 cm</t>
  </si>
  <si>
    <t>Cây na đường kính thân 5 cm &lt; ĐK thân ≤ 7 cm</t>
  </si>
  <si>
    <t>Cây na đường kính thân 7 cm &lt; ĐK thân ≤ 10 cm</t>
  </si>
  <si>
    <t>Cây na ĐK thân &gt; 10 cm</t>
  </si>
  <si>
    <t>Cây khế</t>
  </si>
  <si>
    <t>Cây khế ĐK thân ≤ 5 cm</t>
  </si>
  <si>
    <t>Cây khế đường kính thân 5 cm &lt; ĐK thân ≤ 10 cm</t>
  </si>
  <si>
    <t>Cây khế đường kính thân 10 cm &lt; ĐK thân ≤ 15 cm</t>
  </si>
  <si>
    <t>Cây khế đường kính thân 15 cm &lt; ĐK thân ≤ 20 cm</t>
  </si>
  <si>
    <t>Cây khế đường kính thân 20 cm &lt; ĐK thân ≤ 25 cm</t>
  </si>
  <si>
    <t>Cây khế ĐK thân &gt; 25 cm</t>
  </si>
  <si>
    <t>Cây ổi</t>
  </si>
  <si>
    <t>Cây ổi ĐK thân ≤ 5 cm</t>
  </si>
  <si>
    <t>Cây ổi đường kính thân 5 cm &lt; ĐK thân ≤ 10 cm</t>
  </si>
  <si>
    <t>Cây ổi đường kính thân 10 cm &lt; ĐK thân ≤ 15 cm</t>
  </si>
  <si>
    <t>Cây ổi đường kính thân 15 cm &lt; ĐK thân ≤ 20 cm</t>
  </si>
  <si>
    <t>Cây ổi ĐK thân &gt; 20 cm</t>
  </si>
  <si>
    <t>Cây ổi giống Loại cây chiết có chiều cao cây 40cm ≤ H &lt; 1 m</t>
  </si>
  <si>
    <t>Cây nhãn</t>
  </si>
  <si>
    <t>Cây nhãn giống Loại cây ghép có chiều cao cây H ≥ 1m</t>
  </si>
  <si>
    <t>Cây nhãn giống Loại cây chiết cành có chiều cao 40cm  ≤ H &lt; 1m</t>
  </si>
  <si>
    <t>Cây nhãn giống Loại cây chiết cành có chiều cao cây H ≥ 1m</t>
  </si>
  <si>
    <t>Cây nhãn ĐK thân ≤ 5 cm</t>
  </si>
  <si>
    <t>Cây nhãn đường kính thân 5 cm &lt; ĐK thân ≤ 10cm</t>
  </si>
  <si>
    <t>Cây nhãn đường kính thân 30 cm &lt; ĐK thân ≤ 40 cm</t>
  </si>
  <si>
    <t>Cây nhãn đường kính thân 10 cm &lt; ĐK thân ≤ 15 cm</t>
  </si>
  <si>
    <t>Cây nhãn đường kính thân 15 cm &lt; ĐK thân ≤ 20 cm</t>
  </si>
  <si>
    <t>Cây nhãn đường kính thân 20 cm &lt; ĐK thân ≤ 25 cm</t>
  </si>
  <si>
    <t>Cây nhãn đường kính thân 25 cm &lt; ĐK thân ≤ 30 cm</t>
  </si>
  <si>
    <t>Cây nhãn ĐK thân &gt; 40 cm</t>
  </si>
  <si>
    <t>Cây vải</t>
  </si>
  <si>
    <t>Cây giống đủ tiêu chuẩn mới trồng</t>
  </si>
  <si>
    <t>Cây bưởi, bòng giống Loại cây ghép có chiều cao cây 40cm ≤ H &lt; 1m</t>
  </si>
  <si>
    <t>Cây bưởi, bòng giống Loại cây ghép có chiều cao cây H ≥ 1m</t>
  </si>
  <si>
    <t>Cây bưởi, bòng giống Loại cây chiết cành có chiều cao 40cm ≤ H &lt; 1m</t>
  </si>
  <si>
    <t>Cây bưởi, bòng giống Loại cây chiết cành có chiều cao cây H ≥ 1m</t>
  </si>
  <si>
    <t>Cây mít giống đủ tiêu chuẩn mới trồng</t>
  </si>
  <si>
    <t>Cây chay giống đủ tiêu chuẩn mới trồng</t>
  </si>
  <si>
    <t>Cau ta ăn quả giống đủ tiêu chuẩn mới trồng, chiều cao cây H ≥ 40cm</t>
  </si>
  <si>
    <t>Cây khế giống Loại cây ghép có chiều cao cây 40cm ≤ H &lt; 1m</t>
  </si>
  <si>
    <t>Cây khế giống Loại cây ghép có chiều cao cây H ≥ 1m</t>
  </si>
  <si>
    <t>Cây ổi giống Loại cây ghép có chiều cao cây 40cm ≤ H &lt; 1m</t>
  </si>
  <si>
    <t>Cây ổi giống Loại cây ghép có chiều cao cây H ≥ 1m</t>
  </si>
  <si>
    <t>Cây nhãn giống Loại cây ghép có chiều cao cây 40cm ≤ H &lt; 1m</t>
  </si>
  <si>
    <t>Cây vải giống Loại cây ghép có chiều cao cây 40cm ≤ H &lt; 1m</t>
  </si>
  <si>
    <t>Cây vải giống Loại cây ghép có chiều cao cây H ≥ 1m</t>
  </si>
  <si>
    <t>Cây vải giống Loại cây chiết cành có chiều cao 40cm  ≤ H &lt; 1m</t>
  </si>
  <si>
    <t>Cây vải giống Loại cây chiết cành có chiều cao cây H ≥ 1m</t>
  </si>
  <si>
    <t>Cây vải ĐK thân ≤ 5 cm</t>
  </si>
  <si>
    <t>Cây vải đường kính thân 5 cm &lt; ĐK thân ≤ 10cm</t>
  </si>
  <si>
    <t>Cây vải đường kính thân 10 cm &lt; ĐK thân ≤ 15 cm</t>
  </si>
  <si>
    <t>Cây vải đường kính thân 15 cm &lt; ĐK thân ≤ 20 cm</t>
  </si>
  <si>
    <t>Cây vải đường kính thân 20 cm &lt; ĐK thân ≤ 25 cm</t>
  </si>
  <si>
    <t>Cây vải đường kính thân 25 cm &lt; ĐK thân ≤ 30 cm</t>
  </si>
  <si>
    <t>Cây vải đường kính thân 30 cm &lt; ĐK thân ≤ 40 cm</t>
  </si>
  <si>
    <t>Cây vải ĐK thân &gt; 40 cm</t>
  </si>
  <si>
    <t>Cây đu đủ</t>
  </si>
  <si>
    <t>Cây đu đủ giống đủ tiêu chuẩn mới trồng, chiều cao cây H ≥ 40cm</t>
  </si>
  <si>
    <t>Cây đu đủ ĐK thân ≤ 3 cm</t>
  </si>
  <si>
    <t>Cây đu đủ đường kính thân 3 cm &lt; ĐK thân ≤ 7 cm</t>
  </si>
  <si>
    <t>Cây đu đủ đường kính thân 7 cm &lt; ĐK thân ≤ 10 cm</t>
  </si>
  <si>
    <t>Cây đu đủ đường kính thân ĐK thân &gt; 10 cm</t>
  </si>
  <si>
    <t>Cây trứng gà</t>
  </si>
  <si>
    <t>Cây trứng gà ĐK thân ≤5 cm</t>
  </si>
  <si>
    <t>Cây trứng gà đường kính thân 5 cm &lt; ĐK thân ≤ 10 cm</t>
  </si>
  <si>
    <t>Cây trứng gà đường kính thân 10 cm &lt; ĐK thân ≤ 15 cm</t>
  </si>
  <si>
    <t>Cây trứng gà đường kính thân 15 cm &lt; ĐK thân ≤ 20 cm</t>
  </si>
  <si>
    <t>Cây trứng gà đường kính thân 20 cm &lt; ĐK thân ≤ 25 cm</t>
  </si>
  <si>
    <t>Cây trứng gà ĐK thân &gt; 25 cm</t>
  </si>
  <si>
    <t>Cây trứng gà giống đủ tiêu chuẩn mới trồng, chiều cao cây H  ≥ 40cm</t>
  </si>
  <si>
    <t>Cây dừa</t>
  </si>
  <si>
    <t>Cây dừa giống đủ tiêu chuẩn mới trồng</t>
  </si>
  <si>
    <t>Cây dừa ĐK thân ≤ 10 cm</t>
  </si>
  <si>
    <t>Cây dừa đường kính thân 10 cm &lt; ĐK thân ≤ 15 cm</t>
  </si>
  <si>
    <t>Cây dừa đường kính thân 15 cm &lt; ĐK thân ≤ 25 cm</t>
  </si>
  <si>
    <t>Cây dừa đường kính thân 25 cm &lt; ĐK thân ≤ 40 cm</t>
  </si>
  <si>
    <t>Cây dừa đường kính thân 40 cm &lt; ĐK thân ≤ 55 cm</t>
  </si>
  <si>
    <t>Cây dừa ĐK thân &gt; 55 cm</t>
  </si>
  <si>
    <t>Cây me</t>
  </si>
  <si>
    <t>Cây me giống đủ tiêu chuẩn mới trồng, chiều cao cây H  ≥ 40cm</t>
  </si>
  <si>
    <t>Cây me ĐK thân ≤ 5 cm</t>
  </si>
  <si>
    <t>Cây me ĐK thân &gt; 30 cm</t>
  </si>
  <si>
    <t>Cây me đường kính thân 5 cm &lt; ĐK thân ≤ 10 cm</t>
  </si>
  <si>
    <t>Cây me đường kính thân 10 cm &lt; ĐK thân ≤ 20 cm</t>
  </si>
  <si>
    <t>Cây me đường kính thân 20 cm &lt; ĐK thân ≤ 30 cm</t>
  </si>
  <si>
    <t>Cây sấu</t>
  </si>
  <si>
    <t>Cây sấu Giống đủ tiêu chuẩn mới trồng, chiều cao cây H ≥ 40cm</t>
  </si>
  <si>
    <t>Cây sấu ĐK thân ≤5 cm</t>
  </si>
  <si>
    <t>Cây sấu ĐK thân &gt; 40 cm</t>
  </si>
  <si>
    <t>Cây sấu đường kính thân 5 cm &lt; ĐK thân ≤ 10 cm</t>
  </si>
  <si>
    <t>Cây sấu đường kính thân 20 cm &lt; ĐK thân ≤ 30 cm</t>
  </si>
  <si>
    <t>Cây sấu đường kính thân 10 cm &lt; ĐK thân ≤ 15 cm</t>
  </si>
  <si>
    <t>Cây sấu đường kính thân 15 cm &lt; ĐK thân ≤ 20 cm</t>
  </si>
  <si>
    <t>Cây sấu đường kính thân 30 cm &lt; ĐK thân ≤ 40 cm</t>
  </si>
  <si>
    <t>Cây vối</t>
  </si>
  <si>
    <t>Cây vối Giống đủ tiêu chuẩn mới trồng, chiều cao cây H &gt; 40cm</t>
  </si>
  <si>
    <t>Cây vối ĐK thân ≤5 cm</t>
  </si>
  <si>
    <t>Cây vối ĐK thân &gt; 25 cm</t>
  </si>
  <si>
    <t>Cây vối đường kính thân 5 cm &lt; ĐK thân ≤10 cm</t>
  </si>
  <si>
    <t>Cây vối đường kính thân 10 cm &lt; ĐK thân ≤15 cm</t>
  </si>
  <si>
    <t>Cây vối đường kính thân 15 cm &lt; ĐK thân ≤25 cm</t>
  </si>
  <si>
    <t>Cây bơ</t>
  </si>
  <si>
    <r>
      <t xml:space="preserve">Cây bơ mới trồng &lt; 01 năm </t>
    </r>
    <r>
      <rPr>
        <i/>
        <sz val="12"/>
        <rFont val="Times New Roman"/>
        <family val="1"/>
      </rPr>
      <t>(cây từ hạt)</t>
    </r>
  </si>
  <si>
    <r>
      <t xml:space="preserve">Cây bơ mới trồng &lt; 01 năm </t>
    </r>
    <r>
      <rPr>
        <i/>
        <sz val="12"/>
        <rFont val="Times New Roman"/>
        <family val="1"/>
      </rPr>
      <t>(cây ghép)</t>
    </r>
  </si>
  <si>
    <t>Cây bơ ĐK thân ≤5 cm</t>
  </si>
  <si>
    <t>Cây bơ ĐK thân &gt; 15 cm</t>
  </si>
  <si>
    <t>Cây bơ đường kính thân 5 cm &lt; ĐK thân ≤10 cm</t>
  </si>
  <si>
    <t>Cây bơ đường kính thân 10 cm &lt; ĐK thân ≤15 cm</t>
  </si>
  <si>
    <t>Cây cóc</t>
  </si>
  <si>
    <t>Cây cóc ĐK thân ≤5 cm</t>
  </si>
  <si>
    <t>Cây cóc ĐK thân &gt; 40 cm</t>
  </si>
  <si>
    <t>Cây cóc đường kính thân 5 cm &lt; ĐK thân ≤10 cm</t>
  </si>
  <si>
    <t>Cây cóc đường kính thân 10 cm &lt; ĐK thân ≤15 cm</t>
  </si>
  <si>
    <t>Cây cóc đường kính thân 15 cm &lt; ĐK thân ≤20 cm</t>
  </si>
  <si>
    <t>Cây cóc đường kính thân 20 cm &lt; ĐK thân ≤30 cm</t>
  </si>
  <si>
    <t>Cây cóc đường kính thân 30 cm &lt; ĐK thân ≤40 cm</t>
  </si>
  <si>
    <t>Cây quất hồng bì</t>
  </si>
  <si>
    <t>Cây quất hồng bì ĐK thân ≤5 cm</t>
  </si>
  <si>
    <t>Cây quất hồng bì ĐK thân &gt; 40 cm</t>
  </si>
  <si>
    <t>Cây quất hồng bì đường kính thân 5 cm &lt; ĐK thân ≤10 cm</t>
  </si>
  <si>
    <t>Cây quất hồng bì đường kính thân 10 cm &lt; ĐK thân ≤15 cm</t>
  </si>
  <si>
    <t>Cây quất hồng bì đường kính thân 15 cm &lt; ĐK thân ≤20 cm</t>
  </si>
  <si>
    <t>Cây quất hồng bì đường kính thân 20 cm &lt; ĐK thân ≤30 cm</t>
  </si>
  <si>
    <t>Cây quất hồng bì đường kính thân 30 cm &lt; ĐK thân ≤40 cm</t>
  </si>
  <si>
    <t>Cây sung quả</t>
  </si>
  <si>
    <t>Cây sung quả Giống đủ tiêu chuẩn mới trồng, chiều cao cây H ≥ 40cm</t>
  </si>
  <si>
    <t>Cây sung quả ĐK thân ≤5 cm</t>
  </si>
  <si>
    <t>Cây sung quả ĐK thân &gt; 40 cm</t>
  </si>
  <si>
    <t>Cây sung quả đường kính thân 5 cm &lt; ĐK thân ≤10 cm</t>
  </si>
  <si>
    <t>Cây sung quả đường kính thân 10 cm &lt; ĐK thân ≤15 cm</t>
  </si>
  <si>
    <t>Cây sung quả đường kính thân 15 cm &lt; ĐK thân ≤25 cm</t>
  </si>
  <si>
    <t>Cây sung quả đường kính thân 25 cm &lt; ĐK thân ≤40 cm</t>
  </si>
  <si>
    <t>Cây thị</t>
  </si>
  <si>
    <t>Cây thị ĐK thân ≤5 cm</t>
  </si>
  <si>
    <t>Cây thị ĐK thân &gt; 50 cm</t>
  </si>
  <si>
    <t>Cây thị đường kính thân 5 cm &lt; ĐK thân ≤10 cm</t>
  </si>
  <si>
    <t>Cây thị đường kính thân 10 cm &lt; ĐK thân ≤15 cm</t>
  </si>
  <si>
    <t>Cây thị đường kính thân 15 cm &lt; ĐK thân ≤25 cm</t>
  </si>
  <si>
    <t>Cây thị đường kính thân 25 cm &lt; ĐK thân ≤35 cm</t>
  </si>
  <si>
    <t>Cây thị đường kính thân 35 cm &lt; ĐK thân ≤50 cm</t>
  </si>
  <si>
    <t>Cây dâu da xoan</t>
  </si>
  <si>
    <t>Cây dâu da xoan giống đủ tiêu chuẩn mới trồng, chiều cao cây H ≥ 40cm</t>
  </si>
  <si>
    <t>Cây dâu da xoan ĐK thân ≤5 cm</t>
  </si>
  <si>
    <t>Cây dâu da xoan ĐK thân &gt; 60 cm</t>
  </si>
  <si>
    <t>Cây dâu da xoan đường kính thân 5 cm &lt; ĐK thân ≤10 cm</t>
  </si>
  <si>
    <t>Cây dâu da xoan đường kính thân 10 cm &lt; ĐK thân ≤15 cm</t>
  </si>
  <si>
    <t>Cây dâu da xoan đường kính thân 15 cm &lt; ĐK thân ≤25 cm</t>
  </si>
  <si>
    <t>Cây dâu da xoan đường kính thân 25 cm &lt; ĐK thân ≤40 cm</t>
  </si>
  <si>
    <t>Cây dâu da xoan đường kính thân 40 cm &lt; ĐK thân ≤60 cm</t>
  </si>
  <si>
    <t>Cây dâu tằm lấy quả</t>
  </si>
  <si>
    <t>Cây dâu tằm lấy quả Cây giống đủ tiêu chuẩn mới trồng</t>
  </si>
  <si>
    <t>Cây dâu tằm lấy quả ĐK thân &lt; 2 cm</t>
  </si>
  <si>
    <t>Cây dâu tằm lấy quả ĐK thân &gt; 10 cm</t>
  </si>
  <si>
    <t>Cây dâu tằm lấy quả đường kính thân 2 cm ≤  ĐK thân &lt;4 cm</t>
  </si>
  <si>
    <t>Cây dâu tằm lấy quả đường kính thân 4 cm ≤ ĐK thân &lt;6 cm</t>
  </si>
  <si>
    <t>Cây dâu tằm lấy quả đường kính thân 6 cm ≤ ĐK thân ≤10 cm</t>
  </si>
  <si>
    <t>Cây Hoa hồng trồng cắt cành</t>
  </si>
  <si>
    <t>Cây Hoa hồng trồng cắt cành ĐK thân ≤1 cm</t>
  </si>
  <si>
    <t>Cây Hoa hồng trồng cắt cành ĐK thân &gt; 5 cm</t>
  </si>
  <si>
    <t>Cây Hoa hồng trồng cắt cành đường kính thân 1 cm &lt; ĐK thân ≤2 cm</t>
  </si>
  <si>
    <t>Cây Hoa hồng trồng cắt cành đường kính thân 2 cm &lt; ĐK thân ≤3 cm</t>
  </si>
  <si>
    <t>Cây Hoa hồng trồng cắt cành đường kính thân 3 cm &lt; ĐK thân ≤5 cm</t>
  </si>
  <si>
    <t>Cây lê</t>
  </si>
  <si>
    <t>Cây lê giống mới trồng</t>
  </si>
  <si>
    <t>Cây lê ĐK thân ≤5 cm</t>
  </si>
  <si>
    <t>Cây lê ĐK thân &gt; 25 cm</t>
  </si>
  <si>
    <t>Cây lê đường kính thân 5 cm &lt; ĐK thân ≤7 cm</t>
  </si>
  <si>
    <t>Cây lê đường kính thân 7 cm &lt; ĐK thân ≤11 cm</t>
  </si>
  <si>
    <t>Cây lê đường kính thân 11 cm &lt; ĐK thân ≤15 cm</t>
  </si>
  <si>
    <t>Cây lê đường kính thân 15 cm &lt; ĐK thân ≤20 cm</t>
  </si>
  <si>
    <t>Cây lê đường kính thân 20 cm &lt; ĐK thân ≤25 cm</t>
  </si>
  <si>
    <t>Nho thân gỗ</t>
  </si>
  <si>
    <t>Nho thân gỗ ĐK thân ≤5 cm</t>
  </si>
  <si>
    <t>Nho thân gỗ ĐK thân &gt; 25 cm</t>
  </si>
  <si>
    <t>Nho thân gỗ đường kính thân 5 cm &lt; ĐK thân ≤10 cm</t>
  </si>
  <si>
    <t>Nho thân gỗ đường kính thân 10 cm &lt; ĐK thân  ≤15 cm</t>
  </si>
  <si>
    <t>Nho thân gỗ đường kính thân 15 cm &lt; ĐK thân ≤25 cm</t>
  </si>
  <si>
    <t>Cây mãng cầu</t>
  </si>
  <si>
    <r>
      <t xml:space="preserve">Cây mãng cầu mới trồng &lt;01 năm </t>
    </r>
    <r>
      <rPr>
        <i/>
        <sz val="12"/>
        <rFont val="Times New Roman"/>
        <family val="1"/>
      </rPr>
      <t>(cây từ hạt)</t>
    </r>
  </si>
  <si>
    <r>
      <t xml:space="preserve">Cây mãng cầu mới trồng &lt; 01 năm </t>
    </r>
    <r>
      <rPr>
        <i/>
        <sz val="12"/>
        <rFont val="Times New Roman"/>
        <family val="1"/>
      </rPr>
      <t>(cây ghép)</t>
    </r>
  </si>
  <si>
    <t>Cây mãng cầu ĐK thân ≤5 cm</t>
  </si>
  <si>
    <t>Cây mãng cầu ĐK thân &gt; 10 cm</t>
  </si>
  <si>
    <t>Cây mãng cầu đường kính thân 3 cm &lt; ĐK thân ≤5 cm</t>
  </si>
  <si>
    <t>Cây mãng cầu đường kính thân 5 cm &lt; ĐK thân ≤7 cm</t>
  </si>
  <si>
    <t>Cây mãng cầu đường kính thân 7 cm &lt; ĐK thân ≤10 cm</t>
  </si>
  <si>
    <t>Cây sa kê</t>
  </si>
  <si>
    <r>
      <rPr>
        <sz val="12"/>
        <rFont val="Times New Roman"/>
        <family val="1"/>
      </rPr>
      <t xml:space="preserve">Cây sa kê mới trồng &lt;01 năm </t>
    </r>
    <r>
      <rPr>
        <i/>
        <sz val="12"/>
        <rFont val="Times New Roman"/>
        <family val="1"/>
      </rPr>
      <t>(cây từ hạt)</t>
    </r>
  </si>
  <si>
    <r>
      <rPr>
        <sz val="12"/>
        <rFont val="Times New Roman"/>
        <family val="1"/>
      </rPr>
      <t xml:space="preserve">Cây sa kê mới trồng &lt; 01 năm </t>
    </r>
    <r>
      <rPr>
        <i/>
        <sz val="12"/>
        <rFont val="Times New Roman"/>
        <family val="1"/>
      </rPr>
      <t>(cây ghép)</t>
    </r>
  </si>
  <si>
    <t>Cây sa kê ĐK thân ≤5 cm</t>
  </si>
  <si>
    <t>Cây sa kê ĐK thân &gt; 10 cm</t>
  </si>
  <si>
    <t>Cây sa kê đường kính thân 3 cm &lt; ĐK thân ≤5 cm</t>
  </si>
  <si>
    <t>Cây sa kê đường kính thân 5 cm &lt; ĐK thân ≤7 cm</t>
  </si>
  <si>
    <t>Cây sa kê đường kính thân 7 cm &lt; ĐK thân ≤10 cm</t>
  </si>
  <si>
    <t>Cây phật thủ</t>
  </si>
  <si>
    <t>Cây phật thủ ĐK thân ≤5 cm</t>
  </si>
  <si>
    <t>Cây phật thủ ĐK thân &gt;30 cm</t>
  </si>
  <si>
    <t>Cây phật thủ đường kính thân 5 cm &lt; ĐK thân ≤10 cm</t>
  </si>
  <si>
    <t>Cây phật thủ đường kính thân 10 cm &lt; ĐK thân ≤15 cm</t>
  </si>
  <si>
    <t>Cây phật thủ đường kính thân 15 cm &lt; ĐK thân ≤20 cm</t>
  </si>
  <si>
    <t>Cây phật thủ đường kính thân 20 cm &lt; ĐK thân ≤30 cm</t>
  </si>
  <si>
    <t>Cây đào tiên</t>
  </si>
  <si>
    <t>Cây đào tiên giống Loại cây ghép có chiều cao cây 40cm &lt; H ≤ 1m</t>
  </si>
  <si>
    <t>Cây đào tiên giống Loại cây ghép có chiêu cao cây H ≥ 1m</t>
  </si>
  <si>
    <t>Cây đào tiên giống Loại cây chiết cành có chiều cao cây 40cm ≤ H&lt; 1m</t>
  </si>
  <si>
    <t>Cây đào tiên giống Loại cây chiết cành có chiều cao cây H ≥ 1m</t>
  </si>
  <si>
    <t>Cây đào tiên đường kính thân 2 cm &lt; ĐK thân ≤5 cm</t>
  </si>
  <si>
    <t>Cây đào tiên đường kính thân 5 cm &lt; ĐK thân ≤10 cm</t>
  </si>
  <si>
    <t>Cây đào tiên đường kính thân 10cm &lt;ĐKthân≤20 cm</t>
  </si>
  <si>
    <t>Cây đào tiên ĐK thân &gt;20 cm</t>
  </si>
  <si>
    <t>Cây hoa sữa giống mới trồng</t>
  </si>
  <si>
    <t>Cây hoa sữa đường kính thân 2 cm &lt; ĐK thân ≤5 cm</t>
  </si>
  <si>
    <t>Cây hoa sữa đường kính thân 5 cm &lt; ĐK thân ≤10 cm</t>
  </si>
  <si>
    <t>Cây hoa sữa đường kính thân 10 cm &lt; ĐK thân ≤15 cm</t>
  </si>
  <si>
    <t>Cây hoa sữa đường kính thân 15 cm &lt; ĐK thân ≤25 cm</t>
  </si>
  <si>
    <t>Cây hoa sữa đường kính thân 25 cm &lt; ĐK thân ≤40 cm</t>
  </si>
  <si>
    <t>Cây hoa sữa ĐK thân &gt; 40 cm</t>
  </si>
  <si>
    <t>Cây hoa sữa</t>
  </si>
  <si>
    <t>Cây hoa gạo</t>
  </si>
  <si>
    <t>Cây hoa gạo giống mới trồng</t>
  </si>
  <si>
    <t>Cây hoa gạo đường kính thân 2 cm &lt; ĐK thân ≤5 cm</t>
  </si>
  <si>
    <t>Cây hoa gạo đường kính thân 5 cm &lt; ĐK thân ≤10 cm</t>
  </si>
  <si>
    <t>Cây hoa gạo đường kính thân 10 cm &lt; ĐK thân ≤15 cm</t>
  </si>
  <si>
    <t>Cây hoa gạo đường kính thân 15 cm &lt; ĐK thân ≤25 cm</t>
  </si>
  <si>
    <t>Cây hoa gạo đường kính thân 25 cm &lt; ĐK thân ≤40 cm</t>
  </si>
  <si>
    <t>Cây hoa gạo ĐK thân &gt; 40 cm</t>
  </si>
  <si>
    <t>Cây hoa đại</t>
  </si>
  <si>
    <t>Cây hoa đại Cây giống mới trồng</t>
  </si>
  <si>
    <t>Cây hoa đại đường kính thân 2 cm &lt; ĐK thân ≤5 cm</t>
  </si>
  <si>
    <t>Cây hoa đại đường kính thân 5 cm &lt; ĐK thân ≤10 cm</t>
  </si>
  <si>
    <t>Cây hoa đại đường kính thân 10 cm &lt; ĐK thân ≤15 cm</t>
  </si>
  <si>
    <t>Cây hoa đại đường kính thân 15 cm &lt; ĐK thân ≤25 cm</t>
  </si>
  <si>
    <t>Cây hoa đại đường kính thân 25 cm &lt; ĐK thân ≤40 cm</t>
  </si>
  <si>
    <t>Cây hoa đại ĐK thân &gt; 40 cm</t>
  </si>
  <si>
    <t>Cây hoa ban Cây giống mới trồng</t>
  </si>
  <si>
    <t>Cây hoa ban đường kính thân 2 cm &lt; ĐK thân ≤5 cm</t>
  </si>
  <si>
    <t>Cây hoa ban đường kính thân 5 cm &lt; ĐK thân ≤10 cm</t>
  </si>
  <si>
    <t>Cây hoa ban đường kính thân 10 cm &lt; ĐK thân ≤15 cm</t>
  </si>
  <si>
    <t>Cây hoa ban đường kính thân 15 cm &lt; ĐK thân ≤25 cm</t>
  </si>
  <si>
    <t>Cây hoa ban đường kính thân 25 cm &lt; ĐK thân ≤40 cm</t>
  </si>
  <si>
    <t>Cây hoa ban ĐK thân &gt;40 cm</t>
  </si>
  <si>
    <t>Cây hoa ban</t>
  </si>
  <si>
    <t>Cây móng bò</t>
  </si>
  <si>
    <t>Cây móng bò Cây giống mới trồng</t>
  </si>
  <si>
    <t>Cây móng bò đường kính thân 2 cm &lt; ĐK thân ≤5 cm</t>
  </si>
  <si>
    <t>Cây móng bò đường kính thân 5 cm &lt; ĐK thân ≤10 cm</t>
  </si>
  <si>
    <t>Cây móng bò đường kính thân 10 cm &lt; ĐK thân ≤15 cm</t>
  </si>
  <si>
    <t>Cây móng bò đường kính thân 15 cm &lt; ĐK thân ≤25 cm</t>
  </si>
  <si>
    <t>Cây móng bò đường kính thân 25 cm &lt; ĐK thân ≤40 cm</t>
  </si>
  <si>
    <t>Cây móng bò ĐK thân &gt;40 cm</t>
  </si>
  <si>
    <t>Cây phượng vĩ (bằng lăng, muồng, lim xẹt)</t>
  </si>
  <si>
    <t>Cây phượng vĩ (bằng lăng, muồng, lim xẹt) Cây giống mới trồng</t>
  </si>
  <si>
    <t>Cây phượng vĩ (bằng lăng, muồng, lim xẹt) đường kính thân 2 cm &lt; ĐK thân ≤5 cm</t>
  </si>
  <si>
    <t>Cây phượng vĩ (bằng lăng, muồng, lim xẹt) ĐK thân &gt; 60 cm</t>
  </si>
  <si>
    <t>Cây long não, bồ đề</t>
  </si>
  <si>
    <t>Cây long não, bồ đề Giống đủ tiêu chuẩn mới trồng, chiều cao cây H ≤40cm</t>
  </si>
  <si>
    <t>Cây long não, bồ đề ĐK gốc ≥ 40cm</t>
  </si>
  <si>
    <t>Cây phượng vĩ (bằng lăng, muồng, lim xẹt) đường kính thân 5 cm &lt; ĐK thân ≤10 cm</t>
  </si>
  <si>
    <t>Cây phượng vĩ (bằng lăng, muồng, lim xẹt) đường kính thân 10 cm &lt; ĐK thân ≤15 cm</t>
  </si>
  <si>
    <t>Cây phượng vĩ (bằng lăng, muồng, lim xẹt) đường kính thân 15 cm &lt; ĐK thân ≤25 cm</t>
  </si>
  <si>
    <t>Cây phượng vĩ (bằng lăng, muồng, lim xẹt) đường kính thân 25 cm &lt; ĐK thân ≤40 cm</t>
  </si>
  <si>
    <t>Cây phượng vĩ (bằng lăng, muồng, lim xẹt) đường kính thân 40 cm &lt; ĐK thân ≤60 cm</t>
  </si>
  <si>
    <t>Cây long não, bồ đề đường kính gốc 1cm &lt; ĐK gốc &lt; 3cm</t>
  </si>
  <si>
    <t>Cây long não, bồ đề đường kính gốc 5cm ≤ ĐK gốc &lt; 10cm</t>
  </si>
  <si>
    <t>Cây long não, bồ đề đường kính gốc 10cm ≤ ĐK gốc &lt; 15cm</t>
  </si>
  <si>
    <t>Cây long não, bồ đề đường kính gốc 15cm ≤ ĐK gôc &lt; 20cm</t>
  </si>
  <si>
    <t>Cây long não, bồ đề đường kính gốc 20cm ≤ ĐK gốc &lt; 30cm</t>
  </si>
  <si>
    <t>Cây long não, bồ đề đường kính gốc 30cm ≤ ĐK gốc &lt; 40cm</t>
  </si>
  <si>
    <t>Cây long não, bồ đề đường kính gốc 3 cm ≤ ĐK gốc &lt; 5 cm</t>
  </si>
  <si>
    <t>Sao đen đường kính gốc 1 cm ≤ ĐK gốc &lt; 3cm</t>
  </si>
  <si>
    <t>Sao đen đường kính gốc 3 cm ≤ ĐK gốc &lt; 5cm</t>
  </si>
  <si>
    <t>Sao đen đường kính gốc 5cm ≤ ĐK gốc &lt; 7cm</t>
  </si>
  <si>
    <t>Sao đen đường kính gốc 7cm ≤ ĐK gốc &lt; 9cm</t>
  </si>
  <si>
    <t>Sao đen ĐK gốc ≥ 9cm</t>
  </si>
  <si>
    <t>Cây sưa</t>
  </si>
  <si>
    <t>Cây sưa Cây giống đủ tiêu chuẩn, mới trồng, chiều cao cây H ≥ 30cm</t>
  </si>
  <si>
    <t>Cây sưa ĐK thân &gt; 60 cm</t>
  </si>
  <si>
    <t>Cây sưa đường kính thân 2 cm &lt; ĐK thân ≤5 cm</t>
  </si>
  <si>
    <t>Cây sưa đường kính thân 5 cm &lt; ĐK thân ≤10 cm</t>
  </si>
  <si>
    <t>Cây sưa đường kính thân 10 cm &lt; ĐK thân ≤15 cm</t>
  </si>
  <si>
    <t>Cây sưa đường kính thân 15 cm &lt; ĐK thân ≤25 cm</t>
  </si>
  <si>
    <t>Cây sưa đường kính thân 25 cm &lt; ĐK thân ≤40 cm</t>
  </si>
  <si>
    <t>Cây sưa đường kính thân 40 cm &lt; ĐK thân ≤ 60 cm</t>
  </si>
  <si>
    <t>Cây trám</t>
  </si>
  <si>
    <t>Cây trám Mới trồng, đường kính gốc &lt; 2cm</t>
  </si>
  <si>
    <t>Cây trám ĐK gốc &gt; 30cm</t>
  </si>
  <si>
    <t>Cây trám đường kính gốc 2 cm &lt; ĐK gốc ≤ 5 cm</t>
  </si>
  <si>
    <t>Cây trám đường kính gốc 5 cm &lt; ĐK gốc ≤ 10 cm</t>
  </si>
  <si>
    <t>Cây trám đường kính gốc 10 cm &lt; ĐK gôc ≤ 15 cm</t>
  </si>
  <si>
    <t>Cây trám đường kính gốc 15 cm &lt; ĐK gốc ≤ 20 cm</t>
  </si>
  <si>
    <t>Cây trám đường kính gốc 20 cm &lt; ĐK gốc ≤ 25 cm</t>
  </si>
  <si>
    <t>Cây trám đường kính gốc 25 cm &lt; ĐK gốc ≤ 30 cm</t>
  </si>
  <si>
    <t>Cây xoan</t>
  </si>
  <si>
    <t>Cây xoan Cây giống mới trồng</t>
  </si>
  <si>
    <t>Cây xoan ĐK thân &gt; 30 cm</t>
  </si>
  <si>
    <t>Cây xoan đường kính thân 2 cm &lt; ĐK thân ≤5 cm</t>
  </si>
  <si>
    <t>Cây xoan đường kính thân 5 cm &lt; ĐK thân ≤10 cm</t>
  </si>
  <si>
    <t>Cây xoan đường kính thân 10 cm &lt; ĐK thân ≤15 cm</t>
  </si>
  <si>
    <t>Cây xoan đường kính thân 15 cm &lt; ĐK thân ≤20 cm</t>
  </si>
  <si>
    <t>Cây xoan đường kính thân 20 cm &lt; ĐK thân ≤30 cm</t>
  </si>
  <si>
    <t>Cây xà cừ (lát, sồi, lim xanh)</t>
  </si>
  <si>
    <t>Cây xà cừ (lát, sồi, lim xanh) Cây giống mới trồng</t>
  </si>
  <si>
    <t>Cây xà cừ (lát, sồi, lim xanh) ĐK thân &gt; 60 cm</t>
  </si>
  <si>
    <t>Cây xà cừ (lát, sồi, lim xanh) đường kính thân 2 cm &lt; ĐK thân ≤5 cm</t>
  </si>
  <si>
    <t>Cây xà cừ (lát, sồi, lim xanh) 5 cm &lt; ĐK thân ≤10 cm</t>
  </si>
  <si>
    <t>Cây xà cừ (lát, sồi, lim xanh) 10 cm &lt; ĐK thân ≤15 cm</t>
  </si>
  <si>
    <t>Cây xà cừ (lát, sồi, lim xanh) 15 cm &lt; ĐK thân ≤25 cm</t>
  </si>
  <si>
    <t>Cây xà cừ (lát, sồi, lim xanh) 25 &lt; ĐK thân ≤40 cm</t>
  </si>
  <si>
    <t>Cây xà cừ (lát, sồi, lim xanh) 40 cm &lt; ĐK thân ≤60 cm</t>
  </si>
  <si>
    <t>Cây bàng giống mới trồng</t>
  </si>
  <si>
    <t>Cây bàng ĐK thân &gt; 30 cm</t>
  </si>
  <si>
    <t>Cây bàng đường kính thân 2 cm &lt; ĐK thân ≤5 cm</t>
  </si>
  <si>
    <t>Cây bàng đường kính thân 5 cm &lt; ĐK thân ≤10 cm</t>
  </si>
  <si>
    <t>Cây bàng đường kính thân 10 cm &lt; ĐK thân ≤15 cm</t>
  </si>
  <si>
    <t>Cây bàng đường kính thân 15 cm &lt; ĐK thân ≤20 cm</t>
  </si>
  <si>
    <t>Cây bàng đường kính thân 20 cm &lt; ĐK thân ≤30 cm</t>
  </si>
  <si>
    <t>Cây bàng</t>
  </si>
  <si>
    <t>Cây trứng cá</t>
  </si>
  <si>
    <t>Cây trứng cá giống mới trồng</t>
  </si>
  <si>
    <t>Cây trứng cá đường kính thân 2 cm &lt; ĐK thân ≤5 cm</t>
  </si>
  <si>
    <t>Cây trứng cá đường kính thân 5 cm &lt; ĐK thân ≤10 cm</t>
  </si>
  <si>
    <t>Cây trứng cá đường kính thân 10 cm &lt; ĐK thân ≤15 cm</t>
  </si>
  <si>
    <t>Cây trứng cá đường kính thân 15 cm &lt; ĐK thân ≤20 cm</t>
  </si>
  <si>
    <t>Cây trứng cá đường kính thân 20 cm &lt; ĐK thân ≤30 cm</t>
  </si>
  <si>
    <t>Cây trứng cá ĐK thân &gt; 30 cm</t>
  </si>
  <si>
    <t>Cây bạch đàn</t>
  </si>
  <si>
    <t>Cây bạch đàn Cây giống mới trồng</t>
  </si>
  <si>
    <t>Cây bạch đàn ĐK thân &gt; 40 cm</t>
  </si>
  <si>
    <t>Cây bạch đàn đường kính thân 2 cm &lt; ĐK thân ≤5 cm</t>
  </si>
  <si>
    <t>Cây bạch đàn đường kính thân 5 cm &lt; ĐK thân ≤10 cm</t>
  </si>
  <si>
    <t>Cây bạch đàn đường kính thân 10 cm &lt; ĐK thân ≤20 cm</t>
  </si>
  <si>
    <t>Cây bạch đàn đường kính thân 20 cm &lt; ĐK thân ≤30 cm</t>
  </si>
  <si>
    <t>Cây bạch đàn đường kính thân 30 cm &lt; ĐK thân ≤40 cm</t>
  </si>
  <si>
    <t>Cây phi lao giống mới trồng</t>
  </si>
  <si>
    <t>Cây phi lao đường kính thân 2 cm &lt; ĐK thân ≤5 cm</t>
  </si>
  <si>
    <t>Cây phi lao ĐK thân &gt; 40 cm</t>
  </si>
  <si>
    <t>Cây phi lao đường kính thân 5 cm &lt; ĐK thân ≤10 cm</t>
  </si>
  <si>
    <t>Cây phi lao đường kính thân 10 cm &lt; ĐK thân ≤20 cm</t>
  </si>
  <si>
    <t>Cây phi lao đường kính thân 20cm &lt; ĐK thân ≤30 cm</t>
  </si>
  <si>
    <t>Cây phi lao đường kính thân 30 cm &lt; ĐK thân ≤40 cm</t>
  </si>
  <si>
    <t>Cây keo tai tượng</t>
  </si>
  <si>
    <t>Cây keo tai tượng giống mới trồng</t>
  </si>
  <si>
    <t>Cây keo tai tượng ĐK thân &gt; 40 cm</t>
  </si>
  <si>
    <t>Cây keo tai tượng đường kính thân 2 cm &lt; ĐK thân ≤5 cm</t>
  </si>
  <si>
    <t>Cây keo tai tượng đường kính thân 5 cm &lt; ĐK thân &lt;10 cm</t>
  </si>
  <si>
    <t>Cây keo tai tượng đường kính thân 10 cm &lt; ĐK thân ≤20 cm</t>
  </si>
  <si>
    <t>Cây keo tai tượng đường kính thân 20 cm &lt; ĐK thân ≤30 cm</t>
  </si>
  <si>
    <t>Cây keo tai tượng đường kính thân 30 cm &lt; ĐK thân ≤40 cm</t>
  </si>
  <si>
    <t>Cây liễu</t>
  </si>
  <si>
    <t>Cây liễu giống mới trồng</t>
  </si>
  <si>
    <t>Cây liễu ĐK thân &gt; 25 cm</t>
  </si>
  <si>
    <t>Cây liễu đường kính thân 2 cm &lt; ĐK thân ≤5 cm</t>
  </si>
  <si>
    <t>Cây liễu đường kính thân 5 cm &lt; ĐK thân ≤10 cm</t>
  </si>
  <si>
    <t>Cây liễu đường kính thân 10 cm &lt; ĐK thân ≤15 cm</t>
  </si>
  <si>
    <t>Cây liễu đường kính thân 15 cm &lt; ĐK thân ≤25 cm</t>
  </si>
  <si>
    <t>Cây lộc vừng</t>
  </si>
  <si>
    <t>Cây lộc vừng giống mới trồng</t>
  </si>
  <si>
    <t>Cây lộc vừng ĐK thân &gt;30 cm</t>
  </si>
  <si>
    <t>Cây lộc vừng đường kính thân 2 cm &lt; ĐK thân ≤5 cm</t>
  </si>
  <si>
    <t>Cây lộc vừng đường kính thân 5 cm &lt; ĐK thân ≤10 cm</t>
  </si>
  <si>
    <t>Cây lộc vừng đường kính thân 10 cm &lt; ĐK thân ≤15 cm</t>
  </si>
  <si>
    <t>Cây lộc vừng đường kính thân 15 cm &lt; ĐK thân ≤20 cm</t>
  </si>
  <si>
    <t>Cây lộc vừng đường kính thân 20 cm &lt; ĐK thân ≤25 cm</t>
  </si>
  <si>
    <t>Cây lộc vừng đường kính thân 25 cm &lt; ĐK thân ≤30 cm</t>
  </si>
  <si>
    <t>Cây móng rồng</t>
  </si>
  <si>
    <t>Cây móng rồng giống</t>
  </si>
  <si>
    <t>Cây móng rồng ĐK thân &gt; 15 cm</t>
  </si>
  <si>
    <t>Cây móng rồng đường kính thân 1 cm &lt; ĐK thân ≤3 cm</t>
  </si>
  <si>
    <t>Cây móng rồng đường kính thân 3 cm &lt; ĐK thân ≤5 cm</t>
  </si>
  <si>
    <t>Cây móng rồng đường kính thân 5 cm &lt; ĐK thân ≤10 cm</t>
  </si>
  <si>
    <t>Cây móng rồng đường kính thân 10 cm &lt; ĐK thân ≤15 cm</t>
  </si>
  <si>
    <r>
      <rPr>
        <b/>
        <sz val="12"/>
        <rFont val="Times New Roman"/>
        <family val="1"/>
      </rPr>
      <t>Cây đa (sanh, si, duối, bồ đề</t>
    </r>
    <r>
      <rPr>
        <sz val="12"/>
        <color rgb="FF000000"/>
        <rFont val="Times New Roman"/>
        <family val="1"/>
      </rPr>
      <t>)</t>
    </r>
  </si>
  <si>
    <t>Cây đa (sanh, si, duối, bồ đề) Cây giống mới trồng</t>
  </si>
  <si>
    <t>Cây đa (sanh, si, duối, bồ đề) ĐK thân &gt; 60 cm</t>
  </si>
  <si>
    <t>Cây đa (sanh, si, duối, bồ đề) đường kính thân 2 cm &lt; ĐK thân ≤5 cm</t>
  </si>
  <si>
    <t>Cây đa (sanh, si, duối, bồ đề) đường kính thân 5 cm &lt; ĐK thân ≤10 cm</t>
  </si>
  <si>
    <t>Cây đa (sanh, si, duối, bồ đề) đường kính thân 10 cm &lt; ĐK thân ≤15 cm</t>
  </si>
  <si>
    <t>Cây đa (sanh, si, duối, bồ đề) đường kính thân 15 cm &lt; ĐK thân ≤25 cm</t>
  </si>
  <si>
    <t>Cây đa (sanh, si, duối, bồ đề) đường kính thân 25 cm &lt; ĐK thân ≤40 cm</t>
  </si>
  <si>
    <t>Cây đa (sanh, si, duối, bồ đề) đường kính thân 40 cm &lt; ĐK thân ≤60 cm</t>
  </si>
  <si>
    <t>Cây sộp (Túc)</t>
  </si>
  <si>
    <t>Cây sộp (Túc) Cây giống đủ tiêu chuẩn mới trồng, chiều cao cây H &lt; 40cm</t>
  </si>
  <si>
    <t>Cây sộp (Túc) ĐK thân &gt; 40 cm</t>
  </si>
  <si>
    <t>Cây sộp (Túc) đường kính thân 10 cm &lt; ĐK thân ≤15 cm</t>
  </si>
  <si>
    <t>Cây sộp (Túc) đường kính thân 15 cm &lt; ĐK thân ≤20 cm</t>
  </si>
  <si>
    <t>Cây sộp (Túc) đường kính thân 20 cm &lt; ĐK thân ≤30 cm</t>
  </si>
  <si>
    <t>Cây sộp (Túc) đường kính thân 30 cm&lt; ĐK thân ≤40cm</t>
  </si>
  <si>
    <t>Cây gáo</t>
  </si>
  <si>
    <t>Cây gáo Giống đủ tiêu chuẩn mới trồng, chiều cao cây H ≥ 40cm</t>
  </si>
  <si>
    <t>Cây gáo ĐK gốc ≥  40cm</t>
  </si>
  <si>
    <t>Cây gáo đường kính gốc 1cm ≤ ĐK gốc &lt; 3cm</t>
  </si>
  <si>
    <t>Cây gáo đường kính gốc 5cm ≤ ĐK gốc &lt; 10cm</t>
  </si>
  <si>
    <t>Cây gáo đường kính gốc 10cm ≤ ĐK gốc &lt; 15cm</t>
  </si>
  <si>
    <t>Cây gáo đường kính gốc 20cm ≤ ĐK gốc &lt; 30cm</t>
  </si>
  <si>
    <t>Cây gáo đường kính gốc 30cm ≤ ĐK gốc &lt; 40cm</t>
  </si>
  <si>
    <t>Cây gáo đường kính gốc 3 cm ≤ ĐK gốc &lt; 5 cm</t>
  </si>
  <si>
    <t>Cây gáo đường kính gốc 15cm ≤ ĐK gốc &lt; 20cm</t>
  </si>
  <si>
    <t>Cây vọng cách</t>
  </si>
  <si>
    <t>Cây vọng cách Cây giống mới trồng</t>
  </si>
  <si>
    <t>Cây vọng cách ĐK thân &gt; 40 cm</t>
  </si>
  <si>
    <t>Cây vọng cách đường kính thân 2 cm &lt; ĐK thân ≤5 cm</t>
  </si>
  <si>
    <t>Cây vọng cách đường kính thân 5 cm &lt; ĐK thân ≤10 cm</t>
  </si>
  <si>
    <t>Cây vọng cách đường kính thân 10 cm &lt; ĐK thân ≤15 cm</t>
  </si>
  <si>
    <t>Cây vọng cách đường kính thân 15 cm &lt; ĐK thân ≤20 cm</t>
  </si>
  <si>
    <t>Cây vọng cách đường kính thân 20 cm &lt; ĐK thân ≤30 cm</t>
  </si>
  <si>
    <t>Cây vọng cách đường kính thân 30 cm &lt; ĐK thân ≤40 cm</t>
  </si>
  <si>
    <t>Muồng Hoàng yến (Osaka vàng)</t>
  </si>
  <si>
    <t>Muồng Hoàng yến (Osaka vàng) Giống đủ tiêu chuẩn mới trồng, chiều cao cây H  ≤40cm</t>
  </si>
  <si>
    <t>Muồng Hoàng yến (Osaka vàng) đường kính gốc 1 cm  ≤ ĐK gốc &lt; 3 cm</t>
  </si>
  <si>
    <t>Muồng Hoàng yến (Osaka vàng) đường kính gốc 3 cm  ≤ ĐK gốc &lt; 5 cm</t>
  </si>
  <si>
    <t>Muồng Hoàng yến (Osaka vàng) đường kính gốc 5cm  ≤ ĐK gốc &lt; 10cm</t>
  </si>
  <si>
    <t>Muồng Hoàng yến (Osaka vàng) đường kính gốc 10cm  ≤ ĐK gốc &lt; 15cm</t>
  </si>
  <si>
    <t>Muồng Hoàng yến (Osaka vàng) đường kính gốc 20cm  ≤ ĐK gốc &lt; 30cm</t>
  </si>
  <si>
    <t>Muồng Hoàng yến (Osaka vàng) đường kính gốc 30cm  ≤ ĐK gốc &lt; 40cm</t>
  </si>
  <si>
    <t>Muồng Hoàng yến (Osaka vàng) đường kính gốc 15cm  ≤ ĐK gốc &lt; 20cm</t>
  </si>
  <si>
    <t>Muồng Hoàng yến (Osaka vàng) ĐK gốc ≥ 40cm</t>
  </si>
  <si>
    <t>Cây bồ kết</t>
  </si>
  <si>
    <t>Cây bồ kết Cây giống đủ tiêu chuẩn mới trồng, chiều cao cây H ≥ 40cm</t>
  </si>
  <si>
    <t>Cây bồ kết ĐK gốc ≥ 50cm</t>
  </si>
  <si>
    <t>Cây bồ kết đường kính gốc 1 cm ≤ ĐK gốc &lt; 2cm</t>
  </si>
  <si>
    <t>Cây bồ kết đường kính gốc 2cm ≤ ĐK gốc &lt; 5cm</t>
  </si>
  <si>
    <t>Cây bồ kết đường kính gốc 5cm ≤ ĐK gốc &lt; 7cm</t>
  </si>
  <si>
    <t>Cây bồ kết đường kính gốc 7cm ≤ ĐK gốc &lt; 9cm</t>
  </si>
  <si>
    <t>Cây bồ kết đường kính gốc 9cm ≤ ĐK gốc &lt; 12cm</t>
  </si>
  <si>
    <t>Cây bồ kết đường kính gốc 12cm ≤ ĐK gốc &lt; 15cm</t>
  </si>
  <si>
    <t>Cây bồ kết đường kính gốc 15cm ≤ ĐK gốc &lt; 20cm</t>
  </si>
  <si>
    <t>Cây bồ kết đường kính gốc 20cm ≤ ĐK gốc &lt; 25cm</t>
  </si>
  <si>
    <t>Cây bồ kết đường kính gốc 25cm ≤ ĐK gốc &lt; 30cm</t>
  </si>
  <si>
    <t>Cây bồ kết đường kính gốc 30cm ≤ ĐK gốc &lt; 35cm</t>
  </si>
  <si>
    <t>Cây bồ kết đường kính gốc 35cm ≤ ĐK gốc &lt; 50cm</t>
  </si>
  <si>
    <t>Cây vông</t>
  </si>
  <si>
    <t>Cây vông giống mới trồng</t>
  </si>
  <si>
    <t>Cây vông ĐK thân &gt; 60 cm</t>
  </si>
  <si>
    <t>Cây vông đường kính thân 2 cm &lt; ĐK thân ≤5 cm</t>
  </si>
  <si>
    <t>Cây vông đường kính thân 5 cm &lt; ĐK thân ≤10 cm</t>
  </si>
  <si>
    <t>Cây vông đường kính thân 10 cm &lt; ĐK thân ≤15 cm</t>
  </si>
  <si>
    <t>Cây vông đường kính thân 15 cm &lt; ĐK thân ≤25 cm</t>
  </si>
  <si>
    <t>Cây vông đường kính thân 25 cm &lt; ĐK thân ≤40 cm</t>
  </si>
  <si>
    <t>Cây vông đường kính thân 40 cm &lt; ĐK thân ≤60 cm</t>
  </si>
  <si>
    <t>Cây tre hóa</t>
  </si>
  <si>
    <t>Cây tre hóa Cây giống đủ tiêu chuẩn mới trồng</t>
  </si>
  <si>
    <t>Cây tre hóa ĐK thân &gt; 10 cm</t>
  </si>
  <si>
    <t>Cây tre hóa đường kính thân 2 cm &lt; ĐK thân ≤5 cm</t>
  </si>
  <si>
    <t>Cây tre hóa đường kính thân 5 cm &lt; ĐK thân ≤10 cm</t>
  </si>
  <si>
    <t>Cây cau bụng</t>
  </si>
  <si>
    <t>Cây cau bụng Cây giống mới trồng</t>
  </si>
  <si>
    <t>Cây cau bụng ĐK thân &gt; 40 cm</t>
  </si>
  <si>
    <t>Cây cau bụng đường kính thân 2 cm&lt; ĐK thân ≤5 cm</t>
  </si>
  <si>
    <t>Cây cau bụng đường kính thân 5 cm &lt; ĐK thân ≤10 cm</t>
  </si>
  <si>
    <t>Cây cau bụng đường kính thân 10 cm &lt; ĐK thân ≤15 cm</t>
  </si>
  <si>
    <t>Cây cau bụng đường kính thân 15 cm &lt; ĐK thân ≤25 cm</t>
  </si>
  <si>
    <t>Cây cau bụng đường kính thân 25 cm &lt; ĐK thân ≤40 cm</t>
  </si>
  <si>
    <t>Cây cau sâm panh</t>
  </si>
  <si>
    <t>Cây cau sâm panh Cây giống mới trồng</t>
  </si>
  <si>
    <t>Cây cau sâm panh ĐK thân &gt; 60 cm</t>
  </si>
  <si>
    <t>Cây cau sâm panh đường kính thân 2 cm &lt; ĐK thân ≤5 cm</t>
  </si>
  <si>
    <t>Cây cau sâm panh đường kính thân 5 cm &lt; ĐK thân ≤10 cm</t>
  </si>
  <si>
    <t>Cây cau sâm panh đường kính thân 10 cm &lt; ĐK thân ≤15 cm</t>
  </si>
  <si>
    <t>Cây cau sâm panh đường kính thân 15 cm &lt; ĐK thân ≤25 cm</t>
  </si>
  <si>
    <t>Cây cau sâm panh đường kính thân 25 cm &lt; ĐK thân ≤40 cm</t>
  </si>
  <si>
    <t>Cây cau sâm panh đường kính thân 40 cm &lt; ĐK thân ≤60 cm</t>
  </si>
  <si>
    <t>Cây cần thăng Cây giống mới trồng</t>
  </si>
  <si>
    <t>Cây cần thăng ĐK thân &gt; 15 cm</t>
  </si>
  <si>
    <t>Cây cần thăng đường kính thân 2 cm &lt; ĐK thân ≤5 cm</t>
  </si>
  <si>
    <t>Cây cần thăng đường kính thân 5 cm &lt; ĐK thân ≤  10 cm</t>
  </si>
  <si>
    <t>Cây cần thăng đường kính thân 10 cm &lt; ĐK thân ≤ 15 cm</t>
  </si>
  <si>
    <t>Cây hoa trà</t>
  </si>
  <si>
    <t>Cây hoa trà Cây giống mới trồng</t>
  </si>
  <si>
    <t>Cây hoa trà ĐK thân &gt; 8 cm</t>
  </si>
  <si>
    <t>Cây hoa trà đường kính thân 0,5 cm &lt; ĐK thân ≤3 cm</t>
  </si>
  <si>
    <t>Cây hoa trà đường kính thân 3 cm &lt; ĐK thân ≤5 cm</t>
  </si>
  <si>
    <t>Cây hoa trà đường kính thân 5 cm &lt; ĐK thân ≤8 cm</t>
  </si>
  <si>
    <t>Cây hải đường</t>
  </si>
  <si>
    <t>Cây hải đường Cây giống đủ tiêu chuẩn mới trồng</t>
  </si>
  <si>
    <t>Cây hải đường ĐK thân &gt; 8 cm</t>
  </si>
  <si>
    <t>Cây hải đường  đường kính thân 0,5 cm &lt; ĐK thân ≤3 cm</t>
  </si>
  <si>
    <t>Cây hải đường  đường kính thân 3 cm &lt; ĐK thân ≤5 cm</t>
  </si>
  <si>
    <t>Cây hải đường  đường kính thân 5 cm &lt; ĐK thân ≤8 cm</t>
  </si>
  <si>
    <t>Cây tường vi</t>
  </si>
  <si>
    <t>Cây tường vi Cây giống mới trồng</t>
  </si>
  <si>
    <t>Cây tường vi ĐKthân&gt; 10 cm</t>
  </si>
  <si>
    <t>Cây tường vi đường kính thân 2 cm &lt; ĐK thân ≤5 cm</t>
  </si>
  <si>
    <t>Cây tường vi đường kính thân 5 cm &lt; ĐK thân ≤10 cm</t>
  </si>
  <si>
    <t>Cây mai tứ quý</t>
  </si>
  <si>
    <t>Cây mai tứ quý Cây giống mới trồng</t>
  </si>
  <si>
    <t>Cây mai tứ quý ĐKthân&gt; 15 cm</t>
  </si>
  <si>
    <t>Cây mai tứ quý đường kính thân 2 cm &lt; ĐK thân ≤5 cm</t>
  </si>
  <si>
    <t>Cây mai tứ quý đường kính thân 5 cm &lt; ĐK thân ≤10 cm</t>
  </si>
  <si>
    <t>Cây mai tứ quý đường kính thân 10 cm &lt; ĐK thân ≤15 cm</t>
  </si>
  <si>
    <t>Cây mai chiếu thủy</t>
  </si>
  <si>
    <t>Cây mai chiếu thủy Cây giống mới trồng</t>
  </si>
  <si>
    <t>Cây mai chiếu thủy ĐKthân&gt;15cm</t>
  </si>
  <si>
    <t>Cây mai chiếu thủy đường kính thân 2 cm &lt; ĐK thân ≤5 cm</t>
  </si>
  <si>
    <t>Cây mai chiếu thủy đường kính thân 5 cm &lt; ĐK thân ≤10 cm</t>
  </si>
  <si>
    <t>Cây mai chiếu thủy đường kính thân 10 cm &lt; ĐK thân ≤15 cm</t>
  </si>
  <si>
    <t>Cây mộc hương, cây hạnh phúc</t>
  </si>
  <si>
    <t>Cây mộc hương, cây hạnh phúc Cây giống mới trồng</t>
  </si>
  <si>
    <t>Cây mộc hương, cây hạnh phúc ĐK thân &gt; 15 cm</t>
  </si>
  <si>
    <t>Cây mộc hương, cây hạnh phúc đường kính thân 2 cm &lt; ĐK thân ≤5 cm</t>
  </si>
  <si>
    <t>Cây mộc hương, cây hạnh phúc đường kính thân 5 cm &lt; ĐK thân ≤10 cm</t>
  </si>
  <si>
    <t>Cây mộc hương, cây hạnh phúc đường kính thân 10 cm &lt; ĐK thân ≤15 cm</t>
  </si>
  <si>
    <t>Cây hoa giấy</t>
  </si>
  <si>
    <t>Cây hoa giấy Cây giống mới trồng</t>
  </si>
  <si>
    <t>Cây hoa giấy ĐK thân ≤2 cm</t>
  </si>
  <si>
    <t>Cây hoa giấy ĐK thân &gt; 25 cm</t>
  </si>
  <si>
    <t>Cây hoa giấy đường kính thân 2 cm &lt; ĐK thân ≤5 cm</t>
  </si>
  <si>
    <t>Cây hoa giấy đường kính thân 5 cm &lt; ĐK thân ≤10 cm</t>
  </si>
  <si>
    <t>Cây hoa giấy đường kính thân 10 cm &lt; ĐK thân ≤15 cm</t>
  </si>
  <si>
    <t>Cây hoa giấy đường kính thân 15 cm &lt; ĐK thân ≤20 cm</t>
  </si>
  <si>
    <t>Cây hoa giấy đường kính thân 20 cm&lt; ĐK thân ≤25 cm</t>
  </si>
  <si>
    <t>Cây lan bình rượu (náng đế) Cây giống mới trồng</t>
  </si>
  <si>
    <t>Cây lan bình rượu (náng đế) ĐK thân &gt; 25 cm</t>
  </si>
  <si>
    <t>Cây lan bình rượu (náng đế) đường kính thân 2 cm &lt; ĐK thân ≤5 cm</t>
  </si>
  <si>
    <t>Cây lan bình rượu (náng đế) đường kính thân 5 cm &lt; ĐK thân ≤10 cm</t>
  </si>
  <si>
    <t>Cây lan bình rượu (náng đế) đường kính thân 10 cm &lt; ĐK thân ≤15 cm</t>
  </si>
  <si>
    <t>Cây lan bình rượu (náng đế) đường kính thân 15 cm &lt; ĐK thân ≤25 cm</t>
  </si>
  <si>
    <t>Cây mắc mật (Móc mật)</t>
  </si>
  <si>
    <t>Cây mắc mật (Móc mật) Cây mới trồng, ĐK thân ≤2cm</t>
  </si>
  <si>
    <t>Cây mắc mật (Móc mật) ĐK gốc &gt; 20 cm</t>
  </si>
  <si>
    <t>Cây mắc mật (Móc mật) đường kính gốc 2 cm &lt; ĐK gốc ≤ 5 cm</t>
  </si>
  <si>
    <t>Cây mắc mật (Móc mật) đường kính gốc 5 cm &lt; ĐK gốc ≤ 10 cm</t>
  </si>
  <si>
    <t>Cây mắc mật (Móc mật) đường kính gốc 10 cm &lt; ĐK gốc ≤ 150 cm</t>
  </si>
  <si>
    <t>Cây mắc mật (Móc mật) đường kính gốc 15 cm &lt; ĐK gốc ≤ 20 cm</t>
  </si>
  <si>
    <t>Cây sim</t>
  </si>
  <si>
    <t>Cây sim Cây giống mới trồng</t>
  </si>
  <si>
    <t>Cây sim ĐK thân ≤5 cm</t>
  </si>
  <si>
    <t>Cây sim ĐK thân &gt; 10 cm</t>
  </si>
  <si>
    <t>Cây sim đường kính thân 5 cm &lt; ĐK thân ≤7 cm</t>
  </si>
  <si>
    <t>Cây sim đường kính thân 7 cm &lt; ĐK thân ≤10 cm</t>
  </si>
  <si>
    <t>Cây tùng bách tán</t>
  </si>
  <si>
    <t>Cây tùng bách tán Cây giống mới trồng</t>
  </si>
  <si>
    <t>Cây tùng bách tán ĐK thân ≤2 cm</t>
  </si>
  <si>
    <t>Cây tùng bách tán ĐK thân &gt; 25 cm</t>
  </si>
  <si>
    <t>Cây tùng bách tán đường kính thân 2 cm &lt; ĐK thân ≤5 cm</t>
  </si>
  <si>
    <t>Cây tùng bách tán đường kính thân 5 cm &lt; ĐK thân ≤10 cm</t>
  </si>
  <si>
    <t>Cây tùng bách tán đường kính thân 10 cm &lt; ĐK thân ≤15 cm</t>
  </si>
  <si>
    <t>Cây tùng bách tán đường kính thân 15 cm &lt; ĐK thân ≤20 cm</t>
  </si>
  <si>
    <t>Cây tùng bách tán đường kính thân 20 cm &lt; ĐK thân ≤25 cm</t>
  </si>
  <si>
    <t>Cây tùng la hán</t>
  </si>
  <si>
    <t>Cây tùng la hán Cây giống mới trồng</t>
  </si>
  <si>
    <t>Cây tùng la hán ĐK thân ≤2 cm</t>
  </si>
  <si>
    <t>Cây tùng la hán ĐK thân &gt; 25 cm</t>
  </si>
  <si>
    <t>Cây tùng la hán đường kính thân 2 cm &lt; ĐK thân ≤5 cm</t>
  </si>
  <si>
    <t>Cây tùng la hán đường kính thân 5 cm &lt; ĐK thân ≤10 cm</t>
  </si>
  <si>
    <t>Cây tùng la hán đường kính thân 10 cm &lt; ĐK thân ≤15 cm</t>
  </si>
  <si>
    <t>Cây tùng la hán đường kính thân 15 cm &lt; ĐK thân ≤20 cm</t>
  </si>
  <si>
    <t>Cây tùng la hán đường kính thân 20 cm &lt; ĐK thân ≤25 cm</t>
  </si>
  <si>
    <t>Cây tùng kim</t>
  </si>
  <si>
    <t>Cây tùng kim Cây giống mới trồng</t>
  </si>
  <si>
    <t>Cây tùng kim ĐK thân ≤2 cm</t>
  </si>
  <si>
    <t>Cây tùng kim ĐK thân &gt; 25 cm</t>
  </si>
  <si>
    <t>Cây tùng kim đường kính thân 2 cm &lt; ĐK thân ≤5 cm</t>
  </si>
  <si>
    <t>Cây tùng kim đường kính thân 5 cm &lt; ĐK thân ≤10 cm</t>
  </si>
  <si>
    <t>Cây tùng kim đường kính thân 10 cm &lt; ĐK thân ≤15 cm</t>
  </si>
  <si>
    <t>Cây tùng kim đường kính thân 15 cm &lt; ĐK thân ≤20 cm</t>
  </si>
  <si>
    <t>Cây tùng kim đường kính thân 20 cm &lt; ĐK thân ≤25 cm</t>
  </si>
  <si>
    <t>Bàng Đài Loan</t>
  </si>
  <si>
    <t>Bàng Đài Loan Giống đủ tiêu chuẩn mới trồng, chiều cao cây H  ≤ 40cm</t>
  </si>
  <si>
    <t>Bàng Đài Loan đường kính gốc 1cm  ≤ ĐK gốc &lt; 3cm</t>
  </si>
  <si>
    <t>Bàng Đài Loan ĐK gốc ≥ 30cm</t>
  </si>
  <si>
    <t>Bàng Đài Loan đường kính gốc 3cm  ≤ ĐK gốc &lt; 5cm</t>
  </si>
  <si>
    <t>Bàng Đài Loan đường kính gốc 5cm  ≤ ĐK gốc &lt; 10cm</t>
  </si>
  <si>
    <t>Bàng Đài Loan đường kính gốc 10cm  ≤ ĐK gốc &lt; 15cm</t>
  </si>
  <si>
    <t>Bàng Đài Loan đường kính gốc 15cm  ≤ ĐK gốc &lt; 20cm</t>
  </si>
  <si>
    <t>Bàng Đài Loan đường kính gốc 20cm  ≤ ĐK gốc &lt; 25cm</t>
  </si>
  <si>
    <t>Bàng Đài Loan đường kính gốc 25cm  ≤ ĐK gốc &lt; 30cm</t>
  </si>
  <si>
    <t>Tùng Ấn Độ</t>
  </si>
  <si>
    <t>Tùng Ấn Độ Cây giống đủ tiêu chuẩn mới trồng, chiều cao cây H &lt; 40cm</t>
  </si>
  <si>
    <t>Tùng Ấn Độ ĐK gốc ≥ 15cm</t>
  </si>
  <si>
    <t>Tùng Ấn Độ đường kính gốc 1 cm  ≤ ĐK gốc &lt; 3cm</t>
  </si>
  <si>
    <t>Tùng Ấn Độ đường kính gốc 3cm  ≤ ĐK gốc &lt; 5cm</t>
  </si>
  <si>
    <t>Tùng Ấn Độ đường kính gốc 5cm  ≤ ĐK gốc &lt; 10cm</t>
  </si>
  <si>
    <t>Tùng Ấn Độ đường kính gốc 10cm  ≤ ĐK gốc &lt; 15cm</t>
  </si>
  <si>
    <t>Sầu riêng</t>
  </si>
  <si>
    <r>
      <rPr>
        <sz val="12"/>
        <rFont val="Times New Roman"/>
        <family val="1"/>
      </rPr>
      <t xml:space="preserve">Sầu riêng Cây mới trồng &lt;01 năm </t>
    </r>
    <r>
      <rPr>
        <i/>
        <sz val="12"/>
        <rFont val="Times New Roman"/>
        <family val="1"/>
      </rPr>
      <t>(cây từ hạt)</t>
    </r>
  </si>
  <si>
    <r>
      <rPr>
        <sz val="12"/>
        <rFont val="Times New Roman"/>
        <family val="1"/>
      </rPr>
      <t xml:space="preserve">Sầu riêng Cây mới trồng &lt; 01 năm </t>
    </r>
    <r>
      <rPr>
        <i/>
        <sz val="12"/>
        <rFont val="Times New Roman"/>
        <family val="1"/>
      </rPr>
      <t>(cây ghép)</t>
    </r>
  </si>
  <si>
    <t>Sầu riêng Cây trồng ≥  01 năm, chiều cao thân cây &lt; 1m chưa có quả</t>
  </si>
  <si>
    <t>Sầu riêng Cây trồng có chiều cao thân cây từ ≥1 m chưa có quả</t>
  </si>
  <si>
    <t>Sầu riêng Cây có quả đường kính gốc &lt; 20cm</t>
  </si>
  <si>
    <t>Sầu riêng Cây có quả tốt đường kính thân ≥ 20cm đến &lt; 45cm</t>
  </si>
  <si>
    <t>Sầu riêng Cây có quả thu hoạch tốt đường kính gốc ≥ 45 cm</t>
  </si>
  <si>
    <t>Cây Dẻ lấy quả</t>
  </si>
  <si>
    <t>Cây Dẻ lấy quả Mới trồng, ĐK gốc &lt; 5 cm</t>
  </si>
  <si>
    <t>Cây Dẻ lấy quả ĐK gốc &gt; 30cm</t>
  </si>
  <si>
    <t>Cây Dẻ lấy quả đường kính gốc 5 cm ≤ ĐK gốc &lt;10cm</t>
  </si>
  <si>
    <t>Cây Dẻ lấy quả đường kính gốc 10cm ≤ ĐK gốc &lt; 20cm</t>
  </si>
  <si>
    <t>Cây Dẻ lấy quả đường kính gốc 20cm ≤ ĐK gốc &lt; 30cm</t>
  </si>
  <si>
    <t>Cây lựu</t>
  </si>
  <si>
    <t>Cây lựu Mới trồng, chiều cao cây H ≥ 40cm</t>
  </si>
  <si>
    <t>Cây lựu ĐK gốc ≥ 20cm</t>
  </si>
  <si>
    <t>Cây lựu đường kính gốc 1 cm  ≤ ĐK gốc &lt; 2cm</t>
  </si>
  <si>
    <t>Cây lựu đường kính gốc 2cm  ≤ ĐK gốc &lt; 5cm</t>
  </si>
  <si>
    <t>Cây lựu đường kính gốc 5cm  ≤ ĐK gốc &lt; 7cm</t>
  </si>
  <si>
    <t>Cây lựu đường kính gốc 7cm  ≤ ĐK gốc &lt; 9cm</t>
  </si>
  <si>
    <t>Cây lựu đường kính gốc 9cm  ≤ ĐK gốc &lt; 12cm</t>
  </si>
  <si>
    <t>Cây lựu đường kính gốc 12cm  ≤ ĐK gốc &lt; 15cm</t>
  </si>
  <si>
    <t>Cây lựu đường kính gốc 15cm  ≤ ĐK gốc &lt; 20cm</t>
  </si>
  <si>
    <t>Cây mai vàng</t>
  </si>
  <si>
    <t>Cây mai vàng đường kính gốc 0,5cm ≤ ĐK gốc &lt; 1cm</t>
  </si>
  <si>
    <t>Cây mai vàng ĐK gốc ≥ 10cm</t>
  </si>
  <si>
    <t>Cây mai vàng đường kính gốc 1 cm ≤ ĐK gốc &lt; 2cm</t>
  </si>
  <si>
    <t>Cây mai vàng đường kính gốc 2cm ≤ ĐK gốc &lt; 4cm</t>
  </si>
  <si>
    <t>Cây mai vàng đường kính gốc 4cm ≤ ĐK gôc &lt; 6cm</t>
  </si>
  <si>
    <t>Cây mai vàng đường kính gốc 6cm ≤ ĐK gốc &lt; 10cm</t>
  </si>
  <si>
    <t>Vạn Tuế</t>
  </si>
  <si>
    <t>Vạn Tuế ĐK gốc &lt; 10 cm</t>
  </si>
  <si>
    <t>Vạn Tuế ĐK gốc ≥ 30 cm</t>
  </si>
  <si>
    <t>Vạn Tuế đường kính gốc 10 cm ≤ ĐK gốc &lt; 20 cm</t>
  </si>
  <si>
    <t>Vạn Tuế đường kính gốc 20 cm ≤ ĐK gốc &lt; 30 cm</t>
  </si>
  <si>
    <t>Cây hồng xiêm</t>
  </si>
  <si>
    <t>Cây hồng xiêm Cây giống đủ tiêu chuẩn mới trồng</t>
  </si>
  <si>
    <t>Cây hồng xiêm ĐK tán ≤ 1,5 m</t>
  </si>
  <si>
    <t>Cây hồng xiêm ĐKtán &gt; 10 m</t>
  </si>
  <si>
    <t>Cây hồng xiêm đường kính tán 1,5 m &lt; ĐK tán ≤2,5 m</t>
  </si>
  <si>
    <t>Cây hồng xiêm đường kính tán 2,5 m &lt; ĐK tán ≤ 3,5 m</t>
  </si>
  <si>
    <t>Cây hồng xiêm đường kính tán 8 m &lt; ĐK tán &lt; 10 m</t>
  </si>
  <si>
    <t>Cây hồng xiêm đường kính tán 3,5 m &lt; ĐK tán ≤ 4,5 m</t>
  </si>
  <si>
    <t>Cây hồng xiêm đường kính tán 4,5 m &lt; ĐK tán ≤ 5,5 m</t>
  </si>
  <si>
    <t>Cây hồng xiêm đường kính tán 5,5 m &lt; ĐK tán ≤ 8 m</t>
  </si>
  <si>
    <t>Cây roi</t>
  </si>
  <si>
    <t>Cây roi Cây giống đủ tiêu chuẩn mới trồng</t>
  </si>
  <si>
    <t>Cây roi ĐK tán ≥ 12m</t>
  </si>
  <si>
    <t>Cây roi đường kính tán 0,7m &lt; ĐK tán ≤ 1m</t>
  </si>
  <si>
    <t>Cây roi đường kính tán 1 m ≤ĐK tán &lt; l,5m</t>
  </si>
  <si>
    <t>Cây roi đường kính tán 1,5m ≤ ĐK tán ≤2m</t>
  </si>
  <si>
    <t>Cây roi đường kính tán 2m ≤ ĐK tán ≤3m</t>
  </si>
  <si>
    <t>Cây roi đường kính tán 3m ≤ ĐK tán ≤4m</t>
  </si>
  <si>
    <t>Cây roi đường kính tán 4m ≤ ĐK tán ≤5m</t>
  </si>
  <si>
    <r>
      <t xml:space="preserve">Cây roi đường kính tán 5m </t>
    </r>
    <r>
      <rPr>
        <b/>
        <sz val="13"/>
        <color rgb="FF000000"/>
        <rFont val="Times New Roman"/>
        <family val="1"/>
      </rPr>
      <t xml:space="preserve">≤ </t>
    </r>
    <r>
      <rPr>
        <sz val="13"/>
        <color rgb="FF000000"/>
        <rFont val="Times New Roman"/>
        <family val="1"/>
      </rPr>
      <t>ĐK tán ≤6m</t>
    </r>
  </si>
  <si>
    <t>Cây roi đường kính tán 6m ≤ ĐK tán ≤7m</t>
  </si>
  <si>
    <t>Cây roi đường kính tán 7m ≤ ĐK tán ≤8m</t>
  </si>
  <si>
    <t>Cây roi đường kính tán 8m ≤  ĐK tán ≤9m</t>
  </si>
  <si>
    <t>Cây roi đường kính tán 9m ≤ ĐK tán ≤12m</t>
  </si>
  <si>
    <t>Cây hồng, cây cậy</t>
  </si>
  <si>
    <t>Cây hồng, cây cậy Cây giống đủ tiêu chuẩn mới trồng, chiều cao cây H ≥ 40cm</t>
  </si>
  <si>
    <t>Cây hồng, cây cậy ĐK tán ≤ 1,5m</t>
  </si>
  <si>
    <t>Cây hồng, cây cậy ĐKtán &gt; 10 m</t>
  </si>
  <si>
    <t>Cây hồng, cây cậy đường kính tán 1,5 m &lt; ĐK tán ≤2,5 m</t>
  </si>
  <si>
    <t>Cây hồng, cây cậy đường kính tán 2,5 m &lt; ĐK tán ≤3,5 m</t>
  </si>
  <si>
    <t>Cây hồng, cây cậy đường kính tán 3,5 m &lt; ĐK tán ≤4,5 m</t>
  </si>
  <si>
    <t>Cây hồng, cây cậy đường kính tán 4,5 m &lt; ĐK tán ≤5,5 m</t>
  </si>
  <si>
    <t>Cây hồng, cây cậy đường kính tán 5,5 m &lt; ĐK tán ≤8 m</t>
  </si>
  <si>
    <t>Cây hồng, cây cậy đường kính tán 8 m &lt; ĐK tán ≤10 m</t>
  </si>
  <si>
    <t>Cây chanh</t>
  </si>
  <si>
    <t>Cây chanh Cây giống đủ tiêu chuẩn mới trồng, chiều cao cây H ≥ 40cm</t>
  </si>
  <si>
    <t>Cây chanh ĐK tán ≤1 m</t>
  </si>
  <si>
    <t>Cây chanh ĐKtán &gt; 4m</t>
  </si>
  <si>
    <t>Cây chanh đường kính tán 1 m &lt; ĐK tán ≤ 1,5 m</t>
  </si>
  <si>
    <t>Cây chanh đường kính tán 1,5 m &lt; ĐK tán ≤ 2 m</t>
  </si>
  <si>
    <t>Cây chanh đường kính tán 2 m &lt; ĐK tán ≤ 3 m</t>
  </si>
  <si>
    <t>Cây chanh đường kính tán 3 m &lt; ĐK tán ≤ 4 m</t>
  </si>
  <si>
    <t>Cây cam</t>
  </si>
  <si>
    <t>Cây cam giống Loại cây ghép có chiều cao cây 40cm ≤ H &lt; 1m</t>
  </si>
  <si>
    <t>Cây cam giống Loại cây ghép có chiều cao cây H ≥ 1 m</t>
  </si>
  <si>
    <t>Cây cam giống Loại cây chiết cành có chiều cao 40cm ≤ H &lt; 1m</t>
  </si>
  <si>
    <t>Cây cam giống Loại cây chiết cành có chiều cao cây H ≥ 1m</t>
  </si>
  <si>
    <t>Cây cam ĐK tán ≤1 m</t>
  </si>
  <si>
    <t>Cây cam ĐK tán &gt; 5 m</t>
  </si>
  <si>
    <t>Cây cam đường kính tán 1 m &lt; ĐKtán ≤ 1,5 m</t>
  </si>
  <si>
    <t>Cây cam đường kính tán 1,5 m &lt; ĐK tán ≤ 2 m</t>
  </si>
  <si>
    <t>Cây cam đường kính tán 2 m &lt; ĐK tán ≤ 3 m</t>
  </si>
  <si>
    <t>Cây cam đường kính tán 3 m &lt; ĐK tán ≤ 5 m</t>
  </si>
  <si>
    <t>Cây quýt</t>
  </si>
  <si>
    <t>Cây quýt ĐK tán &gt; 5 m</t>
  </si>
  <si>
    <t>Cây quýt ĐK tán ≤ 1,5 m</t>
  </si>
  <si>
    <t>Cây quýt đường kính tán 1,5 m &lt; ĐK tán ≤ 2 m</t>
  </si>
  <si>
    <t>Cây quýt đường kính tán 2 m &lt; ĐK tán ≤ 3 m</t>
  </si>
  <si>
    <t>Cây quýt đường kính tán 3 m &lt; ĐK tán ≤ 5 m</t>
  </si>
  <si>
    <t>Cây quất</t>
  </si>
  <si>
    <t>Cây quất Cây giống đủ tiêu chuẩn mới trồng</t>
  </si>
  <si>
    <t>Cây quất ĐK tán ≤1 m</t>
  </si>
  <si>
    <t>Cây quất ĐK tán &gt; 2 m</t>
  </si>
  <si>
    <t>Cây quất đường kính tán 1 m &lt; ĐK tán ≤2 m</t>
  </si>
  <si>
    <t>Cây đào (lấy quả), cây mận (lấy quả), cây mơ (lấy quả)</t>
  </si>
  <si>
    <t>Cây đào (lấy quả), cây mận (lấy quả), cây mơ (lấy quả) ĐK tán ≤1 m</t>
  </si>
  <si>
    <t>Cây đào (lấy quả), cây mận (lấy quả), cây mơ (lấy quả) ĐK tán &gt; 5 m</t>
  </si>
  <si>
    <t>Cây đào (lấy quả), cây mận (lấy quả), cây mơ (lấy quả) đường kính tán 1 m &lt; ĐK tán ≤1,5 m</t>
  </si>
  <si>
    <t>Cây đào (lấy quả), cây mận (lấy quả), cây mơ (lấy quả) đường kính tán  1,5 m &lt; ĐK tán ≤ 2 m</t>
  </si>
  <si>
    <t>Cây đào (lấy quả), cây mận (lấy quả), cây mơ (lấy quả) đường kính tán 2 m &lt; ĐK tán ≤ 3 m</t>
  </si>
  <si>
    <t>Cây đào (lấy quả), cây mận (lấy quả), cây mơ (lấy quả) đường kính tán  3 m &lt; ĐK tán ≤ 5 m</t>
  </si>
  <si>
    <t>Cây thanh trà (chanh trà)</t>
  </si>
  <si>
    <t>Cây thanh trà (chanh trà) Cây giống đủ tiêu chuẩn mới trồng, chiều cao cây H ≥ 40cm</t>
  </si>
  <si>
    <t>Cây thanh trà (chanh trà) ĐK tán ≤1 m</t>
  </si>
  <si>
    <t>Cây thanh trà (chanh trà) ĐK tán &gt; 5 m</t>
  </si>
  <si>
    <t>Cây thanh trà (chanh trà) đường kính tán 1 m &lt; ĐK tán ≤ 1,5 m</t>
  </si>
  <si>
    <t>Cây thanh trà (chanh trà) đường kính tán 1,5 m &lt; ĐK tán ≤ 2 m</t>
  </si>
  <si>
    <t>Cây thanh trà (chanh trà) đường kính tán 2 m &lt; ĐK tán ≤ 3 m</t>
  </si>
  <si>
    <t>Cây thanh trà (chanh trà) đường kính tán 3 m &lt; ĐK tán ≤ 5 m</t>
  </si>
  <si>
    <t>Cây nhót</t>
  </si>
  <si>
    <t>Cây nhót Cây giống mới trồng</t>
  </si>
  <si>
    <t>Cây nhót ĐK tán ≤1,5 m</t>
  </si>
  <si>
    <t>Cây nhót ĐK tán &gt; 5 m</t>
  </si>
  <si>
    <t>Cây nhót đường kính tán 1,5 m &lt; ĐK tán ≤2 m</t>
  </si>
  <si>
    <t>Cây nhót đường kính tán 2 m &lt; ĐK tán ≤3 m</t>
  </si>
  <si>
    <t>Cây nhót đường kính tán 3 m &lt; ĐK tán ≤5 m</t>
  </si>
  <si>
    <t>Cây Thanh long</t>
  </si>
  <si>
    <t>Cây Thanh long ĐK tán ≤1 m</t>
  </si>
  <si>
    <t>Cây Thanh long ĐK tán &gt; 3 m</t>
  </si>
  <si>
    <t>Cây Thanh long đường kính tán 1 m &lt; ĐK tán ≤2 m</t>
  </si>
  <si>
    <t>Cây Thanh long đường kính tán 2 m &lt; ĐK tán ≤3 m</t>
  </si>
  <si>
    <t>Cây chè</t>
  </si>
  <si>
    <t>Cây chè Cây giống đủ tiêu chuẩn mới trồng</t>
  </si>
  <si>
    <t>Cây chè ĐK tán ≤0,8 m</t>
  </si>
  <si>
    <t>Cây chè ĐK tán &gt; 1,2 m</t>
  </si>
  <si>
    <t>Cây chè đường kính tán 0,8 m &lt; ĐK tán ≤1 m</t>
  </si>
  <si>
    <t>Cây chè đường kính tán 1 m &lt; ĐK tán ≤1,2 m</t>
  </si>
  <si>
    <t>Cây mẫu đơn ta</t>
  </si>
  <si>
    <t>Cây mẫu đơn ta Cây giống đủ tiêu chuẩn mới trồng, chiều cao cây H &lt; 40cm</t>
  </si>
  <si>
    <t>Cây mẫu đơn ta Cây giống đủ tiêu chuẩn mới trồng, chiều cao cây 40cm ≤ H &lt; 100cm</t>
  </si>
  <si>
    <t>Cây mẫu đơn ta Cây giống đủ tiêu chuẩn mới trồng, chiều cao cây H ≥ 100cm</t>
  </si>
  <si>
    <t>Cây thiên phúc (pháo hoa)</t>
  </si>
  <si>
    <t>Cây thiên phúc (pháo hoa) Cây giống mới trồng</t>
  </si>
  <si>
    <t>Cây thiên phúc (pháo hoa) ĐK tán &gt; 2,5 m</t>
  </si>
  <si>
    <t>Cây mẫu đơn ta có ĐK tán từ 1,0m đến 1,2m gốc có 5- 7 nhánh</t>
  </si>
  <si>
    <t>Cây mẫu đơn ta có ĐK tán l,0m đến l,2m, gốc có 8-10 nhánh</t>
  </si>
  <si>
    <t>Cây mẫu đơn ta có ĐK tán l,3m đến 1,5 m, gốc có 8- 10 nhánh</t>
  </si>
  <si>
    <t>Cây mẫu đơn ta có ĐK tán l,6m đến 2m, gốc có trên 10 nhánh</t>
  </si>
  <si>
    <t>Cây mẫu đơn ta có ĐK tán 2,0m đến 2,2 m, gốc có trên 10 nhánh</t>
  </si>
  <si>
    <t>Cây mẫu đơn ta có ĐK tán &gt;2,2m đến 2,5m, gốc có trên 10 nhánh</t>
  </si>
  <si>
    <t>Cây mẫu đơn ta có ĐK tán &gt;2,5 m, gôc có trên 10 nhánh</t>
  </si>
  <si>
    <t>Cây thiên phúc (pháo hoa) đường kính tán 0,5 m &lt; ĐK tán ≤1 m</t>
  </si>
  <si>
    <t>Cây thiên phúc (pháo hoa) đường kính tán 1 m &lt; ĐK tán ≤2,5 m</t>
  </si>
  <si>
    <t>Cây mẫu đơn nhật</t>
  </si>
  <si>
    <t>Cây mẫu đơn nhật Cây giống mới trồng</t>
  </si>
  <si>
    <t>Cây mẫu đơn nhật ĐK tán &gt; 2 m</t>
  </si>
  <si>
    <t>Cây mẫu đơn nhật đường kính tán 1,5 m &lt; ĐK tán ≤ 2m</t>
  </si>
  <si>
    <t>Cây mẫu đơn nhật đường kính tán 1 m &lt; ĐK tán ≤ 1,5 m</t>
  </si>
  <si>
    <t>Cây dâm bụt, cây ngũ sắc</t>
  </si>
  <si>
    <t>Cây dâm bụt, cây ngũ sắc Cây giống mới trồng</t>
  </si>
  <si>
    <t>Cây dâm bụt, cây ngũ sắc ĐK tán &gt; 3 m</t>
  </si>
  <si>
    <t>Cây dâm bụt, cây ngũ sắc đường kính tán 1 m &lt; ĐK tán ≤ 1,5 m</t>
  </si>
  <si>
    <t>Cây dâm bụt, cây ngũ sắc đường kính tán 0,5 m &lt; ĐK tán ≤ 1 m</t>
  </si>
  <si>
    <t>Cây dâm bụt, cây ngũ sắc đường kính tán 1,5 m &lt; ĐK tán ≤ 2 m</t>
  </si>
  <si>
    <t>Cây dâm bụt, cây ngũ sắc đường kính tán 2 m &lt; ĐK tán ≤ 3 m</t>
  </si>
  <si>
    <t>Cây hoa sứ</t>
  </si>
  <si>
    <t>Cây hoa sứ Cây giống đủ tiêu chuẩn mới trồng, chưa ra hoa</t>
  </si>
  <si>
    <t>Cây hoa sứ ĐK tán &gt; 4 m</t>
  </si>
  <si>
    <t>Cây hoa sứ đường kính tán 0,5 m &lt; ĐK tán ≤1 m</t>
  </si>
  <si>
    <t>Cây hoa sứ đường kính tán 1 m &lt; ĐK tán ≤2 m</t>
  </si>
  <si>
    <t>Cây hoa sứ đường kính tán 2 m &lt; ĐK tán ≤3 m</t>
  </si>
  <si>
    <t>Cây hoa sứ đường kính tán 3 m &lt; ĐK tán ≤4 m</t>
  </si>
  <si>
    <t>Cây ngâu, cây tứ quý Cây giống đủ tiêu chuẩn mới trồng, chưa ra hoa</t>
  </si>
  <si>
    <t>Cây ngâu, cây tứ quý ĐK tán &gt; 8 m</t>
  </si>
  <si>
    <t>Cây ngâu, cây tứ quý đường kính tán 0,5 m &lt; ĐK tán ≤1 m</t>
  </si>
  <si>
    <t>Cây ngâu, cây tứ quý đường kính tán 1 m &lt; ĐK tán ≤1,5 m</t>
  </si>
  <si>
    <t>Cây ngâu, cây tứ quý đường kính tán 1,5 m &lt; ĐK tán ≤2 m</t>
  </si>
  <si>
    <t>Cây ngâu, cây tứ quý đường kính tán 2 m &lt; ĐK tán ≤3 m</t>
  </si>
  <si>
    <t>Cây ngâu, cây tứ quý đường kính tán 3 m &lt; ĐK tán ≤4,5 m</t>
  </si>
  <si>
    <t>Cây ngâu, cây tứ quý đường kính tán 4,5 m &lt; ĐK tán ≤6 m</t>
  </si>
  <si>
    <t>Cây ngâu, cây tứ quý đường kính tán 6 m &lt; ĐK tán ≤8 m</t>
  </si>
  <si>
    <t>Cây hoa nhài</t>
  </si>
  <si>
    <t>Cây hoa nhài giống mới trồng</t>
  </si>
  <si>
    <t>Cây hoa nhài ĐK tán &gt;1,5 m</t>
  </si>
  <si>
    <t>Cây hoa nhài đường kính tán 0,5 m &lt; ĐK tán ≤1,5 m</t>
  </si>
  <si>
    <t>Cây hương thảo, tuyết sơn phi hồng</t>
  </si>
  <si>
    <t>Cây hương thảo, tuyết sơn phi hồng giống</t>
  </si>
  <si>
    <t>Cây hương thảo, tuyết sơn phi hồng ĐK tán &gt;1 m</t>
  </si>
  <si>
    <t>Cây hương thảo, tuyết sơn phi hồng đường kính tán 0,2 m &lt; ĐK tán ≤0,5 m</t>
  </si>
  <si>
    <t>Cây hương thảo, tuyết sơn phi hồng đường kính tán 0,5 m &lt; ĐK tán ≤1 m</t>
  </si>
  <si>
    <t>Cây nhàu</t>
  </si>
  <si>
    <t>Cây nhàu giống mới trồng</t>
  </si>
  <si>
    <t>Cây nhàu ĐK tán &gt; 2 m</t>
  </si>
  <si>
    <t>Cây nhàu đường kính tán 0,5 m &lt; ĐK tán ≤1 m</t>
  </si>
  <si>
    <t>Cây nhàu đường kính tán 1 m &lt; ĐK tán ≤2 m</t>
  </si>
  <si>
    <t>Cây hoa hòe</t>
  </si>
  <si>
    <t>Cây hoa hòe giống đủ tiêu chuẩn mới trồng</t>
  </si>
  <si>
    <t>Cây hoa hòe ĐK tán ≥ 12m</t>
  </si>
  <si>
    <t>Cây hoa hòe đường kính tán 0,1m &lt; ĐK tán ≤0,5m</t>
  </si>
  <si>
    <t>Cây hoa hòe đường kính tán 0,5m &lt; ĐK tán ≤ 1m</t>
  </si>
  <si>
    <t>Cây hoa hòe đường kính tán 1 m ≤ ĐK tán &lt; 1,5m</t>
  </si>
  <si>
    <t>Cây hoa hòe đường kính tán 1,5m ≤ ĐK tán &lt; 2m</t>
  </si>
  <si>
    <t>Cây hoa hòe đường kính tán 3m ≤ ĐK tán &lt; 4m</t>
  </si>
  <si>
    <t>Cây hoa hòe đường kính tán 4m ≤ ĐK tán &lt; 5m</t>
  </si>
  <si>
    <t>Cây hoa hòe đường kính tán 5m ≤ ĐK tán &lt; 6m</t>
  </si>
  <si>
    <t>Cây hoa hòe đường kính tán 6m ≤ ĐK tán &lt; 7m</t>
  </si>
  <si>
    <t>Cây hoa hòe đường kính tán 7m ≤ ĐK tán &lt; 8m</t>
  </si>
  <si>
    <t>Cây hoa hòe đường kính tán 8m ≤ ĐK tán&lt; 9m</t>
  </si>
  <si>
    <t>Cây hoa hòe đường kính tán 9m ≤ ĐK tán &lt; 12m</t>
  </si>
  <si>
    <t>Cây hoa hòe đường kính tán 2m ≤ ĐK tán &lt; 3m</t>
  </si>
  <si>
    <t>Xạ đen</t>
  </si>
  <si>
    <t>Xạ đen giống đủ tiêu chuẩn mới trồng</t>
  </si>
  <si>
    <t>Xạ đen ĐK tán ≥ 4m</t>
  </si>
  <si>
    <t>Xạ đen đường kính tán 0,1 ≤ ĐK tán &lt; 0,5m</t>
  </si>
  <si>
    <t>Xạ đen đường kính tán 0,5m  ≤ ĐK tán ≤ 1m</t>
  </si>
  <si>
    <t>Xạ đen đường kính tán 1,5m  ≤ ĐK tán &lt; 2m</t>
  </si>
  <si>
    <t>Xạ đen đường kính tán 2m  ≤  ĐK tán &lt; 3m</t>
  </si>
  <si>
    <t>Xạ đen đường kính tán 3m  ≤  ĐK tán &lt; 4m</t>
  </si>
  <si>
    <t>Xạ đen đường kính tán 1m ≤ ĐK tán &lt; 1,5m</t>
  </si>
  <si>
    <t>Cây gấc</t>
  </si>
  <si>
    <r>
      <rPr>
        <sz val="13"/>
        <rFont val="Times New Roman"/>
        <family val="1"/>
      </rPr>
      <t>Cây gấc (Tính theo m</t>
    </r>
    <r>
      <rPr>
        <vertAlign val="superscript"/>
        <sz val="13"/>
        <rFont val="Times New Roman"/>
        <family val="1"/>
      </rPr>
      <t>2</t>
    </r>
    <r>
      <rPr>
        <sz val="13"/>
        <rFont val="Times New Roman"/>
        <family val="1"/>
      </rPr>
      <t xml:space="preserve"> giàn)</t>
    </r>
  </si>
  <si>
    <t>Tính theo khóm gốc</t>
  </si>
  <si>
    <t>Cây gấc (Tính theo khóm gốc) Chiều dài dây leo L &lt; 3m</t>
  </si>
  <si>
    <t>Cây gấc (Tính theo khóm gốc) Chiều dài dây leo 3m ≤ L &lt; 10m</t>
  </si>
  <si>
    <t>Cây gấc (Tính theo khóm gốc) Chiều dài dây leo L &gt; 10m</t>
  </si>
  <si>
    <t>Tre lấy măng</t>
  </si>
  <si>
    <t>Tre lấy măng Loại 1 thân</t>
  </si>
  <si>
    <t>Tre lấy măng Loại 2-3 thân</t>
  </si>
  <si>
    <t>Tre lấy măng Loại 4-5 thân</t>
  </si>
  <si>
    <t>Cây ngũ gia bì, kim ngân</t>
  </si>
  <si>
    <t>Cây ngũ gia bì, kim ngân giống</t>
  </si>
  <si>
    <t>Cây ngũ gia bì, kim ngân đang phát triển</t>
  </si>
  <si>
    <t>Cây trúc mây, trúc nhật</t>
  </si>
  <si>
    <t>Cây trúc mây, trúc nhật giống</t>
  </si>
  <si>
    <t>Cây trúc mây, trúc nhật Khóm từ 1-2 cây</t>
  </si>
  <si>
    <t>Cây trúc mây, trúc nhật Khóm từ 3-5 cây</t>
  </si>
  <si>
    <t>Cây trúc mây, trúc nhật Khóm trên 5 cây</t>
  </si>
  <si>
    <t>Cây trúc phật bà</t>
  </si>
  <si>
    <t>Cây trúc phật bà Khóm từ 1-2 cây</t>
  </si>
  <si>
    <t>Cây trúc phật bà Khóm từ 3-5 cây</t>
  </si>
  <si>
    <t>Cây trúc phật bà Khóm trên 5 cây</t>
  </si>
  <si>
    <t>Cây trúc quân tử</t>
  </si>
  <si>
    <t>Cây trúc quân tử Khóm từ 1-2 cây</t>
  </si>
  <si>
    <t>Cây trúc quân tử Khóm từ 3-5 cây</t>
  </si>
  <si>
    <t>Cây trúc quân tử Khóm trên 5 cây</t>
  </si>
  <si>
    <t>Cây cọ</t>
  </si>
  <si>
    <t>Cây cọ giống mới trồng</t>
  </si>
  <si>
    <t>Cây cọ Cây bóc bẹ từ 1-2 lá</t>
  </si>
  <si>
    <t>Cây cọ Cây bóc bẹ từ 3-5 lá</t>
  </si>
  <si>
    <t>Cây cọ Cây bóc bẹ trên 5 lá</t>
  </si>
  <si>
    <t>Cây cau Ha Oai</t>
  </si>
  <si>
    <t>Cây cau Ha Oai giống mới trồng</t>
  </si>
  <si>
    <t>Cây cau Ha Oai Khóm 1-2 cây</t>
  </si>
  <si>
    <t>Cây cau Ha Oai Khóm trên 3-5 cây</t>
  </si>
  <si>
    <t>Cây cau Ha Oai Khóm trên 5 cây</t>
  </si>
  <si>
    <t>Cây mây, song</t>
  </si>
  <si>
    <t>Cây mây, song giống mới trồng</t>
  </si>
  <si>
    <t>Cây mây, song Cây dưới 3 năm tuối (chưa cho thu hoạch)</t>
  </si>
  <si>
    <t>Cây mây, song Cây từ 3-7 năm tuổi (bắt đầu cho thu hoạch)</t>
  </si>
  <si>
    <t>Cây mây, song Cây từ 7 năm tuổi trở lên (chiều dài thân 3-4 m)</t>
  </si>
  <si>
    <t>Cây đỗ quyên</t>
  </si>
  <si>
    <t>Cây đỗ quyên giống mới trồng</t>
  </si>
  <si>
    <t>Cây đỗ quyên đã ra hoa</t>
  </si>
  <si>
    <t>Cây cẩm tú cầu, thủy tiên</t>
  </si>
  <si>
    <t>Cây cẩm tú cầu, thủy tiên chưa có hoa</t>
  </si>
  <si>
    <t>Cây cẩm tú cầu, thủy tiên đang có hoa</t>
  </si>
  <si>
    <t>Cây vạn niên thanh</t>
  </si>
  <si>
    <t>Cây vạn niên thanh Khóm 1-2 cây</t>
  </si>
  <si>
    <t>Cây vạn niên thanh Khóm 3-5 cây</t>
  </si>
  <si>
    <t>Cây trầu bà</t>
  </si>
  <si>
    <t>Cây trầu bà Khóm 1-2 cây</t>
  </si>
  <si>
    <t>Cây trầu bà Khóm 3-5 cây</t>
  </si>
  <si>
    <t>Cây hoa ti gôn, hoa pháo</t>
  </si>
  <si>
    <t>Cây hoa ti gôn, hoa pháo chưa leo giàn</t>
  </si>
  <si>
    <t>Cây hoa ti gôn, hoa pháo đã leo giàn</t>
  </si>
  <si>
    <t>Cây hoa mào gà, cầy bóng nước</t>
  </si>
  <si>
    <t>Cây hoa mào gà, cầy bóng nước chưa có hoa</t>
  </si>
  <si>
    <t>Cây hoa mào gà, cầy bóng nước đã có hoa</t>
  </si>
  <si>
    <t>Cây dứa</t>
  </si>
  <si>
    <t>Cây dứa Chưa ra quả</t>
  </si>
  <si>
    <t>Cây dứa Đang ra quả</t>
  </si>
  <si>
    <t>Cây hoa quỳnh</t>
  </si>
  <si>
    <t>Cây hoa quỳnh chưa có hoa</t>
  </si>
  <si>
    <t>Cây hoa quỳnh có hoa</t>
  </si>
  <si>
    <t>Cây thuần tía (thài lài tía)</t>
  </si>
  <si>
    <t>Cây thuần tía (thài lài tía) mới trồng</t>
  </si>
  <si>
    <t>Cây thuần tía (thài lài tía) trưởng thành</t>
  </si>
  <si>
    <t>Cây bỏng, cây xác pháo</t>
  </si>
  <si>
    <t>Cây bỏng, cây xác pháo Cây non</t>
  </si>
  <si>
    <t>Cây bỏng, cây xác pháo đã ra hoa</t>
  </si>
  <si>
    <t>Cây sống đời (cây phát lộc)</t>
  </si>
  <si>
    <t>Cây sống đời (cây phát lộc) cây non</t>
  </si>
  <si>
    <t>Cây sống đời (cây phát lộc) đã ra hoa</t>
  </si>
  <si>
    <t>Cây sử quân tử</t>
  </si>
  <si>
    <t>Cây sử quân tử giống</t>
  </si>
  <si>
    <t>Cây sử quân tử có hoa</t>
  </si>
  <si>
    <t>Cây xương rồng</t>
  </si>
  <si>
    <t>Cây xương rồng Chưa ra hoa</t>
  </si>
  <si>
    <t>Cây xương rồng đã ra hoa</t>
  </si>
  <si>
    <t>Cây thuốc: bạch chỉ, cau xi, địa liền, ngưu tất, sa nhân, bồ công anh, mã đề, diệp hạ châu (chó đẻ), cầy thuốc Băc, thuốc Nam các loại</t>
  </si>
  <si>
    <t>Cây thuốc: bạch chỉ, cau xi, địa liền, ngưu tất, sa nhân, bồ công anh, mã đề, diệp hạ châu (chó đẻ), cầy thuốc Băc, thuốc Nam các loại chưa trưởng thành</t>
  </si>
  <si>
    <t>Cây thuốc: bạch chỉ, cau xi, địa liền, ngưu tất, sa nhân, bồ công anh, mã đề, diệp hạ châu (chó đẻ), cầy thuốc Băc, thuốc Nam các loại trưởng thành</t>
  </si>
  <si>
    <t>Cây mơ lông</t>
  </si>
  <si>
    <t>Cây mơ lông giống</t>
  </si>
  <si>
    <t>Cây mơ lông trưởng thành</t>
  </si>
  <si>
    <t>Cây trầu không</t>
  </si>
  <si>
    <t>Cây trầu không giống</t>
  </si>
  <si>
    <t>Cây tầm bỏi</t>
  </si>
  <si>
    <t>Cây tầm bỏi giống</t>
  </si>
  <si>
    <t>Cây tầm bỏi trưởng thành</t>
  </si>
  <si>
    <t>Cây nha đam</t>
  </si>
  <si>
    <t>Cây ráng làm chổi</t>
  </si>
  <si>
    <t>Cây nha đam giống</t>
  </si>
  <si>
    <t>Cây nha đam trưởng thành</t>
  </si>
  <si>
    <t>Cây giống đào, hoa cảnh</t>
  </si>
  <si>
    <t>Cây giống đào, hoa cảnh Gieo, ươm hạt thành luông chưa ghép</t>
  </si>
  <si>
    <t>Cây giống đào, hoa cảnh Gieo, ươm hạt thành luống đã ghép</t>
  </si>
  <si>
    <t>Cây giống đào hoa cảnh đã ghép đủ tiêu chuẩn</t>
  </si>
  <si>
    <t>Cây giống lộc vừng, sanh, si</t>
  </si>
  <si>
    <t>Cây giống lộc vừng, sanh, si gieo ươm từ hạt</t>
  </si>
  <si>
    <t>Cây giống lộc vừng, sanh, si Giống ươm gieo hạt chiều cao cây H &lt;  20cm</t>
  </si>
  <si>
    <t>Cây giống lộc vừng, sanh, si Giống ươm gieo hạt chiều cao cây H &gt; 20cm</t>
  </si>
  <si>
    <t>Cây giống lộc vừng, sanh, si Từ cây ươm gieo hạt tách ra đựng trong bầu nilong hoặc trồng thành luống</t>
  </si>
  <si>
    <t>Cây giống lộc vừng, sanh, si Chiều cao cây 50cm ≤ H &lt; 70cm</t>
  </si>
  <si>
    <t>Cây giống lộc vừng, sanh, si Chiều cao cây 20cm ≤ H &lt; 50cm</t>
  </si>
  <si>
    <t>Cây giống lộc vừng, sanh, si Chiều cao cây 70cm ≤ H &lt;100cm</t>
  </si>
  <si>
    <t>Cây giống cau cảnh</t>
  </si>
  <si>
    <t>Cây giống cau cảnh gieo ươm từ hạt</t>
  </si>
  <si>
    <t>Cây giống cau cảnh Giống ươm gieo hạt thành luống, vạt chiều cao cây H &lt; 20cm</t>
  </si>
  <si>
    <t>Cây giống cau cảnh Giống ươm gieo hạt thành luống, vạt chiều cao cây H ≥ 20cm</t>
  </si>
  <si>
    <t>Cây giống cau cảnh Từ cây ươm gieo hạt tách ra đựng trong bầu nilong hoặc trồng thành luống Chiều cao cây H &lt; 20cm</t>
  </si>
  <si>
    <t>Cây giống cau cảnh Chiều cao cây 20cm ≤ H &lt; 50cm</t>
  </si>
  <si>
    <t>Cây giống cau cảnh Chiều cao cây H ≥ 50cm</t>
  </si>
  <si>
    <r>
      <rPr>
        <b/>
        <sz val="13"/>
        <rFont val="Times New Roman"/>
        <family val="1"/>
      </rPr>
      <t>Đào thế (</t>
    </r>
    <r>
      <rPr>
        <sz val="13"/>
        <rFont val="Times New Roman"/>
        <family val="1"/>
      </rPr>
      <t>đào trồng trên đát đã được chuyển mục đích theo quy định, bao gồm: Đào cây, các loại cây khác trồng xen canh, bể chứa nước, bể chứa phân.. .tính trên diện tích 1 sào =360m2)</t>
    </r>
  </si>
  <si>
    <t>Thanh long</t>
  </si>
  <si>
    <t>Thanh long giống Cành mới ươm chưa ra rễ</t>
  </si>
  <si>
    <t>Thanh long Cây ươm đã ra rễ và mầm, thời gian trồng &lt;01 tháng</t>
  </si>
  <si>
    <t>Thanh long Cây ươm đã ra rê và mâm, từ 01 tháng đên &lt; 02 tháng</t>
  </si>
  <si>
    <t>Thanh long Cây ươm đã ra rễ và mầm, thời gian trồng ≥ 02 tháng</t>
  </si>
  <si>
    <t>Cây giống cây ăn quả</t>
  </si>
  <si>
    <t>Loại ươm gieo hạt (thành luống, dảnh)</t>
  </si>
  <si>
    <t>Cây giống cây ăn quả, Loại ươm gieo hạt (thành luống, dảnh) Chiều cao cây H &lt; 20cm</t>
  </si>
  <si>
    <t>Cây giống cây ăn quả, Loại ươm gieo hạt (thành luống, dảnh Chiều cao cây H ≥ 20cm</t>
  </si>
  <si>
    <t>Cây giống vải, nhãn, doi, bưởi, thị, na, xoài, muỗm, quéo, trứng gà, sấu, táo, ổi, chay, me, khế, mận, mơ (từ cây ươm gieo hạt, đựng trong bầu nilon hoặc trồng thành luống chưa ghép) Chiều cao cây H &lt; 40cm</t>
  </si>
  <si>
    <t>Cây giống vải, nhãn, doi, bưởi, thị, na, xoài, muỗm, quéo, trứng gà, sấu, táo, ổi, chay, me, khế, mận, mơ (từ cây ươm gieo hạt, đựng trong bầu nilon hoặc trồng thành luống chưa ghép) Chiều cao cây 40cm ≤ H &lt; 100cn</t>
  </si>
  <si>
    <t>Cây giống vải, nhãn, doi, bưởi, thị, na, xoài, muỗm, quéo, trứng gà, sấu, táo, ổi, chay, me, khế, mận, mơ (từ cây ươm gieo hạt, đựng trong bầu nilon hoặc trồng thành luống chưa ghép) Chiều cao cây H  ≥ 100cm</t>
  </si>
  <si>
    <t>Cây giống vải, nhãn, cam, bưởi, táo, ổi, khế (gieo hạt ươm thành luống đã ghép) Chiều cao cây H &lt; 40cm</t>
  </si>
  <si>
    <t>Cây giống vải, nhãn, cam, bưởi, táo, ổi, khế (gieo hạt ươm thành luống đã ghép) Chiều cao cây 40cm ≤ H &lt; 100cm</t>
  </si>
  <si>
    <t>Cây giống vải, nhãn, cam, bưởi, táo, ổi, khế (gieo hạt ươm thành luống đã ghép) Chiều cao cây H ≥ 100cm</t>
  </si>
  <si>
    <t>Cây giống vải, nhãn, cam, bưởi, doi, hông xiêm ... đang chiết cành (đã có rễ) chưa đem trồng</t>
  </si>
  <si>
    <t>Giống Vải, Nhãn đã chiết cành, đã đem dâm ra vườn</t>
  </si>
  <si>
    <t>Giống Vải, Nhãn đã chiết cành, đã đem dâm ra vườn Chiều cao cây H &lt; 40cm</t>
  </si>
  <si>
    <t>Giống Vải, Nhãn đã chiết cành, đã đem dâm ra vườn Chiều cao cây 40cm ≤ H &lt; 1,0m</t>
  </si>
  <si>
    <t>Giống Vải, Nhãn đã chiết cành, đã đem dâm ra vườn Chiều cao cây H ≥ l,0m</t>
  </si>
  <si>
    <t>Cây giống cây lấy gỗ, cây lấy lá...ươm gieo hạt thành luống, vạt</t>
  </si>
  <si>
    <t>Cây giống cây lấy gỗ, cây lấy lá...ươm gieo hạt thành luống, vạt Chiều cao cây H &lt; 20cm</t>
  </si>
  <si>
    <t>Cây giống cây lấy gỗ, cây lấy lá...ươm gieo hạt thành luống, vạt Chiều cao cây H &gt; 20cm</t>
  </si>
  <si>
    <t>Cây cảnh trồng trong chậu (tính chi phí di chuyển cả cây và chậu)</t>
  </si>
  <si>
    <t>Di chuyển Chậu có đường kính &lt; 0,5m</t>
  </si>
  <si>
    <t>Di chuyển Chậu có đường kính 0,5m ≤ ĐK &lt; 0,7m</t>
  </si>
  <si>
    <t>Di chuyển Chậu có đường kính 0,7m ≤ ĐK &lt; 1m</t>
  </si>
  <si>
    <t>Di chuyển Chậu có đường kính 1m ≤ ĐK &lt; 1,5m</t>
  </si>
  <si>
    <t>Di chuyển Chậu có đường kính ≥ 1,5m</t>
  </si>
  <si>
    <t xml:space="preserve">         Hội đồng bồi thường, hỗ trợ và tái định cư xã lập phương án bồi thường, hỗ trợ cụ thể như sau:</t>
  </si>
  <si>
    <t>cây</t>
  </si>
  <si>
    <t>Tài sản (nhà ở, công trình phục vụ sinh hoạt).</t>
  </si>
  <si>
    <t>Làm tròn số:</t>
  </si>
  <si>
    <t xml:space="preserve">Cây cối, hoa màu </t>
  </si>
  <si>
    <t>Không có</t>
    <phoneticPr fontId="0" type="noConversion"/>
  </si>
  <si>
    <t>Cây mẫu đơn ta có ĐK tán &lt; 1m, gốc có 5-7 nhánh</t>
  </si>
  <si>
    <t>Cây cau lợn cọ (độ cao bóc bẹ)  H &lt; 15 cm</t>
  </si>
  <si>
    <t>Cây cau lợn cọ (độ cao bóc bẹ) 15 cm &lt; H ≤ 30 cm</t>
  </si>
  <si>
    <t>Cây cau lợn cọ (độ cao bóc bẹ) H &gt; 90 cm</t>
  </si>
  <si>
    <t>Cây cau lợn cọ (độ cao bóc bẹ) 75 cm &lt; H ≤ 90 cm</t>
  </si>
  <si>
    <t>Cây cau lợn cọ (độ cao bóc bẹ)  60 cm &lt; H ≤ 75 cm</t>
  </si>
  <si>
    <t>Cây cau lợn cọ (độ cao bóc bẹ)  45 cm &lt; H ≤ 60 cm</t>
  </si>
  <si>
    <t>Cây cau lợn cọ (độ cao bóc bẹ) 30 cm &lt; H ≤ 45 cm</t>
  </si>
  <si>
    <t>UBND XÃ HÀ NAM</t>
  </si>
  <si>
    <t>Số:      /PABT,HT</t>
  </si>
  <si>
    <t>KHI THU HỒI ĐẤT ĐỂ GPMB THỰC HIỆN DỰ ÁN: CẢI TẠO, NÂNG CẤP ĐƯỜNG HUYỆN CẨM CHẾ - THANH XUÂN ĐOẠN TỪ Km0+00 ĐẾN Km9+016</t>
  </si>
  <si>
    <t>Hà Nam, ngày     tháng    năm 2025</t>
  </si>
  <si>
    <t xml:space="preserve">         Thực hiện Kế hoạch số 105/KH-UBND ngày 12 tháng 11 năm 2025 về việc thu hồi đất, điều tra, khảo sát, đo đạc, kiểm đếm để GPMB thực hiện dự án: Cải tạo, nâng cấp đường huyện Cẩm Chế - Thanh Xuân đoạn từ Km0+00 đến Km9+016.</t>
  </si>
  <si>
    <t xml:space="preserve">BAN QLDA ĐTXD KHU VỰC THANH HÀ </t>
  </si>
  <si>
    <t>NGƯỜI LẬP</t>
  </si>
  <si>
    <t>PHÓ GIÁM ĐỐC</t>
  </si>
  <si>
    <t>Bùi Anh Tuấn</t>
  </si>
  <si>
    <t>PHÒNG KINH TẾ</t>
  </si>
  <si>
    <t>HỘI ĐỒNG BT, HT&amp;TĐC XÃ</t>
  </si>
  <si>
    <t>NGƯỜI KIỂM TRA     TRƯỞNG PHÒNG</t>
  </si>
  <si>
    <t>PHÓ CHỦ TỊCH TT UBND XÃ</t>
  </si>
  <si>
    <t>Nguyễn Thị Huệ</t>
  </si>
  <si>
    <t xml:space="preserve"> Đỗ Thị Huy               Tiêu Hoàng Trung</t>
  </si>
  <si>
    <t>Địa chỉ: Thôn Văn Mạc, xã Hà Nam, thành phố Hải Phòng</t>
  </si>
  <si>
    <r>
      <t>m</t>
    </r>
    <r>
      <rPr>
        <vertAlign val="superscript"/>
        <sz val="12"/>
        <rFont val="Times New Roman"/>
        <family val="1"/>
      </rPr>
      <t>2</t>
    </r>
  </si>
  <si>
    <t>m3</t>
  </si>
  <si>
    <t>kg</t>
  </si>
  <si>
    <t>Họ và tên chủ hộ: Mạc Văn Tuấn (SĐT: )</t>
  </si>
  <si>
    <t>Bồi thường Đất ở nông thôn (ONT); vị trí 1</t>
  </si>
  <si>
    <t>Tường xây gạch papanh: 6,0*1,4*0,15</t>
  </si>
  <si>
    <t>Dây thép gai: 6,0*0,7</t>
  </si>
  <si>
    <t>Cột BTCT: 0,15*0,10*0,7*4</t>
  </si>
  <si>
    <t>*</t>
  </si>
  <si>
    <t>Họ và tên chủ hộ: Lý Thị Diễm - Lê Văn Mười (SĐT: )</t>
  </si>
  <si>
    <t>Tường xây gạch chỉ: 2,2*0,8*0,11</t>
  </si>
  <si>
    <t>Trụ cổng xây gạch chỉ: (0,3*0,4*2,3)*2</t>
  </si>
  <si>
    <t>Tường xây gạch chỉ 110: 0,4*1,6*0,11</t>
  </si>
  <si>
    <t>Họ và tên chủ hộ: Mạc Thị Truân (SĐT: )</t>
  </si>
  <si>
    <t>Lan can sắt đặc: 2,2*1,3</t>
  </si>
  <si>
    <t>Cổng thép hộp: 1,8*1,8</t>
  </si>
  <si>
    <t>Đất đai: Thửa đất số 76, tờ bản đồ số 17, diện tích thực hiện dự án 0,6 m2, diện tích giao hợp pháp …..m2</t>
  </si>
  <si>
    <t>Đất đai: Thửa đất số 81, tờ bản đồ số 17, diện tích thực hiện dự án 27,3 m2, diện tích giao hợp pháp …..m2</t>
  </si>
  <si>
    <t>Tường xây gạch chỉ 110: 1,5*14*0,11</t>
  </si>
  <si>
    <t>Họ và tên chủ hộ: Nguyễn Thị Đào (SĐT: 0343264485)</t>
  </si>
  <si>
    <t>Đất đai: Thửa đất số 103, tờ bản đồ số 17, diện tích thực hiện dự án 5,9 m2, diện tích giao hợp pháp …..m2</t>
  </si>
  <si>
    <t>Tường xây gạch chỉ 110: 5,2*1,3*0,11</t>
  </si>
  <si>
    <t>Họ và tên chủ hộ: Phạm Hùng Sơn - Nguyễn Thị Phượng (SĐT: 0353716875)</t>
  </si>
  <si>
    <t>Đất đai: Thửa đất số 104, tờ bản đồ số 17, diện tích thực hiện dự án 4,7 m2, diện tích giao hợp pháp …..m2</t>
  </si>
  <si>
    <t>Tường xây gạch chỉ 110: (6,5*0,6*0,11)+(2,5*0,6*0,11)+(4,3*1,3*0,11)</t>
  </si>
  <si>
    <t>Mái tôn xà gồ, vì kèo sắt: 4,3*4,8</t>
  </si>
  <si>
    <t>Rèm tôn: 0,6*(4,3*2+4,8)</t>
  </si>
  <si>
    <t>Hàng rào sắt: 7,0*1,0</t>
  </si>
  <si>
    <t>Cổng sắt: 1,5*2,4</t>
  </si>
  <si>
    <t>Nền BTXM: 4,8*3,0*0,1</t>
  </si>
  <si>
    <t>Họ và tên chủ hộ: Nguyễn Thị Hạnh (SĐT: 0339962276)</t>
  </si>
  <si>
    <t>Đất đai: Thửa đất số 106, tờ bản đồ số 17, diện tích thực hiện dự án 5,7 m2, diện tích giao hợp pháp …..m2</t>
  </si>
  <si>
    <t>Mái tôn xà gồ, vì kèo sắt: 5,0*3,5</t>
  </si>
  <si>
    <t>Tường xây gạch chỉ 220: 8,8*2,5*0,22</t>
  </si>
  <si>
    <t>Rèm tôn: 0,4*5,0</t>
  </si>
  <si>
    <t>Cửa xếp sắt có áo tôn: 3,8*2,5</t>
  </si>
  <si>
    <t>Lát nền gạch lá nem: 3,5*4,6</t>
  </si>
  <si>
    <t>Hàng rào sắt vuông: (1,2*3,5)*2</t>
  </si>
  <si>
    <t>Họ và tên chủ hộ: Lê Thị Thắm (SĐT: 0377128389)</t>
  </si>
  <si>
    <t>Đất đai: Thửa đất số 110, tờ bản đồ số 17, diện tích thực hiện dự án 22,2 m2, diện tích giao hợp pháp …..m2</t>
  </si>
  <si>
    <t>Tường xây gạch chỉ 110: (9*1,5*0,11)+(1,1*0,9*0,11)+(1,2*0,8*0,11)</t>
  </si>
  <si>
    <t>Tường xây gạch chỉ 220: 2,3*2,7*0,22</t>
  </si>
  <si>
    <t>Mái tôn lạnh xà gồ, vì kèo sắt: 2,0*5,8</t>
  </si>
  <si>
    <t>Sân BTXM: 2,0*5,8*0,1</t>
  </si>
  <si>
    <t>Cổng sắt: 2,2*3,9</t>
  </si>
  <si>
    <t>Hàng rào sắt: (0,5*6,0)+(1,1*1,2)</t>
  </si>
  <si>
    <t>Rèm tôn: (2*2+5,8)*0,5</t>
  </si>
  <si>
    <t>Đất đai: Thửa đất số 114, tờ bản đồ số 17, diện tích thực hiện dự án 13,9 m2, diện tích giao hợp pháp …..m2</t>
  </si>
  <si>
    <t>Tường xây gạch chỉ 110: 1,7*1,7*0,11</t>
  </si>
  <si>
    <t>Tường xây gạch chỉ 220: 3,7*1,7*0,22</t>
  </si>
  <si>
    <t>Trụ cổng xây gạch chỉ : 0,2*0,2*1,7</t>
  </si>
  <si>
    <t>Cổng sắt: 1,5*1,5</t>
  </si>
  <si>
    <t>Sân BTXM: 3m2*0,1</t>
  </si>
  <si>
    <t>Họ và tên chủ hộ: Phạm Văn Mong (Đại diện gia đình) (SĐT: )</t>
  </si>
  <si>
    <t>Họ và tên chủ hộ: Phạm Văn Mong (Đại diện gia đình)
Vũ Thị Tươi (Tài sản trên đất) (SĐT: 0869736132)</t>
  </si>
  <si>
    <t>Tường xây gạch chỉ 110: 3,1*1,5*0,11</t>
  </si>
  <si>
    <t>Trụ cổng xây gạch chỉ : (0,4*0,5*1,8)*2</t>
  </si>
  <si>
    <t>Cổng sắt: 2,0*1,6</t>
  </si>
  <si>
    <t>Sân BTXM: 1,3*5,5*0,1</t>
  </si>
  <si>
    <t>Họ và tên chủ hộ: Mạc Minh Tùng (SĐT: 0917214222)</t>
  </si>
  <si>
    <t>Đất đai: Thửa đất số 133, tờ bản đồ số 17, diện tích thực hiện dự án 6,3 m2, diện tích giao hợp pháp …..m2</t>
  </si>
  <si>
    <t>Tường xây gạch chỉ 110: 0,9*1,2*0,11</t>
  </si>
  <si>
    <t>Mái tôn xà gồ sắt: 1,2*4</t>
  </si>
  <si>
    <t>Tường xây gạch chỉ 110: 1*2*3,2*0,11</t>
  </si>
  <si>
    <t>Tường xây gạch chỉ 220: 0,85*2*3,2*0,22</t>
  </si>
  <si>
    <t>Mái tôn xà gồ sắt: 4,2*2,0</t>
  </si>
  <si>
    <t>Rèm tôn: 4,2*0,5</t>
  </si>
  <si>
    <t xml:space="preserve">Cửa xếp có áo tôn: 3,7*2,6                                                       </t>
  </si>
  <si>
    <t>Ốp gạch ceramic: 0,85*1,8</t>
  </si>
  <si>
    <t>Lát gạch lá nem: 1,0*4,2</t>
  </si>
  <si>
    <t>Sân BTXM: (1,3*4,0*0,1)+(4,2*1,0*0,1)</t>
  </si>
  <si>
    <t>Họ và tên chủ hộ: Mạc Văn Nhì (SĐT: 0399214665)</t>
  </si>
  <si>
    <t>Đất đai: Thửa đất số 138, tờ bản đồ số 17, diện tích thực hiện dự án 4,8 m2, diện tích giao hợp pháp …..m2</t>
  </si>
  <si>
    <t>Tường xây gạch chỉ 110: (7,8*2,8*0,11)+(0,5*1,5*0,11)*2</t>
  </si>
  <si>
    <t>Mái tôn lạnh xà gồ sắt: 3,5*4,6</t>
  </si>
  <si>
    <t>Cửa xếp có áo tôn: 4,0*2,8</t>
  </si>
  <si>
    <t>Sân BTXM: (4,5*3,0*0,1)+(4,5*1,8*0,1)</t>
  </si>
  <si>
    <t>Họ và tên chủ hộ: Phạm Văn Vượng (SĐT: )</t>
  </si>
  <si>
    <t>Đất đai: 
- Thửa đất số 146, tờ bản đồ số 17, diện tích thực hiện dự án 12,9 m2, diện tích giao hợp pháp …..m2
- Thửa đất số 147, tờ bản đồ số 17, diện tích thực hiện dự án 6,8 m2, diện tích giao hợp pháp …..m2</t>
  </si>
  <si>
    <t>Bồi thường Đất ở nông thôn (ONT); thửa 146, vị trí 1</t>
  </si>
  <si>
    <t>Sân BTXM: (8,3+11)*2,3*0,1</t>
  </si>
  <si>
    <t>Tường xây gạch chỉ 110: (1,1+1,3)*1,3*0,11</t>
  </si>
  <si>
    <t>Rèm tôn: 0,4*11</t>
  </si>
  <si>
    <t>Mái tôn xà gồ vì kèo sắt: 11*2,4</t>
  </si>
  <si>
    <t>Họ và tên chủ hộ: Lê Văn Thắng (SĐT: 0343386765)</t>
  </si>
  <si>
    <t>Đất đai: Thửa đất số 148, tờ bản đồ số 17, diện tích thực hiện dự án 7,6 m2, diện tích giao hợp pháp …..m2</t>
  </si>
  <si>
    <t>Tường xây gạch papanh: 2,45*0,6*0,15</t>
  </si>
  <si>
    <t>Sân BTXM: 4,0*4,5*0,1</t>
  </si>
  <si>
    <t>Mái tôn xà gồ, vì kèo sắt: 1,4*4,5</t>
  </si>
  <si>
    <t>Họ và tên chủ hộ: Mạc Quang Lâm (SĐT: )</t>
  </si>
  <si>
    <t>Đất đai: Thửa đất số 225, tờ bản đồ số 17, diện tích thực hiện dự án 6,4 m2, diện tích giao hợp pháp …..m2</t>
  </si>
  <si>
    <t>Tường xây gạch chỉ 110: 2,8*0,8*0,11</t>
  </si>
  <si>
    <t>Trụ xây gạch chỉ : (0,2*0,2*0,8)*2</t>
  </si>
  <si>
    <t>Hàng rào sắt: 2,4*1,0</t>
  </si>
  <si>
    <t>Cổng sắt: 2,3*1,7</t>
  </si>
  <si>
    <t>Cột típ D10: 1m*3c</t>
  </si>
  <si>
    <t>Lưới B40</t>
  </si>
  <si>
    <t>Sân BTXM: 5,4*2,4*0,1</t>
  </si>
  <si>
    <t>Họ và tên chủ hộ: Mạc Minh Đức - Bùi Thị Nhung (SĐT: 0388995558)</t>
  </si>
  <si>
    <t>Đất đai: Thửa đất số 226, tờ bản đồ số 17, diện tích thực hiện dự án 11,2 m2, diện tích giao hợp pháp …..m2</t>
  </si>
  <si>
    <t>Mái tôn lạnh xà gồ sắt: 4,9*1,4</t>
  </si>
  <si>
    <t>Sân BTXM: 2,2*4,9*0,1</t>
  </si>
  <si>
    <t>Tường xây gạch chỉ 110: 0,5*0,5*0,11</t>
  </si>
  <si>
    <t>Tường xây gạch chỉ 220: 0,7*1,3*0,22</t>
  </si>
  <si>
    <t>Hàng rào sắt: 1,8*1,25</t>
  </si>
  <si>
    <t>Mái tôn xà gồ sắt: 1,4*2,9</t>
  </si>
  <si>
    <t>Sân BTXM: 2,2*2,9*0,1</t>
  </si>
  <si>
    <t>Cổng sắt: 2,0*1,3</t>
  </si>
  <si>
    <t>Họ và tên chủ hộ: Mạc Thị Thuê (SĐT: 0399626584)</t>
  </si>
  <si>
    <t>Đất đai: Thửa đất số 249, tờ bản đồ số 17, diện tích thực hiện dự án 7,2 m2, diện tích giao hợp pháp …..m2</t>
  </si>
  <si>
    <t>Tường xây gạch chỉ 110: 1,7*0,8*0,11</t>
  </si>
  <si>
    <t>Họ và tên chủ hộ: Mạc Văn Luyên (SĐT: 0912659684)</t>
  </si>
  <si>
    <t>Đất đai: Thửa đất số 250, tờ bản đồ số 17, diện tích thực hiện dự án 7,6 m2, diện tích giao hợp pháp …..m2</t>
  </si>
  <si>
    <t>Ốp Alumex: (1,2*3,0)*2</t>
  </si>
  <si>
    <t>Rãnh chống rung:</t>
  </si>
  <si>
    <t>Vách nhôm kính: 3,0*2,0</t>
  </si>
  <si>
    <t>Lát gạch lá nem: 3,4*1,3</t>
  </si>
  <si>
    <t>Trụ xây gạch chỉ : (0,6*0,6*3,8)*2+(0,5*0,4*3,8)</t>
  </si>
  <si>
    <t>Tường xây gạch chỉ 110: 1,0*2*3,8*0,11</t>
  </si>
  <si>
    <t>Cửa kính cường lực: 3,0*2,7</t>
  </si>
  <si>
    <t>Họ và tên chủ hộ: Vương Văn Kiếm (SĐT: )</t>
  </si>
  <si>
    <t>Đất đai: Thửa đất số 251, tờ bản đồ số 17, diện tích thực hiện dự án 17,8 m2, diện tích giao hợp pháp …..m2</t>
  </si>
  <si>
    <t>Tường xây gạch chỉ 110: (3,5*0,9*0,11)+(4,5*1,45*0,11)</t>
  </si>
  <si>
    <t>Hàng rào sắt: 0,9*3,5</t>
  </si>
  <si>
    <t>Hàng rào sắt: 0,5*4,5</t>
  </si>
  <si>
    <t>Trụ cổng xây gạch chỉ : (0,74*0,37*2,1)*2</t>
  </si>
  <si>
    <t xml:space="preserve">Cổng inox: </t>
  </si>
  <si>
    <t>Thanh inox 304 (40*80): (4,2+1,35)*2</t>
  </si>
  <si>
    <t>Thanh inox 304 (40*20): (2,2*10)*2</t>
  </si>
  <si>
    <t>Lát gạch lá nem: 2,15*7,6</t>
  </si>
  <si>
    <t>Ốp trụ cổng gạch ceramic: ((0,74+0,37)*2*2,1)*2</t>
  </si>
  <si>
    <t>Họ và tên chủ hộ: Phạm Văn Việt (SĐT: )</t>
  </si>
  <si>
    <t>Tường xây gạch chỉ 110: 5,2*1,9*0,11</t>
  </si>
  <si>
    <t>Trụ xây gạch chỉ: (0,22*0,22*1,9)*4</t>
  </si>
  <si>
    <t>Thanh inox 304 (20*40): (2*6)*4</t>
  </si>
  <si>
    <t>Thanh inox 304 (40*40): (8*2,2)*2</t>
  </si>
  <si>
    <t>Thanh inox 304 (60*30): 3,8m</t>
  </si>
  <si>
    <t>Sân BTXM: 2,8*10,5*0,1</t>
  </si>
  <si>
    <t>Họ và tên chủ hộ: Dương Văn Chức (SĐT: 0364813507)</t>
  </si>
  <si>
    <t>Đất đai: Thửa đất số 255, tờ bản đồ số 17, diện tích thực hiện dự án 2,2 m2, diện tích giao hợp pháp …..m2</t>
  </si>
  <si>
    <t>Sân BTXM: 4,0*2,5*0,1</t>
  </si>
  <si>
    <t>Họ và tên chủ hộ: Mạc Thị Hận (SĐT: )</t>
  </si>
  <si>
    <t>Đất đai: Thửa đất số 256, tờ bản đồ số 17, diện tích thực hiện dự án 2,0 m2, diện tích giao hợp pháp …..m2</t>
  </si>
  <si>
    <t>Tường xây gạch chỉ 110: 3,0*1,3*0,11</t>
  </si>
  <si>
    <t>Trụ xây gạch chỉ: 0,4*0,5*2,0</t>
  </si>
  <si>
    <t>Sân BTXM: 4,3*2,0*0,1</t>
  </si>
  <si>
    <t>Họ và tên chủ hộ: Mạc Văn Kiên (SĐT: )</t>
  </si>
  <si>
    <t>Đất đai: Thửa đất số 257, tờ bản đồ số 17, diện tích thực hiện dự án 2,4 m2, diện tích giao hợp pháp …..m2</t>
  </si>
  <si>
    <t>Tường xây gạch chỉ 110: 1,0*0,5*0,11</t>
  </si>
  <si>
    <t>Sân BTXM: 3,1*4,8*0,1</t>
  </si>
  <si>
    <t>Đất đai: Thửa đất số 258, tờ bản đồ số 17, diện tích thực hiện dự án 3,3 m2, diện tích giao hợp pháp …..m2</t>
  </si>
  <si>
    <t>Tường xây gạch chỉ 110: 1,0*1,1*0,11</t>
  </si>
  <si>
    <t>Sân BTXM: 2,2*4,8*0,1</t>
  </si>
  <si>
    <t>Mái tôn xà gồ sắt: 4,8*2,2</t>
  </si>
  <si>
    <t>Rèm tôn: 0,3*2,2</t>
  </si>
  <si>
    <t>Họ và tên chủ hộ: Vương Văn Ngọc (SĐT: )</t>
  </si>
  <si>
    <t>Đất đai: Thửa đất số 259, tờ bản đồ số 17, diện tích thực hiện dự án 4,1 m2, diện tích giao hợp pháp …..m2</t>
  </si>
  <si>
    <t>Tường xây gạch chỉ 110: 33,0*1,55*0,11</t>
  </si>
  <si>
    <t>Họ và tên chủ hộ: Vương Thị Xuân (SĐT: )</t>
  </si>
  <si>
    <t>Đất đai: Thửa đất số 260, tờ bản đồ số 17, diện tích thực hiện dự án 7,1 m2, diện tích giao hợp pháp …..m2</t>
  </si>
  <si>
    <t>Họ và tên chủ hộ: Vương Văn Hiển (SĐT: )</t>
  </si>
  <si>
    <t>Đất đai: Thửa đất số 261, tờ bản đồ số 17, diện tích thực hiện dự án 11,2 m2, diện tích giao hợp pháp …..m2</t>
  </si>
  <si>
    <t>Họ và tên chủ hộ: Mạc Văn Thạch (SĐT: 0384912156)</t>
  </si>
  <si>
    <t>Tường xây gạch chỉ 110: 1,3*1,8*0,11</t>
  </si>
  <si>
    <t>Trụ tường xây gạch chỉ: 0,22*0,22*2,0</t>
  </si>
  <si>
    <t>Sắt hộp (60*30): 4,5*2</t>
  </si>
  <si>
    <t>Tường xây gạch chỉ 110: 5,5*2,1*0,11</t>
  </si>
  <si>
    <t>Sân BTXM: 3,2*2,3*0,1</t>
  </si>
  <si>
    <t>Tôn ốp: 1,8*1,5</t>
  </si>
  <si>
    <t>Họ và tên chủ hộ: Mạc Thị Hà (SĐT: )</t>
  </si>
  <si>
    <t>Đất đai: Thửa đất số 54, tờ bản đồ số 20, diện tích thực hiện dự án 4,4 m2, diện tích giao hợp pháp …..m2</t>
  </si>
  <si>
    <t>Tường xây gạch chỉ 110: 1,1*1,1*0,11</t>
  </si>
  <si>
    <t>Họ và tên chủ hộ: Mạc Văn Luật (SĐT: 0377632575)</t>
  </si>
  <si>
    <t>Đất đai: Thửa đất số 55, tờ bản đồ số 20, diện tích thực hiện dự án 1,3 m2, diện tích giao hợp pháp …..m2</t>
  </si>
  <si>
    <t>Tường xây gạch chỉ 110: 5,2*1,4*0,11</t>
  </si>
  <si>
    <t>Hàng rào Inox 304 thanh (40*20): (0,9*38)+(5,0*2)*2</t>
  </si>
  <si>
    <t>Hàng rào Inox 304 thanh (15*15): 0,8*35</t>
  </si>
  <si>
    <t>Mái tôn lạnh xà gồ sắt, vì kèo sắt: 1,0*4,8</t>
  </si>
  <si>
    <t>Rèm tôn: 0,5*6,0</t>
  </si>
  <si>
    <t>Họ và tên chủ hộ: Mạc Văn Thách (SĐT: )</t>
  </si>
  <si>
    <t>Mái tôn xà gồ, vì kèo sắt: 2,0*10,5</t>
  </si>
  <si>
    <t>Tường xây gạch chỉ 110: 0,9*1*0,11</t>
  </si>
  <si>
    <t>Tôn ốp: (1,2*3,0)+(2,3*1,0)</t>
  </si>
  <si>
    <t>Rèm tôn: 0,3*10,5</t>
  </si>
  <si>
    <t>Sân BTXM: 10,3*1,0*0,15</t>
  </si>
  <si>
    <t>Cột thép tròn D80: 3,3m</t>
  </si>
  <si>
    <t>Trụ cổng xây gạch chỉ: (0,5*0,5*2,5)*2</t>
  </si>
  <si>
    <t>Ốp đá trụ cổng: (2*2,5)*2</t>
  </si>
  <si>
    <t>Trụ tường xây gạch chỉ: 0,22*0,22*1,9*5</t>
  </si>
  <si>
    <t>Hàng rào Inox 304 thanh (40*20): ((16*0,9)+(2,7*2))*3</t>
  </si>
  <si>
    <t>Cổng Inox:</t>
  </si>
  <si>
    <t>Inox 304 thanh (40*20): (7*2,3+5*1,2)*2</t>
  </si>
  <si>
    <t>Inox 304 thanh (40*80): (1*1,2+2*2,5)*2</t>
  </si>
  <si>
    <t>Tường xây gạch chỉ 110: 0,9*6,8*0,11</t>
  </si>
  <si>
    <t>Lát gạch đỏ: 1,5m2</t>
  </si>
  <si>
    <t>Họ và tên chủ hộ: Lương Xuân Chính (SĐT: )</t>
  </si>
  <si>
    <t>Đất đai: Thửa đất số 117, tờ bản đồ số 20, diện tích thực hiện dự án 0,1 m2, diện tích giao hợp pháp …..m2</t>
  </si>
  <si>
    <t>Tường xây gạch chỉ 110: (1,5*1,65*0,11)+(1,5*1,85*0,11)</t>
  </si>
  <si>
    <t>Cây trầu không trưởng thành</t>
  </si>
  <si>
    <t>Trát tường: 6,0*1,4*2</t>
  </si>
  <si>
    <t>Trát tường: 2,2*0,8*2</t>
  </si>
  <si>
    <t>Trát trụ: (0,3+0,4)*2,3*2*2</t>
  </si>
  <si>
    <t>Sơn tường: 2,2*0,8*2</t>
  </si>
  <si>
    <t>Sơn trụ: (0,3+0,4)*2,3*2*2</t>
  </si>
  <si>
    <t>Trát tường: 1,5*14*2</t>
  </si>
  <si>
    <t>Trát tường: 5,2*1,3*2</t>
  </si>
  <si>
    <t>Trát tường: ((6,5*0,6)+(2,5*0,6)+(4,3*1,3))*2</t>
  </si>
  <si>
    <t>Trát tường: 8,8*2,5*2</t>
  </si>
  <si>
    <t>Trát tường: 2,3*2,7*2</t>
  </si>
  <si>
    <t>Trát tường: 3,1*1,5*2</t>
  </si>
  <si>
    <t>Trát trụ: (0,4+0,5)*1,8*2*2</t>
  </si>
  <si>
    <t>Trát tường: 0,9*1,2*2</t>
  </si>
  <si>
    <t>Trát tường: 1*2*3,2*2</t>
  </si>
  <si>
    <t>Trát tường: 0,85*2*3,2*2</t>
  </si>
  <si>
    <t>Trát tường: (7,8*2,8)+(0,5*1,5)*2</t>
  </si>
  <si>
    <t>Trát tường: 2,8*0,8*2</t>
  </si>
  <si>
    <t>Trát trụ: 0,2*0,8*4*2</t>
  </si>
  <si>
    <t>Trát tường: 0,5*0,5*2</t>
  </si>
  <si>
    <t>Trát tường: 0,7*1,3*2</t>
  </si>
  <si>
    <t>Trát tường: 1,0*3*3,8</t>
  </si>
  <si>
    <t>Trát trụ: (0,6*3,8*4*2)+(0,5+0,4)*3,8*2</t>
  </si>
  <si>
    <t>Trát tường: (3,5*0,9*2)+(4,5*1,45*2)</t>
  </si>
  <si>
    <t>Trát tường: 5,2*1,9*2</t>
  </si>
  <si>
    <t>Sơn tường: 5,2*1,9*2</t>
  </si>
  <si>
    <t>Trát trụ: 0,22*1,9*4*4</t>
  </si>
  <si>
    <t>Sơn trụ: 0,22*1,9*4*4</t>
  </si>
  <si>
    <t>Trát tường: 3,0*1,3*2</t>
  </si>
  <si>
    <t>Trát trụ: (0,4+0,5)*2,0*2</t>
  </si>
  <si>
    <t>Trát tường: 1,0*0,5*2</t>
  </si>
  <si>
    <t>Trát tường: 1,0*1,1*2</t>
  </si>
  <si>
    <t>Trát tường: 5,2*1,4*2</t>
  </si>
  <si>
    <t>Sơn tường: 5,2*1,4*2</t>
  </si>
  <si>
    <t>đất thùng vũng</t>
  </si>
  <si>
    <t>Trát tường: 0,9*6,8*2</t>
  </si>
  <si>
    <t>Trát trụ: 0,22*1,9*4*5</t>
  </si>
  <si>
    <t>Trát tường: (1,5*1,65*2)+(1,5*1,85*2)</t>
  </si>
  <si>
    <t>Trát trụ: 0,22*2,0*4</t>
  </si>
  <si>
    <t xml:space="preserve">  Đơn vị tính: đồng</t>
  </si>
  <si>
    <t>Tên người sử dụng, quản lý đất</t>
  </si>
  <si>
    <t>Tổng kinh phí
(làm tròn số)</t>
  </si>
  <si>
    <t>Tổng kinh phí</t>
  </si>
  <si>
    <t>đối chiếu phương án</t>
  </si>
  <si>
    <t>Đất đai</t>
  </si>
  <si>
    <t>Tài sản</t>
  </si>
  <si>
    <t>Cây cối, hoa màu</t>
  </si>
  <si>
    <t>Đào tạo chuyển đổi nghề và tìm kiếm việc làm</t>
  </si>
  <si>
    <t>Ổn định đời sống</t>
  </si>
  <si>
    <t>Cộng</t>
  </si>
  <si>
    <t>TỔNG HỢP KINH PHÍ BỒI THƯỜNG, HỖ TRỢ KHI NHÀ NƯỚC THU HỒI ĐẤT ĐỂ THỰC HIỆN DỰ ÁN: CẢI TẠO, NÂNG CẤP ĐƯỜNG HUYỆN CẨM CHẾ - THANH XUÂN ĐOẠN TỪ Km0+00 ĐẾN Km9+016</t>
  </si>
  <si>
    <t>Ổn định sản xuất, kinh doanh</t>
  </si>
  <si>
    <t>Lê Thị Thắm</t>
  </si>
  <si>
    <t>Phạm Văn Vượng</t>
  </si>
  <si>
    <t>Lê Văn Thắng</t>
  </si>
  <si>
    <t>Mạc Văn Luyên</t>
  </si>
  <si>
    <t>Vương Văn Kiếm</t>
  </si>
  <si>
    <t>Phạm Văn Việt</t>
  </si>
  <si>
    <t>Mạc Thị Hận</t>
  </si>
  <si>
    <t>Dương Văn Chức</t>
  </si>
  <si>
    <t>Mạc Văn Kiên</t>
  </si>
  <si>
    <t>Vương Văn Ngọc</t>
  </si>
  <si>
    <t>Mạc Văn Thạch</t>
  </si>
  <si>
    <t>Mạc Văn Thách</t>
  </si>
  <si>
    <t>Lê Văn Mười
Lý Thị Diễm</t>
  </si>
  <si>
    <t>Mạc Thị Truân</t>
  </si>
  <si>
    <t>Nguyễn Thị Đào</t>
  </si>
  <si>
    <t>Nguyễn Thị Phượng
Phạm Hùng Sơn</t>
  </si>
  <si>
    <t>Nguyễn Thị Hạnh</t>
  </si>
  <si>
    <t>Phạm Văn Mong (Đại diện GĐ)</t>
  </si>
  <si>
    <t>Vũ Thị Tươi</t>
  </si>
  <si>
    <t>Mạc Quang Lâm</t>
  </si>
  <si>
    <t>Mạc Minh Đức
Bùi Thị Nhung</t>
  </si>
  <si>
    <t>Mạc Thị Thuê</t>
  </si>
  <si>
    <t>Lương Xuân Chính</t>
  </si>
  <si>
    <t>cái</t>
  </si>
  <si>
    <t>Số BBKK</t>
  </si>
  <si>
    <t>59, 60</t>
  </si>
  <si>
    <t>Họ và tên chủ hộ: Nguyễn Thị Thắm (SĐT: 0988295266)</t>
  </si>
  <si>
    <t>Địa chỉ: , xã Hà Nam, thành phố Hải Phòng</t>
  </si>
  <si>
    <t>Đất đai: Thửa đất số 110, tờ bản đồ số 20, diện tích thực hiện dự án 4,8 m2, diện tích giao hợp pháp …..m2</t>
  </si>
  <si>
    <t>Nguyễn Thị Thắm</t>
  </si>
  <si>
    <t>Không bồi thường, hỗ trợ đất giao thông do UBND xã quản lý</t>
  </si>
  <si>
    <t>Đất đai: Thửa đất số 3, tờ bản đồ số 16, diện tích thực hiện dự án 1,6 m2, diện tích giao hợp pháp …..m2</t>
  </si>
  <si>
    <t>Thửa đất số 147, tờ bản đồ số 17</t>
  </si>
  <si>
    <t>Đất đai: Thửa đất số 253, tờ bản đồ số 17, diện tích thực hiện dự án 4,3 m2, diện tích giao hợp pháp …..m2</t>
  </si>
  <si>
    <t>Hỗ trợ 20% theo Quyết định số 1516/QĐ-UBND của UBND xã Hà Nam ngày 22/12/2025</t>
  </si>
  <si>
    <t>Hỗ trợ 25% theo Quyết định số 1516/QĐ-UBND của UBND xã Hà Nam ngày 22/12/2025</t>
  </si>
  <si>
    <t>Hỗ trợ 80% giá trị xây dựng mới của nhà ở, công trình trên đất theo Quyết định số 1516/QĐ-UBND của UBND xã Hà Nam ngày 22/12/2025</t>
  </si>
  <si>
    <t>Đất đai: Thửa đất số 71, tờ bản đồ số 20, diện tích thực hiện dự án 17,2 m2, diện tích giao hợp pháp 6,5 m2</t>
  </si>
  <si>
    <t>Cột thép hộp (40*80): 3,3m. Theo bảng giá của Công ty TNHH Ống thép Hòa Phát</t>
  </si>
  <si>
    <t>Cột típ D60: 2,4m. Theo bảng giá của Công ty TNHH Ống thép Hòa Phát</t>
  </si>
  <si>
    <t>Sắt hộp (30*10): 1,4*11. Theo bảng giá của Công ty TNHH Ống thép Hòa Phát</t>
  </si>
  <si>
    <t>Sắt hộp (30*30): 1,8*3. Theo bảng giá của Công ty TNHH Ống thép Hòa Phát</t>
  </si>
  <si>
    <t>Cột típ D40: 3,1m*1c. Theo bảng giá của Công ty TNHH Ống thép Hòa Phát</t>
  </si>
  <si>
    <t>Cột típ D40: 3,1m*2c. Theo bảng giá của Công ty TNHH Ống thép Hòa Phát</t>
  </si>
  <si>
    <t>Cột típ D25: 3,1m. Theo bảng giá của Công ty TNHH Ống thép Hòa Phát</t>
  </si>
  <si>
    <t>Cột típ D25: 1m. Theo bảng giá của Công ty TNHH Ống thép Hòa Phát</t>
  </si>
  <si>
    <t>Cột thép D42: cao 3m*3c. Theo bảng giá của Công ty TNHH Ống thép Hòa Phát</t>
  </si>
  <si>
    <t>Cột típ D40: cao 1,7m. Theo bảng giá của Công ty TNHH Ống thép Hòa Phát</t>
  </si>
  <si>
    <t>Cột típ D30: cao 1m*2c. Theo bảng giá của Công ty TNHH Ống thép Hòa Phát</t>
  </si>
  <si>
    <t>Cột típ D80: 2,7m*2c. Theo bảng giá của Công ty TNHH Ống thép Hòa Phát</t>
  </si>
  <si>
    <t>Cột típ D30: cao 3m+2m. Theo bảng giá của Công ty TNHH Ống thép Hòa Phát</t>
  </si>
  <si>
    <t>Hỗ trợ đất vườn, ao trong cùng thửa đất có nhà ở nhưng không được công nhận là đất ở theo QĐ số 1516/QĐ-UBND của UBND xã Hà Nam ngày 22/12/2025: 
- Bằng 50% giá đất ở của vị trí liền kề trong thửa đất đó cho thửa đất có nguồn gốc hình thành trước ngày 15 tháng 10 năm 1993</t>
  </si>
  <si>
    <t>Tháo dỡ Biển quảng cáo: (0,4*2,7)</t>
  </si>
  <si>
    <t>Cửa cuốn nhôm chạy cót: (4,4*3,3)*2</t>
  </si>
  <si>
    <t>Thép D30: 2,0m. Theo bảng giá của Công ty TNHH Ống thép Hòa Phát</t>
  </si>
  <si>
    <t>Cửa cuốn nhôm chạy điện: (3,0*2,7)*2</t>
  </si>
  <si>
    <t>Đất đã sử dụng vào mục đích đất ở từ trước 01/7/2014, không đủ điều kiện cấp GCNQSD đất ở; nằm trong khu dân cư hỗ trợ bằng 20% giá đất ở của vị trí liền kề theo QĐ số 1516/QĐ-UBND của UBND xã Hà Nam ngày 22/12/2025</t>
  </si>
  <si>
    <t>Rèm tôn: 7,6*0,3</t>
  </si>
  <si>
    <t>Sân BTXM: 1,8*7,4*0,1</t>
  </si>
  <si>
    <t>Tường xây gạch chỉ 110: (7,6*1,0*0,11)*2</t>
  </si>
  <si>
    <t>Đáy BTXM: 7,6*0,65*0,1</t>
  </si>
  <si>
    <t>Mái tôn lạnh xà gồ, vì kèo sắt: 7,6*2,5</t>
  </si>
  <si>
    <t>Nắp tấm đan BTCT: 7,6*0,65*0,07</t>
  </si>
  <si>
    <t>Kinh phí bồi thường, hỗ trợ</t>
  </si>
  <si>
    <t>17,20,21,101</t>
  </si>
  <si>
    <t>Đặng Văn Thơi</t>
  </si>
  <si>
    <t>Đặng Văn Thảnh
Phạm Thị Thảo</t>
  </si>
  <si>
    <t>Đặng Văn Thại</t>
  </si>
  <si>
    <t>Vương Văn Thắng</t>
  </si>
  <si>
    <t>Lê Thị Lành</t>
  </si>
  <si>
    <t>Nguyễn Đức Đằng</t>
  </si>
  <si>
    <t>Mạc Thị Truân (mẹ)
Bùi Minh Đức</t>
  </si>
  <si>
    <t>Mạc Văn Sơn</t>
  </si>
  <si>
    <t>Lê Văn Bản</t>
  </si>
  <si>
    <t>Đặng Văn Biển</t>
  </si>
  <si>
    <t>Phạm Văn Mong</t>
  </si>
  <si>
    <t>Phạm Văn Hiếu</t>
  </si>
  <si>
    <t>Lê Văn Nghĩa</t>
  </si>
  <si>
    <t>Đặng Văn Hải</t>
  </si>
  <si>
    <t>56a</t>
  </si>
  <si>
    <t>Mạc Văn Long
Nguyễn Thị Hồng</t>
  </si>
  <si>
    <t>Lê Văn Hùng
Lê Thị Ngát</t>
  </si>
  <si>
    <t>Đào Văn Tính</t>
  </si>
  <si>
    <t>Lê Văn Đạt</t>
  </si>
  <si>
    <t>Phạm Văn Đăng</t>
  </si>
  <si>
    <t>Mạc Minh Mùi</t>
  </si>
  <si>
    <t>Mạc Văn Quang</t>
  </si>
  <si>
    <t>Nguyễn Quang Đồng</t>
  </si>
  <si>
    <t>Nguyễn Quang Mạnh
Tiêu Thị Huế</t>
  </si>
  <si>
    <t>Nguyễn Quang Thương
Nguyễn Thị Sen</t>
  </si>
  <si>
    <t>Tiêu Công Tiến</t>
  </si>
  <si>
    <t>Nguyễn Quang Quý</t>
  </si>
  <si>
    <t>Lê Thị Sáng</t>
  </si>
  <si>
    <t>Nguyễn Đức Minh</t>
  </si>
  <si>
    <t>Phạm Văn Tố</t>
  </si>
  <si>
    <t>Nguyễn Duy Quyên</t>
  </si>
  <si>
    <t>Nguyễn Quang Năm</t>
  </si>
  <si>
    <t>Họ và tên chủ hộ: Đặng Văn Thơi (SĐT: 0332366955)</t>
  </si>
  <si>
    <r>
      <t>Đất đai: 
- Thửa đất số 38, tờ bản đồ số 5, diện tích thực hiện dự án 65,8 m</t>
    </r>
    <r>
      <rPr>
        <b/>
        <vertAlign val="superscript"/>
        <sz val="12"/>
        <rFont val="Times New Roman"/>
        <family val="1"/>
      </rPr>
      <t>2</t>
    </r>
    <r>
      <rPr>
        <b/>
        <sz val="12"/>
        <rFont val="Times New Roman"/>
        <family val="1"/>
        <charset val="163"/>
      </rPr>
      <t>, diện tích giao hợp pháp 65,8 m</t>
    </r>
    <r>
      <rPr>
        <b/>
        <vertAlign val="superscript"/>
        <sz val="12"/>
        <rFont val="Times New Roman"/>
        <family val="1"/>
      </rPr>
      <t xml:space="preserve">2
</t>
    </r>
    <r>
      <rPr>
        <b/>
        <sz val="12"/>
        <rFont val="Times New Roman"/>
        <family val="1"/>
        <charset val="163"/>
      </rPr>
      <t>- Thửa đất số 54, tờ bản đồ số 5, diện tích thực hiện dự án 37,3 m2, diện tích giao hợp pháp 37,3 m2
- Thửa đất số 67, tờ bản đồ số 5, diện tích thực hiện dự án 236,5 m2, diện tích giao hợp pháp 236,5 m2
- Thửa đất số 119, tờ bản đồ số 20, diện tích thực hiện dự án 67,9 m2, diện tích giao hợp pháp 55,9 m2</t>
    </r>
  </si>
  <si>
    <t xml:space="preserve">Bồi thường </t>
  </si>
  <si>
    <t>1.1</t>
  </si>
  <si>
    <t>Thửa đất số 38</t>
  </si>
  <si>
    <t>Đất chuyên trồng lúa của hộ gia đình, cá nhân, vị trí 1</t>
  </si>
  <si>
    <t>1.2</t>
  </si>
  <si>
    <t>Thửa đất số 54</t>
  </si>
  <si>
    <t>Đất trồng cây lâu năm của hộ gia đình, cá nhân, vị trí 1</t>
  </si>
  <si>
    <t>1.3</t>
  </si>
  <si>
    <t>Thửa đất số 67</t>
  </si>
  <si>
    <t>1.4</t>
  </si>
  <si>
    <t>Thửa đất số 119</t>
  </si>
  <si>
    <t>a</t>
  </si>
  <si>
    <t>b</t>
  </si>
  <si>
    <t>Đất đã sử dụng vào mục đích đất ở từ trước 01/7/2014, không có giấy tờ, không đủ điều kiện cấp GCN QSD đất ở, nằm trong khu dân cư hỗ trợ bằng 20% giá đất ở của vị trí liền kề theo QĐ số 1516/QĐ-UBND của UBND xã Hà Nam ngày 22/12/2025</t>
  </si>
  <si>
    <t xml:space="preserve">Hỗ trợ </t>
  </si>
  <si>
    <t>2.1</t>
  </si>
  <si>
    <t>Hỗ trợ đào tạo, chuyển đổi nghề nghiệp và tìm kiếm việc làm</t>
  </si>
  <si>
    <t>Đất chuyên trồng lúa của hộ gia đình, cá nhân vị trí 1</t>
  </si>
  <si>
    <r>
      <t>m</t>
    </r>
    <r>
      <rPr>
        <vertAlign val="superscript"/>
        <sz val="11"/>
        <rFont val="Times New Roman"/>
        <family val="1"/>
        <charset val="163"/>
      </rPr>
      <t>2</t>
    </r>
  </si>
  <si>
    <t>Đất trồng cây lâu năm của hộ gia đình, cá nhân vị trí 1</t>
  </si>
  <si>
    <t>2.2</t>
  </si>
  <si>
    <t>Hỗ trợ ổn định đời sống:
 - Diện tích đất bị thu hồi dưới 30%  hỗ trợ 30 kg gạo/số nhân khẩu/3 tháng; nếu phải di chuyển chỗ ở thời gian hỗ trợ 6 tháng (theo Quyết định số 171/2025/QĐ-UBND ngày 24/9/2025 của UBND Thành phố Hải Phòng)
 - Diện tích đất bị thu hồi từ 30% đến 70%  hỗ trợ 30 kg gạo/số nhân khẩu/6 tháng, nếu phải di chuyển chỗ ở thời gian hỗ trợ 12 tháng; trên 70% hỗ trợ 12 tháng, nếu phải di chuyển chỗ ở thời gian hỗ trợ 24 tháng.</t>
  </si>
  <si>
    <t>Số khẩu</t>
  </si>
  <si>
    <t>Số tháng</t>
  </si>
  <si>
    <t>Đơn giá gạo trung bình tháng 11/2025 (đồng/kg)</t>
  </si>
  <si>
    <t>Số kg gạo</t>
  </si>
  <si>
    <t>Thành tiền 
(đồng)</t>
  </si>
  <si>
    <t>Tỷ lệ % DT đất thu hồi/Tổng diện tích đất nông nghiệp đang sử dụng</t>
  </si>
  <si>
    <t>2.3</t>
  </si>
  <si>
    <t>Hỗ trợ ổn định sản xuất, kinh doanh (HT bằng 30% giá đất nông nghiệp cùng loại, theo điều 12 Quyết định số 171/2025/QĐ-UBND của Ủy ban nhân dân Thành phố Hải Phòng ngày 24/9/2025)</t>
  </si>
  <si>
    <t>Tài sản trên thửa 119</t>
  </si>
  <si>
    <t xml:space="preserve">Tường xây gạch chỉ 220 (có trát): 7,0*1,5*0,22 </t>
  </si>
  <si>
    <t>Trát tường: 7,0*1,5</t>
  </si>
  <si>
    <t>Hàng rào sắt vuông: 7,0*0,7</t>
  </si>
  <si>
    <t>Sân BTXM: 2,6*10,8*0,20</t>
  </si>
  <si>
    <t>Nhà trông coi tường xây gạch chỉ 110, mái tôn thường, nền BTXM: 2,4*3,5; h=2,5m</t>
  </si>
  <si>
    <t>Tường xây gạch papanh 330: (16,0*1,2)</t>
  </si>
  <si>
    <t>Tường xây gạch papanh 110: (10,0*2,2)</t>
  </si>
  <si>
    <t>Cột điện BTCT: 0,15*0,15*4,0</t>
  </si>
  <si>
    <t>Tấm bê tông: 0,4*0,4*0,05</t>
  </si>
  <si>
    <t>Tài sản trên thửa 67</t>
  </si>
  <si>
    <t>Tường xây gạch papanh 110: (13,0*1,5)+(6*1,5)+(40*1,5)</t>
  </si>
  <si>
    <t>Tường xây gạch chỉ 110: 50*1,5*0,11</t>
  </si>
  <si>
    <t>Móng tường xây gạch papanh: 0,5*0,9*103</t>
  </si>
  <si>
    <t>Tài sản trên thửa 38 và thửa 54</t>
  </si>
  <si>
    <t>Cột BTCT: 0,15*0,15*1,2*4c</t>
  </si>
  <si>
    <t>Tường xây gạch papanh: 50*1,7*0,11</t>
  </si>
  <si>
    <t>Móng tường: 0,5*0,9*50, có giằng</t>
  </si>
  <si>
    <t>Giằng tường: 0,3*0,5*50</t>
  </si>
  <si>
    <t>Cột BTCT: 0,15*0,15*1,7*17</t>
  </si>
  <si>
    <t>Cổng tôn: 2,0*0,9</t>
  </si>
  <si>
    <t>Cột típ D30: cao 2m
Theo bảng giá của Công ty TNHH Ống thép Hòa Phát</t>
  </si>
  <si>
    <t>Cây cối trên thửa 119</t>
  </si>
  <si>
    <t>chậu</t>
  </si>
  <si>
    <t>Cây cối trên thửa 67</t>
  </si>
  <si>
    <r>
      <t>Cây gấc (Tính theo m</t>
    </r>
    <r>
      <rPr>
        <vertAlign val="superscript"/>
        <sz val="12"/>
        <rFont val="Times New Roman"/>
        <family val="1"/>
      </rPr>
      <t>2</t>
    </r>
    <r>
      <rPr>
        <sz val="12"/>
        <rFont val="Times New Roman"/>
        <family val="1"/>
      </rPr>
      <t xml:space="preserve"> giàn)</t>
    </r>
  </si>
  <si>
    <t>Cây cối trên thửa 38 và 54</t>
  </si>
  <si>
    <t>Họ và tên chủ hộ: Đặng Văn Thảnh - Phạm Thị Thảo 
(SĐT:                            )</t>
  </si>
  <si>
    <r>
      <t>Đất đai: 
- Thửa đất số 24, tờ bản đồ số 11, diện tích thực hiện dự án 18,0 m2, diện tích giao hợp pháp 18,0 m2
- Thửa đất số 39, tờ bản đồ số 5, diện tích thực hiện dự án 9,3 m</t>
    </r>
    <r>
      <rPr>
        <b/>
        <vertAlign val="superscript"/>
        <sz val="12"/>
        <rFont val="Times New Roman"/>
        <family val="1"/>
      </rPr>
      <t>2</t>
    </r>
  </si>
  <si>
    <t>Thửa đất số 24</t>
  </si>
  <si>
    <t>Đất trồng cây lâu năm của hộ gia đình, cá nhân; thửa đất số 24, vị trí 1</t>
  </si>
  <si>
    <r>
      <t xml:space="preserve">Hỗ trợ ổn định đời sống
</t>
    </r>
    <r>
      <rPr>
        <i/>
        <sz val="11"/>
        <rFont val="Times New Roman"/>
        <family val="1"/>
      </rPr>
      <t>Đã hỗ trợ ở thửa đất số 29 tờ 11 theo QĐ số 1534/QĐ-UBND của UBND xã Hà Nam ngày 25/12/2025</t>
    </r>
  </si>
  <si>
    <t>Thửa đất số 39</t>
  </si>
  <si>
    <t>Tường xây gạch chỉ 110: (2,4*0,7+1,8*1,6+14*2,0)*0,11</t>
  </si>
  <si>
    <t>Trát tường: (2,4*0,7+1,8*1,6)*2</t>
  </si>
  <si>
    <t>Trụ cổng xây gạch chỉ: (0,35*0,35*2,2)*4</t>
  </si>
  <si>
    <t>Trát trụ: 0,35*2,2*4*4</t>
  </si>
  <si>
    <t>Trụ tường xây gạch chỉ: 0,22*0,22*1,6</t>
  </si>
  <si>
    <t>Trát trụ: 0,22*1,6*4</t>
  </si>
  <si>
    <t>Cổng sắt: 1,9*2,4</t>
  </si>
  <si>
    <t>Hàng rào thép vuông đặc (1*1): 1,0*2,4</t>
  </si>
  <si>
    <t>Cổng sắt: 2,4*2,0</t>
  </si>
  <si>
    <t>Sân BTXM: 10,5*2,2*0,1</t>
  </si>
  <si>
    <t>Tường xây gạch chỉ 110: 4*0,2*0,11</t>
  </si>
  <si>
    <t>Họ và tên chủ hộ: Đặng Văn Thại (SĐT: 0343636765)</t>
  </si>
  <si>
    <r>
      <t>Đất đai: Thửa đất số 49, tờ bản đồ số 5, diện tích thực hiện dự án 0,7 m</t>
    </r>
    <r>
      <rPr>
        <b/>
        <vertAlign val="superscript"/>
        <sz val="12"/>
        <rFont val="Times New Roman"/>
        <family val="1"/>
      </rPr>
      <t>2</t>
    </r>
  </si>
  <si>
    <t>Tường xây gạch chỉ 110: (2,0*(17+4,5)+1,2*8)*0,11</t>
  </si>
  <si>
    <t>Trát tường: 1,2*8</t>
  </si>
  <si>
    <t>Hàng rào sắt vuông đặc (1*1): 0,8*6</t>
  </si>
  <si>
    <t>Họ và tên chủ hộ: Vương Văn Thắng (SĐT: )</t>
  </si>
  <si>
    <t>Đất đai: Thửa đất số 7, tờ bản đồ số 16, diện tích thực hiện dự án 5,3 m2</t>
  </si>
  <si>
    <t>Mái tôn xà gồ, vì kèo thép: 9,7*1,7</t>
  </si>
  <si>
    <t xml:space="preserve">Rãnh thoát nước xây gạch chỉ: </t>
  </si>
  <si>
    <t>Tường xây gạch chỉ: (0,8*9,7*0,11)*2</t>
  </si>
  <si>
    <t>Đáy: 0,3*9,7*0,11</t>
  </si>
  <si>
    <t>Sân BTXM: 3,0*9,7*0,15</t>
  </si>
  <si>
    <t>Cột típ D30: 2,65*3c
Theo bảng giá của Công ty TNHH Ống thép Hòa Phát</t>
  </si>
  <si>
    <t>Họ và tên chủ hộ: Lê Thị Lành (SĐT: 0769274683)</t>
  </si>
  <si>
    <t>Đất đai: Thửa đất số 8, tờ bản đồ số 16, diện tích thực hiện dự án 6,9 m2</t>
  </si>
  <si>
    <t>Tường xây gạch papanh: (4,0*1,8+5,7*1,8)*0,15</t>
  </si>
  <si>
    <t>Trụ cổng xây gạch papanh: 0,35*0,5*2,5</t>
  </si>
  <si>
    <t>Trát trụ: (0,35+0,5)*2,5*2</t>
  </si>
  <si>
    <t>Cổng sắt: 1,8*2,0</t>
  </si>
  <si>
    <t xml:space="preserve">Rãnh thoát nước: </t>
  </si>
  <si>
    <t>Tường xây gạch chỉ: (9,7*0,8*0,11)*2</t>
  </si>
  <si>
    <t>Đáy: 9,7*0,3*0,11</t>
  </si>
  <si>
    <t>Họ và tên chủ hộ: Lương Văn Chiều (SĐT: 0363486556)</t>
  </si>
  <si>
    <t>Đất đai: Thửa đất số 9, tờ bản đồ số 16, diện tích thực hiện dự án 6,9 m2</t>
  </si>
  <si>
    <t>Tường xây gạch chỉ: (3,3*1,2*0,11)+(1,1*1,8*0,11)</t>
  </si>
  <si>
    <t>Trụ cổng xây gạch chỉ: (0,45*0,5*2,3)*2</t>
  </si>
  <si>
    <t>Trụ tường xây gạch chỉ: 0,3*0,22*2,3</t>
  </si>
  <si>
    <t>Thanh BTCT (hàng rào): (0,03*0,1*30)+(0,03*0,1*3,3*2)</t>
  </si>
  <si>
    <t>Cổng sắt: 2,5*2,3</t>
  </si>
  <si>
    <t>Hàng rào sắt: 5,8*1,0</t>
  </si>
  <si>
    <t>trụ</t>
  </si>
  <si>
    <t>Họ và tên chủ hộ: Nguyễn Đức Đằng (SĐT: 0904205219)</t>
  </si>
  <si>
    <t>Đất đai: Thửa đất số 34, tờ bản đồ số 16, diện tích thực hiện dự án 3,5 m2</t>
  </si>
  <si>
    <t>Tường xây gạch chỉ: (4,0*1,75*0,11)+(4,0*1,1*0,11)</t>
  </si>
  <si>
    <t>Trát tường: 4,0*1,1*2</t>
  </si>
  <si>
    <t>Trụ cổng xây gạch chỉ: (0,35*0,5*2,2)*2</t>
  </si>
  <si>
    <t>Trát trụ: (0,35+0,5)*2,2*2*2</t>
  </si>
  <si>
    <t>Cổng sắt: 2,0*1,9</t>
  </si>
  <si>
    <t>Hàng rào sắt: 4,0*1,4</t>
  </si>
  <si>
    <t>Họ và tên chủ hộ: Mạc Thị Truân - Bùi Minh Đức (con trai) (SĐT: )</t>
  </si>
  <si>
    <t>Đất đai: Thửa đất số 77, tờ bản đồ số 17, diện tích thực hiện dự án 1,8 m2</t>
  </si>
  <si>
    <t>Đất giao trái thẩm quyền nằm trong khu dân cư hỗ trợ bằng 20% giá đất ở của vị trí liền kề theo QĐ số 1516/QĐ-UBND của UBND xã Hà Nam ngày 22/12/2025</t>
  </si>
  <si>
    <t xml:space="preserve">ko vào đất </t>
  </si>
  <si>
    <t>Tường xây gạch chỉ: 0,2*5,3*0,11</t>
  </si>
  <si>
    <t>Họ và tên chủ hộ: Mạc Văn Sơn (SĐT: 0903249203)</t>
  </si>
  <si>
    <t>Đất đai: Thửa đất số 78, tờ bản đồ số 17, diện tích thực hiện dự án 5,6 m2</t>
  </si>
  <si>
    <t>Tường xây gạch chỉ 220, có trát: 0,7*5,8*0,22</t>
  </si>
  <si>
    <t>Trát tường: 0,7*5,8*2</t>
  </si>
  <si>
    <t>Hàng rào hoa sắt vuông: 1,2*5,8</t>
  </si>
  <si>
    <t>Mái tôn xà gồ sắt: 2,4*4,5</t>
  </si>
  <si>
    <t>Rèm tôn: 0,5*4,5</t>
  </si>
  <si>
    <t>Cột típ D42: cao 2,9m *2c
Theo bảng giá của Công ty TNHH Ống thép Hòa Phát</t>
  </si>
  <si>
    <t>Mái tôn xà gồ sắt: (0,5*7,7)*2</t>
  </si>
  <si>
    <t>Cột típ D54: cao 3,3m* 2c
Theo bảng giá của Công ty TNHH Ống thép Hòa Phát</t>
  </si>
  <si>
    <t>Tường xây gạch chỉ 220, có trát: (2,0*1,7*0,22)+(0,5*1,8*0,22)</t>
  </si>
  <si>
    <t>Trát tường: (2,0*1,7*2)+(0,5*1,8*2)</t>
  </si>
  <si>
    <t>Họ và tên chủ hộ: Lê Văn Bản (SĐT: 0399570029)</t>
  </si>
  <si>
    <t>Đất đai: Thửa đất số 102, tờ bản đồ số 17, diện tích thực hiện dự án 20,2 m2, diện tích giao hợp pháp 20,2 m2</t>
  </si>
  <si>
    <t>Tường xây gạch chỉ 220: 11,3*1,1*0,22</t>
  </si>
  <si>
    <t>Trát tường: 11,3*1,1*2</t>
  </si>
  <si>
    <t>Trụ xây gạch chỉ: (0,33*0,33*2,0)*5</t>
  </si>
  <si>
    <t>Trát trụ: 0,33*2,0*2*5</t>
  </si>
  <si>
    <t>Trụ cổng xây gạch chỉ: (0,35*0,35*2,4)*2</t>
  </si>
  <si>
    <t>Trát trụ: 0,35*2,4*4*2</t>
  </si>
  <si>
    <t>Thanh BTCT: (0,1*0,03*0,75)*80 thanh +(11,3*0,1*0,03)</t>
  </si>
  <si>
    <t>Cổng sắt: 2,5*2,4</t>
  </si>
  <si>
    <t xml:space="preserve">Rãnh chống rung: </t>
  </si>
  <si>
    <t>Đáy xây gạch chỉ: 4*0,11*0,5</t>
  </si>
  <si>
    <t>Tường xây gạch chỉ 110: 4*0,11*1,1*2</t>
  </si>
  <si>
    <t>Nắp tấm đan BTCT: 4*0,5*0,07</t>
  </si>
  <si>
    <t>Họ và tên chủ hộ: Lê Thị Huế (SĐT: 0971025989)</t>
  </si>
  <si>
    <t>Đất đai: Thửa đất số 102, tờ bản đồ số 17, diện tích thực hiện dự án 5,6 m2, diện tích giao hợp pháp 5,6 m2</t>
  </si>
  <si>
    <t>Tường xây gạch chỉ 110: 0,9*1,3*0,11</t>
  </si>
  <si>
    <t>Sân BTXM: 2,3*4,6*0,1</t>
  </si>
  <si>
    <t>Họ và tên chủ hộ: Phạm Văn Quang (SĐT: )</t>
  </si>
  <si>
    <t>Đất đai: Thửa đất số 105, tờ bản đồ số 17, diện tích thực hiện dự án 5,7 m2, diện tích giao hợp pháp 5,7 m2</t>
  </si>
  <si>
    <t>Họ và tên chủ hộ: Đặng Văn Biển (SĐT: )</t>
  </si>
  <si>
    <t>Đất đai: Thửa đất số 105, tờ bản đồ số 17, diện tích thực hiện dự án 4,6 m2, diện tích giao hợp pháp 4,6 m2</t>
  </si>
  <si>
    <t>Họ và tên chủ hộ: Phạm Văn Mong (SĐT: )</t>
  </si>
  <si>
    <t>Đất đai: Thửa đất số 108, tờ bản đồ số 17, diện tích thực hiện dự án 5,9 m2, diện tích giao hợp pháp 5,9 m2</t>
  </si>
  <si>
    <t>Tường xây gạch chỉ 220: (1,55*1,35*0,22)+(3,3*1,0*0,22)</t>
  </si>
  <si>
    <t>Trát tường: (1,55*1,35*2)+(3,3*1,0*2)</t>
  </si>
  <si>
    <t>Mái tôn lạnh xà gồ sắt: 10,7*(1*0,5)</t>
  </si>
  <si>
    <t>Sân BTXM: 1,95*13,7*0,2</t>
  </si>
  <si>
    <t>Họ và tên chủ hộ: Phạm Văn Hiếu (SĐT: )</t>
  </si>
  <si>
    <t>Đất đai: Thửa đất số 113, tờ bản đồ số 17, diện tích thực hiện dự án 12,2 m2, diện tích giao hợp pháp 12,2 m2</t>
  </si>
  <si>
    <t>Họ và tên chủ hộ: Đặng Văn Hải (SĐT: 0388387639)</t>
  </si>
  <si>
    <t>Đất đai: Thửa đất số 115, tờ bản đồ số 17, diện tích thực hiện dự án 1,3 m2, diện tích giao hợp pháp 1,3 m2</t>
  </si>
  <si>
    <t>Họ và tên chủ hộ: Lê Văn Nghĩa (SĐT: 0914726626)</t>
  </si>
  <si>
    <t>Đất đai: Thửa đất số 115, tờ bản đồ số 17, diện tích thực hiện dự án 2,8 m2, diện tích giao hợp pháp 2,8 m2</t>
  </si>
  <si>
    <t>Họ và tên chủ hộ: Mạc Văn Long - Nguyễn Thị Hồng (SĐT: 0989236657)</t>
  </si>
  <si>
    <t>Đất đai: Thửa đất số 134, tờ bản đồ số 17, diện tích thực hiện dự án 1,2 m2, diện tích giao hợp pháp 1,2 m2</t>
  </si>
  <si>
    <t>Sân BTXM: 1,0*6,6*0,1</t>
  </si>
  <si>
    <t>Họ và tên chủ hộ: Lê Văn Hùng - Lê Thị Ngát (SĐT: 0342623323)</t>
  </si>
  <si>
    <t>Đất đai: Thửa đất số 137, tờ bản đồ số 17, diện tích thực hiện dự án 12,4 m2, diện tích giao hợp pháp 12,4 m2</t>
  </si>
  <si>
    <t>Tường xây gạch chỉ 220: 6,5*1,0*0,22</t>
  </si>
  <si>
    <t>Trát tường: 6,5*1,0*2</t>
  </si>
  <si>
    <t>Trụ cổng xây gạch chỉ : (0,45*0,45*3)*2</t>
  </si>
  <si>
    <t>Trát trụ: (0,45*3)*4*2</t>
  </si>
  <si>
    <t>Tường xây gạch chỉ 110: 0,5*1,5*0,11</t>
  </si>
  <si>
    <t>Hàng rào sắt: 0,9*6,5</t>
  </si>
  <si>
    <t>Cổng sắt: 2,2*3,2</t>
  </si>
  <si>
    <t>Sân BTXM: 8,0*1,2*0,1</t>
  </si>
  <si>
    <t>Họ và tên chủ hộ: Đào Văn Tính (SĐT: )</t>
  </si>
  <si>
    <t>Đất đai: Thửa đất số 247, tờ bản đồ số 17, diện tích thực hiện dự án 1,2 m2, diện tích giao hợp pháp 1,2 m2</t>
  </si>
  <si>
    <t>Tường xây gạch chỉ 110: (5*0,7*0,11)*2</t>
  </si>
  <si>
    <t>Họ và tên chủ hộ: Vương Văn Sơn  (SĐT: )</t>
  </si>
  <si>
    <t>Đất đai: Thửa đất số 80, tờ bản đồ số 17, diện tích thực hiện dự án 5,2 m2, diện tích giao hợp pháp 5,2 m2</t>
  </si>
  <si>
    <t>Họ và tên chủ hộ: Vương Văn Xuyên  (SĐT: )</t>
  </si>
  <si>
    <t>Đất đai: Thửa đất số 262, tờ bản đồ số 17, diện tích thực hiện dự án 5,7 m2, diện tích giao hợp pháp 5,7 m2</t>
  </si>
  <si>
    <t>Tường xây gạch papanh 110: (1,8*1,2*0,11)+(5,1*1,85*0,11)</t>
  </si>
  <si>
    <t>Vách tôn: 10,0*2,0</t>
  </si>
  <si>
    <t>Tường xây gạch chỉ 110: (0,8*2,6*0,11)+(13,6*0,9*0,11)</t>
  </si>
  <si>
    <t>Tường xây gạch papanh: 16,7*2,0*0,15</t>
  </si>
  <si>
    <t>Trụ cổng xây gạch chỉ : (0,65*0,45*3,0)*2</t>
  </si>
  <si>
    <t>Cổng sắt: 4,4*1,8</t>
  </si>
  <si>
    <t>Đáy rãnh xây gạch chỉ: 0,35*13,6*0,11</t>
  </si>
  <si>
    <t>Họ và tên chủ hộ: Mạc Văn Ngọc - em trai: Mạc Văn Thách (SĐT: 0384912156)</t>
  </si>
  <si>
    <t>Đất đai: Thửa đất số 45, tờ bản đồ số 20, diện tích thực hiện dự án 6,8 m2, diện tích giao hợp pháp 6,8 m2</t>
  </si>
  <si>
    <t>Tường xây gạch chỉ 110: (7,4+4,8)*2,0*0,11</t>
  </si>
  <si>
    <t>Trụ xây gạch chỉ : (2,0*0,22*0,22)*5c</t>
  </si>
  <si>
    <t>Mái tôn sườn sắt: 2,4*4,5</t>
  </si>
  <si>
    <t>Họ và tên chủ hộ: Mạc Văn Ngọc (bác trai) - Mạc Thị Dung (SĐT: 0384912156)</t>
  </si>
  <si>
    <t>Đất đai: Thửa đất số 99, tờ bản đồ số 20, diện tích thực hiện dự án 4,4 m2, diện tích giao hợp pháp 4,4 m2</t>
  </si>
  <si>
    <t>Họ và tên chủ hộ: Lê Văn Đạt (SĐT: 0368851971)</t>
  </si>
  <si>
    <t>Đất đai: Thửa đất số 49, tờ bản đồ số 20, diện tích thực hiện dự án 11,1 m2</t>
  </si>
  <si>
    <t>Mái tôn xà gồ sắt: 7,0*1,3</t>
  </si>
  <si>
    <t>Sân BTXM: 13,0*1,2*0,1</t>
  </si>
  <si>
    <t>Họ và tên chủ hộ: Mạc Quang Sơn (SĐT: 0985146773)</t>
  </si>
  <si>
    <t>Đất đai: Thửa đất số 51, tờ bản đồ số 20, diện tích thực hiện dự án 3,3 m2</t>
  </si>
  <si>
    <t>Cửa cuốn: 3,4*3,0</t>
  </si>
  <si>
    <t>Tường xây gạch chỉ 110: 3,0*2,4*0,11</t>
  </si>
  <si>
    <t>Trát tường: 3,0*2,4*2</t>
  </si>
  <si>
    <t>Cửa tôn: 1,2*2,15</t>
  </si>
  <si>
    <t>Mái tôn lạnh xà gồ sắt: 4,8*1,5</t>
  </si>
  <si>
    <t>Rèm tôn: 0,7*5,0</t>
  </si>
  <si>
    <t>Vách nhôm kính: 5,0*0,8</t>
  </si>
  <si>
    <t>Hàng rào sắt: 0,8*5,0</t>
  </si>
  <si>
    <t>Nền BTXM: 0,4*5,0*0,1</t>
  </si>
  <si>
    <t>Thép hộp (30*30): 2,3*4+1,5
Theo bảng giá của Công ty TNHH Ống thép Hòa Phát</t>
  </si>
  <si>
    <t>Thép hộp (40*80): 3,1m
Theo bảng giá của Công ty TNHH Ống thép Hòa Phát</t>
  </si>
  <si>
    <t>Họ và tên chủ hộ: Phạm Văn Đăng (SĐT: )</t>
  </si>
  <si>
    <t>Đất đai: Thửa đất số 52, tờ bản đồ số 20, diện tích thực hiện dự án 3,3 m2</t>
  </si>
  <si>
    <t>Mái tôn xà gồ sắt: 1,5*4,8</t>
  </si>
  <si>
    <t>Tường xây gạch chỉ 110: 2,0*3,4*0,11</t>
  </si>
  <si>
    <t>Trát tường: 2,0*3,4*2</t>
  </si>
  <si>
    <t>Tường xây gạch chỉ 220: 1,8*3,4*0,22</t>
  </si>
  <si>
    <t>Trát tường: 1,8*3,4*2</t>
  </si>
  <si>
    <t>Sân BTXM: 1,0*4,8*0,1</t>
  </si>
  <si>
    <t>Cửa cuốn: 3,2*3,0</t>
  </si>
  <si>
    <t>Họ và tên chủ hộ: Mạc Minh Mùi (SĐT: 0979192770)</t>
  </si>
  <si>
    <t>Đất đai: Thửa đất số 72, tờ bản đồ số 20, diện tích thực hiện dự án 3,2 m2</t>
  </si>
  <si>
    <t>Mái tôn kết cấu sắt: 1,5*5,0</t>
  </si>
  <si>
    <t>Sân BTXM: 2,5*5,0*0,1</t>
  </si>
  <si>
    <t>Cột BTCT: (0,15*0,15*2,5)*2</t>
  </si>
  <si>
    <t>Cột típ D42: 3,0*2c
Theo bảng giá của Công ty TNHH Ống thép Hòa Phát</t>
  </si>
  <si>
    <t>Thép ống D110: 4m
Theo bảng giá của Công ty TNHH Ống thép Hòa Phát</t>
  </si>
  <si>
    <t>Thép ống D90: 7m
Theo bảng giá của Công ty TNHH Ống thép Hòa Phát</t>
  </si>
  <si>
    <t>Thép ống D60: 7m
Theo bảng giá của Công ty TNHH Ống thép Hòa Phát</t>
  </si>
  <si>
    <t>Thép ống D40:  8m
Theo bảng giá của Công ty TNHH Ống thép Hòa Phát</t>
  </si>
  <si>
    <t>Rèm tôn: 0,5*3,0</t>
  </si>
  <si>
    <t>Họ và tên chủ hộ: Mạc Văn Quang (SĐT: 0974799643)</t>
  </si>
  <si>
    <t>Đất đai: 
- Thửa đất số 74, tờ bản đồ số 20, diện tích thực hiện dự án 4,4 m2
- Thửa đất số 31, tờ bản đồ số 20, diện tích thực hiện dự án 13,2 m2</t>
  </si>
  <si>
    <t>Thửa đất số  74</t>
  </si>
  <si>
    <t>Thửa đất số 31</t>
  </si>
  <si>
    <t>Tài sản trên thửa 74</t>
  </si>
  <si>
    <t>Sân BTXM: 4,5*3,3*0,15</t>
  </si>
  <si>
    <t>Tài sản trên thửa 31</t>
  </si>
  <si>
    <t>Hàng rào sắt hộp: 2,8*0,6*2</t>
  </si>
  <si>
    <t>Tường xây gạch chỉ 110, có trát: 2,8*1*2*0,11</t>
  </si>
  <si>
    <t>Trát tường: 2,8*1*2*2</t>
  </si>
  <si>
    <t>Sân BTXM: 6,3*3,5*0,15</t>
  </si>
  <si>
    <t>Cột típ sắt D24 cao 3m</t>
  </si>
  <si>
    <t>Cây cối trên thửa 31</t>
  </si>
  <si>
    <t>Họ và tên chủ hộ: Đặng Tiến Thài (SĐT: 0383201048)</t>
  </si>
  <si>
    <t>Đất đai: Thửa đất số 118, tờ bản đồ số 20, diện tích thực hiện dự án 8,7 m2</t>
  </si>
  <si>
    <t>Mái Fibro xi măng xà gồ tre, vì kèo gỗ: 6,6*2,7</t>
  </si>
  <si>
    <t>Cột BTCT: (0,1*0,2*2,5)*2+0,1*0,2*6,6</t>
  </si>
  <si>
    <t>Cột típ D90: cao 2,5m
Theo bảng giá của Công ty TNHH Ống thép Hòa Phát</t>
  </si>
  <si>
    <t>Sân BTXM: 6,6*2,2*0,15</t>
  </si>
  <si>
    <t>Tôn ốp: 2,5*2,2</t>
  </si>
  <si>
    <t>Họ và tên chủ hộ: Nguyễn Quang Đồng (SĐT: 0366794709)</t>
  </si>
  <si>
    <t>Địa chỉ: xã Hà Nam, thành phố Hải Phòng</t>
  </si>
  <si>
    <t>Đất đai: Thửa đất số 600, tờ bản đồ số 6, diện tích thực hiện dự án 69,4 m2</t>
  </si>
  <si>
    <t>Bồi thường chi phí đầu tư vào đất bằng 01 lần đơn giá đất nông nghiệp cùng loại</t>
  </si>
  <si>
    <t>Nền BTXM: (7*5+3,5*16,9)*0,1</t>
  </si>
  <si>
    <t>Tường xây gạch pa panh 110, không trát: (2,7*(1,2+0,5)+(3,2*1))*0,11</t>
  </si>
  <si>
    <t>Cửa sắt hộp: 8,5*2,7</t>
  </si>
  <si>
    <t>Mái tôn lạnh xà gồ sắt: 16,9*0,5+4,75*4</t>
  </si>
  <si>
    <t>Nền BTXM: 3,1*2,3*0,1+5,0*3,4*0,1+6,3*4,5*0,1</t>
  </si>
  <si>
    <t>Mái Fibro xi măng: 6,3*2,6+4,8*3,5</t>
  </si>
  <si>
    <t>Cột BTCT: 0,13*0,14*2,8+2*(0,16*0,12*2,8)+0,13*0,15*2,8+0,1*0,12*2,8</t>
  </si>
  <si>
    <t>Tường xây gạch chỉ 110, không trát: 4,7*0,7+1,5*1,3</t>
  </si>
  <si>
    <r>
      <rPr>
        <sz val="12"/>
        <rFont val="Times New Roman"/>
        <family val="1"/>
      </rPr>
      <t>2.126.713</t>
    </r>
  </si>
  <si>
    <t>Hàng rào lưới B40: 4,7*(0,7+0,8)+(0,7+0,8)*3,3+0,8*3,4</t>
  </si>
  <si>
    <t>Cổng sắt: 3,4*2,0</t>
  </si>
  <si>
    <t>Nhà kho 1 tầng mái Fibro xi măng, tường xây gạch chỉ 110, nền BTXM: 4,6*3,1; h=3,2m</t>
  </si>
  <si>
    <t>Cộng tường xây vượt tiêu chuẩn: (3,2-2,5)*(4,6+3,1)*2*0,11</t>
  </si>
  <si>
    <t>Trừ trát tường: 3,1*1+4,6*1+3,2*4,6</t>
  </si>
  <si>
    <t>Trừ tường không xây: 1,8*0,6</t>
  </si>
  <si>
    <t>Cột BTCT: 0,1*0,1*1,8*1 cột</t>
  </si>
  <si>
    <t>Ốp tôn thường 2,3*2,9+4,7*2,9+2,6*3+3,0*1,6+1,9*1,7</t>
  </si>
  <si>
    <t>Cột típ sắt D110: 2,8m*5 cột
Theo bảng giá của Công ty TNHH Ống thép Hòa Phát</t>
  </si>
  <si>
    <t>Cửa sắt: 2,9*3,1</t>
  </si>
  <si>
    <t>Trụ cổng xây gạch chỉ đặc: 0,3*0,3*1,3*2</t>
  </si>
  <si>
    <t>Mái tôn lạnh không vì kèo: 3,6*4,4</t>
  </si>
  <si>
    <t>Họ và tên chủ hộ: Nguyễn Quang Mạnh - Tiêu Thị Huế (SĐT: 0352994688)</t>
  </si>
  <si>
    <t>Địa chỉ: Thôn Mạc Thủ 1, xã Hà Nam, thành phố Hải Phòng</t>
  </si>
  <si>
    <r>
      <t xml:space="preserve">Đất đai: 
- Thửa đất số 318 , tờ bản đồ số 7 , diện tích thực hiện dự án </t>
    </r>
    <r>
      <rPr>
        <b/>
        <sz val="12"/>
        <color rgb="FFFF0000"/>
        <rFont val="Times New Roman"/>
        <family val="1"/>
      </rPr>
      <t>227,4</t>
    </r>
    <r>
      <rPr>
        <b/>
        <sz val="12"/>
        <rFont val="Times New Roman"/>
        <family val="1"/>
      </rPr>
      <t xml:space="preserve">  m</t>
    </r>
    <r>
      <rPr>
        <b/>
        <vertAlign val="superscript"/>
        <sz val="12"/>
        <rFont val="Times New Roman"/>
        <family val="1"/>
      </rPr>
      <t>2</t>
    </r>
    <r>
      <rPr>
        <b/>
        <sz val="12"/>
        <rFont val="Times New Roman"/>
        <family val="1"/>
      </rPr>
      <t xml:space="preserve">
- Thửa đất số 378, tờ bản đồ số 7, diện tích thực hiện dự án </t>
    </r>
    <r>
      <rPr>
        <b/>
        <sz val="12"/>
        <color rgb="FFFF0000"/>
        <rFont val="Times New Roman"/>
        <family val="1"/>
      </rPr>
      <t>61,1</t>
    </r>
    <r>
      <rPr>
        <b/>
        <sz val="12"/>
        <rFont val="Times New Roman"/>
        <family val="1"/>
      </rPr>
      <t xml:space="preserve"> m2
- Thửa đất số 597 , tờ bản đồ số 6 , diện tích thực hiện dự án 181,2 m2</t>
    </r>
  </si>
  <si>
    <t>Thửa đất số 318</t>
  </si>
  <si>
    <t>Thửa đất số 378</t>
  </si>
  <si>
    <t>Thửa đất số 597</t>
  </si>
  <si>
    <t>Hỗ trợ chi phí đầu tư vào đất bằng 0,5 lần mức bồi thường đối với đất nông nghiệp cùng vị trí theo QĐ số 1516/QĐ-UBND của UBND xã Hà Nam ngày 22/12/2025</t>
  </si>
  <si>
    <t>Tài sản trên thửa 318</t>
  </si>
  <si>
    <t>Nền BTXM: (26,8*6*0,1)</t>
  </si>
  <si>
    <t>Mái tôn lạnh, xà gồ, vì kèo:26,8*3,1</t>
  </si>
  <si>
    <r>
      <rPr>
        <sz val="12"/>
        <rFont val="Times New Roman"/>
        <family val="1"/>
      </rPr>
      <t>664.028</t>
    </r>
  </si>
  <si>
    <t>Cột BTCT (tròn), (chu vi: 50cm; h=3,05; 2 cột); ( chu vi: 35cm; h=3,05; 3 cột)</t>
  </si>
  <si>
    <r>
      <rPr>
        <sz val="12"/>
        <rFont val="Times New Roman"/>
        <family val="1"/>
      </rPr>
      <t>7.050.138</t>
    </r>
  </si>
  <si>
    <t>Di chuyển camera</t>
  </si>
  <si>
    <t>Nhà tạm 1 tầng, mái fibroximăng, xà gồ gỗ, tường gạch chỉ 110, nền BTXM: 10,3*3,4; h=3,3</t>
  </si>
  <si>
    <t>Cộng xây vượt tiêu chuẩn: (3,3-2,5)*(10,3+3,4)*2*0,11</t>
  </si>
  <si>
    <t>Trừ tường không xây 110: (3,3*3,2 + 1,0*2,4 + 0,8*2 + 10,3*3,3 + 3,4*3,3)*0,11</t>
  </si>
  <si>
    <t>Trụ xây gạch chỉ: 0,47*0,22*3,3 + 0,24*0,25*3,3</t>
  </si>
  <si>
    <r>
      <rPr>
        <sz val="12"/>
        <rFont val="Times New Roman"/>
        <family val="1"/>
      </rPr>
      <t>2.623.803</t>
    </r>
  </si>
  <si>
    <t>Tường xây gạch chỉ 220,h=3,3m: (1,15*0,22*3,3) + (0,44+0,78)*3,3*0,22 + (0,75*3,3*0,22)</t>
  </si>
  <si>
    <r>
      <rPr>
        <sz val="12"/>
        <rFont val="Times New Roman"/>
        <family val="1"/>
      </rPr>
      <t>1.919.493</t>
    </r>
  </si>
  <si>
    <t>Dầm BTCT: (3,4*0,24*0,24) + (3*0,1*0,15)</t>
  </si>
  <si>
    <r>
      <rPr>
        <sz val="12"/>
        <rFont val="Times New Roman"/>
        <family val="1"/>
      </rPr>
      <t>8.244.016</t>
    </r>
  </si>
  <si>
    <t>Cửa xếp: 1,8*2,9 + 2,9*1,9</t>
  </si>
  <si>
    <t>Tôn ốp: (3,3*3,2) + (2,4*1) + (3,4*3,3)</t>
  </si>
  <si>
    <t>Nền BTXM: (2,3*11,3*0,1)</t>
  </si>
  <si>
    <t>Trụ xây gạch chỉ đặc: (0,2*0,33*1,5) + (0,25*0,25*1,4)*2</t>
  </si>
  <si>
    <t>Cổng sắt hộp: 2,7*2,2</t>
  </si>
  <si>
    <t>Tường gạch chỉ 110: (2,85*0,5 + 3,35*0,5)*0,11</t>
  </si>
  <si>
    <t>Cột BTCT: 0,12*0,13*3,1</t>
  </si>
  <si>
    <t>Hàng rào sắt đặc 10*10: 2,85*0,7 + 3,35*0,7</t>
  </si>
  <si>
    <t>Sắt D40, h=3,6*3 cột
Theo bảng giá của Công ty TNHH Ống thép Hòa Phát</t>
  </si>
  <si>
    <t>Di chuyển biển quảng cáo Alumex</t>
  </si>
  <si>
    <r>
      <rPr>
        <sz val="12"/>
        <rFont val="Times New Roman"/>
        <family val="1"/>
      </rPr>
      <t>46.462</t>
    </r>
  </si>
  <si>
    <t>Ốp tôn thường: 2,4*1*2 + 6,7*0,8</t>
  </si>
  <si>
    <t>Mái tôn thường, xà gồ, vì kèo: 1,6*6,7</t>
  </si>
  <si>
    <r>
      <rPr>
        <sz val="12"/>
        <color theme="1"/>
        <rFont val="Times New Roman"/>
        <family val="1"/>
      </rPr>
      <t>507.361</t>
    </r>
  </si>
  <si>
    <t>Tài sản trên thửa 378</t>
  </si>
  <si>
    <t>Tường xây gạch chỉ 110: 3*1,5*0,11</t>
  </si>
  <si>
    <t>Cây cối trên thửa 378</t>
  </si>
  <si>
    <t xml:space="preserve"> </t>
  </si>
  <si>
    <t>Cây cối trên thửa 597</t>
  </si>
  <si>
    <t xml:space="preserve">      Đỗ Thị Huy              Tiêu Hoàng Trung</t>
  </si>
  <si>
    <t>Họ và tên chủ hộ: Nguyễn Quang Thương - Nguyễn Thị Sen (SĐT: 0966421430)</t>
  </si>
  <si>
    <r>
      <t>Đất đai: Thửa đất số 319, tờ bản đồ số 7, diện tích thực hiện dự án 72,2 m</t>
    </r>
    <r>
      <rPr>
        <b/>
        <vertAlign val="superscript"/>
        <sz val="12"/>
        <rFont val="Times New Roman"/>
        <family val="1"/>
      </rPr>
      <t>2</t>
    </r>
  </si>
  <si>
    <t>Sân BTXM: 17*5*0,1</t>
  </si>
  <si>
    <t>Cột BTCT: 0,15*0,15*4*6 cột</t>
  </si>
  <si>
    <t>Tường xây gạch chỉ 110 có trát: (2,7+2,4+3)*1,5*0,11</t>
  </si>
  <si>
    <t>Trát tường: (2,7+2,4+3)*1,5*2</t>
  </si>
  <si>
    <t>Tường xây gạch chỉ 110 không trát: 2*1*0,11+4*0,3*0,11*2</t>
  </si>
  <si>
    <t>Trụ xây gạch chỉ có trát: 0,35*0,35*3*3</t>
  </si>
  <si>
    <t>Trát trụ: 0,35*3*4*3</t>
  </si>
  <si>
    <t>Trụ xây gạch chỉ có trát: 0,22*0,22*1,7*1</t>
  </si>
  <si>
    <t>Trát trụ: 0,22*1,7*4</t>
  </si>
  <si>
    <t>Sắt tròn D15 (trụ cổng): 8 thanh *4 cột*3m</t>
  </si>
  <si>
    <t>Giằng trụ BTCT: 0,2*0,2*3</t>
  </si>
  <si>
    <t>Hàng rào lưới B40: 1,5*10+0,8*8,5</t>
  </si>
  <si>
    <t>Cổng sắt: 3*1,6*2</t>
  </si>
  <si>
    <t>Mái Fibro xi măng sườn thép: 8*2,2</t>
  </si>
  <si>
    <t>Rèm tôn: 3*2,5</t>
  </si>
  <si>
    <t>Họ và tên chủ hộ: Tiêu Công Tiến (SĐT: 0837306286)</t>
  </si>
  <si>
    <r>
      <t>Đất đai: Thửa đất số 336, tờ bản đồ số 7, diện tích thực hiện dự án 56,4 m</t>
    </r>
    <r>
      <rPr>
        <b/>
        <vertAlign val="superscript"/>
        <sz val="12"/>
        <rFont val="Times New Roman"/>
        <family val="1"/>
      </rPr>
      <t>2</t>
    </r>
  </si>
  <si>
    <t>Tường xây gạch pa panh: 2*1,5*0,11</t>
  </si>
  <si>
    <t>Họ và tên chủ hộ: Nguyễn Quang Quý (SĐT: 0982864308)</t>
  </si>
  <si>
    <r>
      <t>Đất đai: Thửa đất số 368, tờ bản đồ số 7, diện tích thực hiện dự án 166,2 m</t>
    </r>
    <r>
      <rPr>
        <b/>
        <vertAlign val="superscript"/>
        <sz val="12"/>
        <rFont val="Times New Roman"/>
        <family val="1"/>
      </rPr>
      <t>2</t>
    </r>
  </si>
  <si>
    <t>Tường xây gạch chỉ 110: 5*1,6*0,11</t>
  </si>
  <si>
    <t>Cột típ sắt D24: dài 2,5m*8 cột
Theo bảng giá của Công ty TNHH Ống thép Hòa Phát</t>
  </si>
  <si>
    <t>Mái tôn sườn sắt: 2,9*2,3</t>
  </si>
  <si>
    <t>Sân BTXM: 6,2*12,5*0,15</t>
  </si>
  <si>
    <t>Mái tôn sườn sắt: 1,8*3</t>
  </si>
  <si>
    <t>Cột típ D42: cao 2m*2 cột
Theo bảng giá của Công ty TNHH Ống thép Hòa Phát</t>
  </si>
  <si>
    <t>Tường xây gạch chỉ 110: 4*3*0,11*2</t>
  </si>
  <si>
    <t>Tường xây gạch chỉ 220: 2*2,4*0,22</t>
  </si>
  <si>
    <t>Mái Fibro xi măng sườn tre: 4*5</t>
  </si>
  <si>
    <t>Họ và tên chủ hộ: Lê Thị Sáng (SĐT: 0975971177)</t>
  </si>
  <si>
    <r>
      <t>Đất đai: Thửa đất số 339, tờ bản đồ số 7, diện tích thực hiện dự án 184 m</t>
    </r>
    <r>
      <rPr>
        <b/>
        <vertAlign val="superscript"/>
        <sz val="12"/>
        <rFont val="Times New Roman"/>
        <family val="1"/>
      </rPr>
      <t>2</t>
    </r>
  </si>
  <si>
    <t>Tường xây gạch pa panh: (19,8*0,7)*0,11</t>
  </si>
  <si>
    <t>Tường xây gạch pa panh có gắn mảnh chai: (28,5*1,5)*0,11</t>
  </si>
  <si>
    <t>Gắn mảnh chai: 28,5m</t>
  </si>
  <si>
    <t>m</t>
  </si>
  <si>
    <t>Họ và tên chủ hộ: Nguyễn Đức Minh (SĐT: 0384755073)</t>
  </si>
  <si>
    <r>
      <t>Đất đai: Thửa đất số 420, tờ bản đồ số 7, diện tích thực hiện dự án 188,2 m</t>
    </r>
    <r>
      <rPr>
        <b/>
        <vertAlign val="superscript"/>
        <sz val="12"/>
        <rFont val="Times New Roman"/>
        <family val="1"/>
      </rPr>
      <t>2</t>
    </r>
  </si>
  <si>
    <t>Tường xây gạch chỉ 110 không trát: 43*2,5+13*3</t>
  </si>
  <si>
    <t>Mái tôn sườn sắt: 5,5*5,4</t>
  </si>
  <si>
    <t>Rèm tôn: 1,5*5,5</t>
  </si>
  <si>
    <t>Cột thép tròn D60: 3,5m*2 thanh
Theo bảng giá của Công ty TNHH Ống thép Hòa Phát</t>
  </si>
  <si>
    <t>Trụ cổng xây gạch chỉ không trát: 0,45*0,45*3*2 trụ</t>
  </si>
  <si>
    <t>Thép tròn D15 trụ cổng: 4 thanh*3m*2 trụ
Theo bảng giá của Công ty TNHH Ống thép Hòa Phát</t>
  </si>
  <si>
    <t>Trụ xây gạch pa panh không trát: 0,4*0,6*3*2 trụ</t>
  </si>
  <si>
    <t>Trụ xây gạch chỉ không trát: 0,22*0,22*2,5*3 trụ</t>
  </si>
  <si>
    <t>Cổng thép: 2,2*2,1</t>
  </si>
  <si>
    <t>Hàng rào lưới B40: 2*1</t>
  </si>
  <si>
    <t>Sân BTXM: (2,2*2+5,5*2)*0,1</t>
  </si>
  <si>
    <t>Cột BTCT: 0,12*0,12*2*10 cột</t>
  </si>
  <si>
    <t>Cây roi đường kính tán 3m ≤ ĐK tán &lt;4m</t>
  </si>
  <si>
    <t>Họ và tên chủ hộ: Phạm Văn Tố (SĐT: )</t>
  </si>
  <si>
    <t>Đất đai: Thửa đất số 33, tờ bản đồ số 16, diện tích thực hiện dự án 1,1 m2</t>
  </si>
  <si>
    <t>Họ và tên chủ hộ: Nguyễn Duy Quyên (SĐT: 0968866967)</t>
  </si>
  <si>
    <r>
      <t>Đất đai: Thửa đất số 597, tờ bản đồ số 6, diện tích thực hiện dự án 101 m</t>
    </r>
    <r>
      <rPr>
        <b/>
        <vertAlign val="superscript"/>
        <sz val="12"/>
        <rFont val="Times New Roman"/>
        <family val="1"/>
      </rPr>
      <t>2</t>
    </r>
  </si>
  <si>
    <t>Mái tôn thường xà gồ sắt: (6,2*2,9)</t>
  </si>
  <si>
    <t>Cột típ sắt D34 (1,4mm): 2,3m*4 cột
Theo bảng giá của Công ty TNHH Ống thép Hòa Phát</t>
  </si>
  <si>
    <t>Nền BTXM: 13,3*2,4*0,1</t>
  </si>
  <si>
    <t>Mái tôn thường xà gồ, vì kèo sắt: 0,8*(8+4,6+9,3)</t>
  </si>
  <si>
    <t>Nhà xưởng 1 tầng, nền BTXM, 2 mái, tôn thường xà gồ, vì kèo, lợp xốp chống nóng, tường xây gạch chỉ 110: 19,9*8; h=3,75m</t>
  </si>
  <si>
    <t>Vách Alumex: 4,7*2,45+3,2*2,45</t>
  </si>
  <si>
    <t>Sắt hộp (50*10): 2,45*9+3,2*8
Theo bảng giá của Công ty TNHH Ống thép Hòa Phát</t>
  </si>
  <si>
    <t>Mái tôn lạnh xà gồ sắt: 3,2*4,7</t>
  </si>
  <si>
    <t>Di chuyển điều hòa</t>
  </si>
  <si>
    <t>Cột BTCT: 0,15*0,15*1,5*9 cột</t>
  </si>
  <si>
    <t>Ốp tường tôn thường: 19,7*1,5</t>
  </si>
  <si>
    <t>Nhà xưởng 1 tầng, 2 mái, tôn thường sườn sắt, nền BTXM, tường xây gạch chỉ 110: 13,9*7,9; h=3,75m</t>
  </si>
  <si>
    <t>Ốp tôn thường: 1,1*13,9+0,8*3,75+0,8*4</t>
  </si>
  <si>
    <t>Hàng rào sắt đặc: 3,75*(13,9-1,7)+(1,1*1,7)+(5,5*1,9)+(1,9*5,4)</t>
  </si>
  <si>
    <t>Cột típ sắt D60: 3m*8 cột
Theo bảng giá của Công ty TNHH Ống thép Hòa Phát</t>
  </si>
  <si>
    <t>Tường xây gạch chỉ 110 có trát: 1,7*2+2*1,5-1,7*0,7+1,2*(1,7+1,7)</t>
  </si>
  <si>
    <t>Trát tường: (1,7*2+2*1,5-1,7*0,7+1,2*(1,7+1,7))*2</t>
  </si>
  <si>
    <t>Lát nền gạch ceramic: 1,5*1,7</t>
  </si>
  <si>
    <t>Xí bệt</t>
  </si>
  <si>
    <t>Họ và tên chủ hộ: Nguyễn Quang Năm (SĐT: )</t>
  </si>
  <si>
    <r>
      <t>Đất đai: Thửa đất số 319, tờ bản đồ số 7, diện tích thực hiện dự án 58,3 m</t>
    </r>
    <r>
      <rPr>
        <b/>
        <vertAlign val="superscript"/>
        <sz val="12"/>
        <rFont val="Times New Roman"/>
        <family val="1"/>
      </rPr>
      <t>2</t>
    </r>
  </si>
  <si>
    <t>Nguyễn Văn Sơn
Lê Thị Mây</t>
  </si>
  <si>
    <t>Họ và tên chủ hộ: Nguyễn Văn Sơn (SĐT: )</t>
  </si>
  <si>
    <t>Đất đai: Thửa đất số 112, tờ bản đồ số 17</t>
  </si>
  <si>
    <t xml:space="preserve">Hỗ trợ 25% theo Quyết định số 1516/QĐ-UBND của UBND xã Hà Nam ngày 22/12/2025 </t>
  </si>
  <si>
    <t>Đặng Tiến Thài</t>
  </si>
  <si>
    <t>Mạc Quang Sơn
Nguyễn Thị Oanh</t>
  </si>
  <si>
    <t>Mạc Thị Dung
Mạc Văn Thách (bố đẻ)</t>
  </si>
  <si>
    <t>Mạc Văn Ngọc
Mạc Văn Thách (em trai)</t>
  </si>
  <si>
    <t>Phạm Như Quang</t>
  </si>
  <si>
    <t>Lê Thị Huế
Lê Văn Bản (bố đẻ)</t>
  </si>
  <si>
    <t>Lương Văn Chiều
Vũ Thị Thu</t>
  </si>
  <si>
    <t>Mạc Văn Luật
Nguyễn Thị Đắp (mẹ)</t>
  </si>
  <si>
    <t>Vương Văn Hiển
Vương Văn Ngọc (anh trai)</t>
  </si>
  <si>
    <t>Vương Thị Xuân
Đỗ Văn Tuynh</t>
  </si>
  <si>
    <t>Mạc Văn Nhì
Nguyễn Thị Phương</t>
  </si>
  <si>
    <t>Mạc Minh Tùng
Nguyễn Thị Ngọc</t>
  </si>
  <si>
    <t>Mạc Văn Tuấn
Nguyễn Thị Vinh</t>
  </si>
  <si>
    <t>Thưởng tiến độ</t>
  </si>
  <si>
    <t>Mạc Thị Hà
Vũ Thị Thu Hương (mẹ)</t>
  </si>
  <si>
    <t>Vương Văn Sơn</t>
  </si>
  <si>
    <t>Vương Văn Xuyên</t>
  </si>
  <si>
    <t>Đất đai: Thửa đất số 53, tờ bản đồ số 20, diện tích thực hiện dự án 10,8 m2</t>
  </si>
  <si>
    <t>Mái tôn lạnh sườn sắt: 1,2*4,5</t>
  </si>
  <si>
    <t>Họ và tên chủ hộ: Tiêu Công Dương  (SĐT:0358029321 )</t>
  </si>
  <si>
    <t>Sân BTXM: 3*9,5*0,1</t>
  </si>
  <si>
    <t>Hỗ trợ chi phí tháo dỡ, thu dọn phần diện tích sân BTXM còn lại thuộc HLGT</t>
  </si>
  <si>
    <t>Tiêu Công Dương</t>
  </si>
  <si>
    <t xml:space="preserve">   </t>
  </si>
  <si>
    <t>Bồi thường phần sân BTXM thuộc diện tích đất ở: 0,1m2*0,1</t>
  </si>
  <si>
    <t>Hỗ trợ phần sân BTXM thuộc diện tích đất ao: 1.7m2*0,1</t>
  </si>
  <si>
    <t>Đất đai: Thửa đất số 252, tờ bản đồ số 17, diện tích thực hiện dự án 1.8 m2</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</si>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</sst>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 _₫_-;\-* #,##0.00\ _₫_-;_-* &quot;-&quot;??\ _₫_-;_-@_-"/>
    <numFmt numFmtId="164" formatCode="_(* #,##0.00_);_(* \(#,##0.00\);_(* &quot;-&quot;??_);_(@_)"/>
    <numFmt numFmtId="165" formatCode="_(* #,##0_);_(* \(#,##0\);_(* &quot;-&quot;??_);_(@_)"/>
    <numFmt numFmtId="166" formatCode="00.000"/>
    <numFmt numFmtId="167" formatCode="_-* #,##0_-;\-* #,##0_-;_-* &quot;-&quot;_-;_-@_-"/>
    <numFmt numFmtId="168" formatCode="_-* #,##0.00_-;\-* #,##0.00_-;_-* &quot;-&quot;??_-;_-@_-"/>
    <numFmt numFmtId="169" formatCode="#,##0\ &quot;DM&quot;;\-#,##0\ &quot;DM&quot;"/>
    <numFmt numFmtId="170" formatCode="0.000%"/>
    <numFmt numFmtId="171" formatCode="&quot;￥&quot;#,##0;&quot;￥&quot;\-#,##0"/>
    <numFmt numFmtId="172" formatCode="_-&quot;$&quot;* #,##0_-;\-&quot;$&quot;* #,##0_-;_-&quot;$&quot;* &quot;-&quot;_-;_-@_-"/>
    <numFmt numFmtId="173" formatCode="_-&quot;$&quot;* #,##0.00_-;\-&quot;$&quot;* #,##0.00_-;_-&quot;$&quot;* &quot;-&quot;??_-;_-@_-"/>
    <numFmt numFmtId="174" formatCode="#,##0.000"/>
    <numFmt numFmtId="175" formatCode="0.0"/>
    <numFmt numFmtId="176" formatCode="#,##0.0"/>
    <numFmt numFmtId="177" formatCode="0.0%"/>
  </numFmts>
  <fonts count="80">
    <font>
      <sz val="12"/>
      <name val=".VnTime"/>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VnTime"/>
      <family val="2"/>
    </font>
    <font>
      <b/>
      <sz val="12"/>
      <name val="Arial"/>
      <family val="2"/>
    </font>
    <font>
      <sz val="14"/>
      <name val="뼻뮝"/>
      <family val="3"/>
    </font>
    <font>
      <sz val="12"/>
      <name val="바탕체"/>
      <family val="3"/>
    </font>
    <font>
      <sz val="12"/>
      <name val="뼻뮝"/>
      <family val="3"/>
    </font>
    <font>
      <sz val="12"/>
      <name val="新細明體"/>
      <family val="1"/>
      <charset val="136"/>
    </font>
    <font>
      <sz val="11"/>
      <name val="돋움"/>
      <family val="3"/>
    </font>
    <font>
      <sz val="10"/>
      <name val="굴림체"/>
      <family val="3"/>
    </font>
    <font>
      <sz val="10"/>
      <name val="Arial"/>
      <family val="2"/>
    </font>
    <font>
      <sz val="10"/>
      <name val="돋움"/>
      <family val="3"/>
    </font>
    <font>
      <b/>
      <sz val="10"/>
      <color indexed="10"/>
      <name val="Arial"/>
      <family val="2"/>
    </font>
    <font>
      <b/>
      <sz val="10"/>
      <color indexed="8"/>
      <name val="Arial"/>
      <family val="2"/>
    </font>
    <font>
      <sz val="8"/>
      <name val=".VnTime"/>
      <family val="2"/>
    </font>
    <font>
      <sz val="12"/>
      <name val=".VnTime"/>
      <family val="2"/>
    </font>
    <font>
      <b/>
      <sz val="13"/>
      <name val="Times New Roman"/>
      <family val="1"/>
      <charset val="163"/>
    </font>
    <font>
      <sz val="12"/>
      <name val="Times New Roman"/>
      <family val="1"/>
    </font>
    <font>
      <b/>
      <sz val="12"/>
      <name val="Times New Roman"/>
      <family val="1"/>
    </font>
    <font>
      <sz val="14"/>
      <name val=".VnTime"/>
      <family val="2"/>
    </font>
    <font>
      <sz val="12"/>
      <name val="Arial"/>
      <family val="2"/>
    </font>
    <font>
      <b/>
      <sz val="13"/>
      <name val="Times New Roman"/>
      <family val="1"/>
    </font>
    <font>
      <sz val="13"/>
      <name val="Times New Roman"/>
      <family val="1"/>
    </font>
    <font>
      <vertAlign val="superscript"/>
      <sz val="13"/>
      <name val="Times New Roman"/>
      <family val="1"/>
    </font>
    <font>
      <b/>
      <sz val="12"/>
      <name val="Times New Roman"/>
      <family val="1"/>
      <charset val="163"/>
    </font>
    <font>
      <sz val="12"/>
      <name val="Times New Roman"/>
      <family val="1"/>
      <charset val="163"/>
    </font>
    <font>
      <i/>
      <sz val="12"/>
      <name val="Times New Roman"/>
      <family val="1"/>
      <charset val="163"/>
    </font>
    <font>
      <b/>
      <sz val="11"/>
      <name val="Times New Roman"/>
      <family val="1"/>
      <charset val="163"/>
    </font>
    <font>
      <sz val="12"/>
      <name val=".VnTime"/>
      <family val="2"/>
    </font>
    <font>
      <sz val="11"/>
      <color theme="1"/>
      <name val="Calibri"/>
      <family val="2"/>
      <scheme val="minor"/>
    </font>
    <font>
      <sz val="12"/>
      <color theme="1"/>
      <name val="Calibri"/>
      <family val="2"/>
      <scheme val="minor"/>
    </font>
    <font>
      <b/>
      <sz val="11"/>
      <name val="Times New Roman"/>
      <family val="1"/>
    </font>
    <font>
      <b/>
      <sz val="14"/>
      <name val="Times New Roman"/>
      <family val="1"/>
    </font>
    <font>
      <b/>
      <i/>
      <sz val="12"/>
      <name val="Times New Roman"/>
      <family val="1"/>
    </font>
    <font>
      <i/>
      <sz val="12"/>
      <name val="Times New Roman"/>
      <family val="1"/>
    </font>
    <font>
      <sz val="11"/>
      <color indexed="8"/>
      <name val="Calibri"/>
      <family val="2"/>
    </font>
    <font>
      <sz val="11"/>
      <color theme="1"/>
      <name val="Calibri"/>
      <family val="2"/>
    </font>
    <font>
      <b/>
      <sz val="12"/>
      <color rgb="FF000000"/>
      <name val="Times New Roman"/>
      <family val="1"/>
    </font>
    <font>
      <sz val="12"/>
      <color rgb="FF000000"/>
      <name val="Times New Roman"/>
      <family val="1"/>
    </font>
    <font>
      <sz val="13"/>
      <color rgb="FF000000"/>
      <name val="Times New Roman"/>
      <family val="1"/>
    </font>
    <font>
      <b/>
      <sz val="13"/>
      <color rgb="FF000000"/>
      <name val="Times New Roman"/>
      <family val="1"/>
    </font>
    <font>
      <sz val="6"/>
      <name val="Times New Roman"/>
      <family val="1"/>
    </font>
    <font>
      <i/>
      <sz val="11"/>
      <name val="Times New Roman"/>
      <family val="1"/>
    </font>
    <font>
      <sz val="11"/>
      <name val="Times New Roman"/>
      <family val="1"/>
    </font>
    <font>
      <b/>
      <sz val="11"/>
      <name val="Segoe UI Symbol"/>
      <family val="2"/>
    </font>
    <font>
      <sz val="10"/>
      <name val="Times New Roman"/>
      <family val="1"/>
    </font>
    <font>
      <sz val="12"/>
      <name val="Times New Roman"/>
      <family val="1"/>
    </font>
    <font>
      <b/>
      <sz val="13"/>
      <name val="Times New Roman"/>
      <family val="1"/>
    </font>
    <font>
      <b/>
      <sz val="12"/>
      <name val="Times New Roman"/>
      <family val="1"/>
    </font>
    <font>
      <b/>
      <sz val="12"/>
      <name val="Times New Roman"/>
      <family val="1"/>
    </font>
    <font>
      <b/>
      <u/>
      <sz val="12"/>
      <name val="Times New Roman"/>
      <family val="1"/>
    </font>
    <font>
      <b/>
      <sz val="14"/>
      <name val="Times New Roman"/>
      <family val="1"/>
    </font>
    <font>
      <b/>
      <sz val="12"/>
      <name val=".VnTime"/>
      <family val="2"/>
    </font>
    <font>
      <sz val="12"/>
      <name val="Times New Roman"/>
      <family val="1"/>
    </font>
    <font>
      <i/>
      <sz val="12"/>
      <name val="Times New Roman"/>
      <family val="1"/>
    </font>
    <font>
      <sz val="13"/>
      <name val="Times New Roman"/>
      <family val="1"/>
    </font>
    <font>
      <b/>
      <sz val="12"/>
      <name val="Segoe UI Symbol"/>
      <family val="2"/>
    </font>
    <font>
      <vertAlign val="superscript"/>
      <sz val="12"/>
      <name val="Times New Roman"/>
      <family val="1"/>
    </font>
    <font>
      <sz val="11"/>
      <name val=".VnTime"/>
      <family val="2"/>
    </font>
    <font>
      <i/>
      <sz val="13"/>
      <name val="Times New Roman"/>
      <family val="1"/>
    </font>
    <font>
      <b/>
      <vertAlign val="superscript"/>
      <sz val="12"/>
      <name val="Times New Roman"/>
      <family val="1"/>
    </font>
    <font>
      <sz val="11"/>
      <name val="Times New Roman"/>
      <family val="1"/>
      <charset val="163"/>
    </font>
    <font>
      <vertAlign val="superscript"/>
      <sz val="11"/>
      <name val="Times New Roman"/>
      <family val="1"/>
      <charset val="163"/>
    </font>
    <font>
      <sz val="11"/>
      <color theme="1"/>
      <name val="Times New Roman"/>
      <family val="1"/>
      <charset val="163"/>
    </font>
    <font>
      <sz val="11"/>
      <color theme="1"/>
      <name val="Times New Roman"/>
      <family val="1"/>
    </font>
    <font>
      <sz val="11"/>
      <color theme="1"/>
      <name val=".VnTime"/>
      <family val="2"/>
    </font>
    <font>
      <b/>
      <sz val="12"/>
      <color rgb="FFFF0000"/>
      <name val="Times New Roman"/>
      <family val="1"/>
    </font>
    <font>
      <sz val="10"/>
      <color theme="1"/>
      <name val="Arial"/>
      <family val="2"/>
    </font>
    <font>
      <sz val="12"/>
      <color theme="1"/>
      <name val="Times New Roman"/>
      <family val="1"/>
    </font>
  </fonts>
  <fills count="9">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8"/>
        <bgColor indexed="64"/>
      </patternFill>
    </fill>
    <fill>
      <patternFill patternType="solid">
        <fgColor indexed="13"/>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FF00"/>
        <bgColor indexed="64"/>
      </patternFill>
    </fill>
  </fills>
  <borders count="2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1F1F1F"/>
      </left>
      <right/>
      <top style="thin">
        <color rgb="FF1F1F1F"/>
      </top>
      <bottom style="thin">
        <color rgb="FF1F1F1F"/>
      </bottom>
      <diagonal/>
    </border>
    <border>
      <left/>
      <right style="thin">
        <color rgb="FF1F1F1F"/>
      </right>
      <top style="thin">
        <color rgb="FF1F1F1F"/>
      </top>
      <bottom style="thin">
        <color rgb="FF1F1F1F"/>
      </bottom>
      <diagonal/>
    </border>
    <border>
      <left/>
      <right style="thin">
        <color rgb="FF1F1F1F"/>
      </right>
      <top style="thin">
        <color rgb="FF1F1F1F"/>
      </top>
      <bottom style="thin">
        <color rgb="FF231F1F"/>
      </bottom>
      <diagonal/>
    </border>
    <border>
      <left/>
      <right style="thin">
        <color rgb="FF1F1F1F"/>
      </right>
      <top style="thin">
        <color rgb="FF231F1F"/>
      </top>
      <bottom style="thin">
        <color rgb="FF1F1F1F"/>
      </bottom>
      <diagonal/>
    </border>
    <border>
      <left style="thin">
        <color rgb="FF1F1F23"/>
      </left>
      <right/>
      <top style="thin">
        <color rgb="FF1F1F23"/>
      </top>
      <bottom style="thin">
        <color rgb="FF1F1F23"/>
      </bottom>
      <diagonal/>
    </border>
    <border>
      <left/>
      <right style="thin">
        <color rgb="FF1F1F23"/>
      </right>
      <top style="thin">
        <color rgb="FF1F1F23"/>
      </top>
      <bottom style="thin">
        <color rgb="FF1F1F23"/>
      </bottom>
      <diagonal/>
    </border>
    <border>
      <left style="thin">
        <color rgb="FF1F1F1F"/>
      </left>
      <right/>
      <top style="thin">
        <color rgb="FF1F1F1F"/>
      </top>
      <bottom/>
      <diagonal/>
    </border>
    <border>
      <left/>
      <right style="thin">
        <color rgb="FF1F1F1F"/>
      </right>
      <top style="thin">
        <color rgb="FF1F1F1F"/>
      </top>
      <bottom/>
      <diagonal/>
    </border>
    <border>
      <left style="thin">
        <color rgb="FF1C1C1C"/>
      </left>
      <right/>
      <top style="thin">
        <color rgb="FF1C1C1C"/>
      </top>
      <bottom style="thin">
        <color rgb="FF1C1C1C"/>
      </bottom>
      <diagonal/>
    </border>
    <border>
      <left/>
      <right style="thin">
        <color rgb="FF1C1C1C"/>
      </right>
      <top style="thin">
        <color rgb="FF1C1C1C"/>
      </top>
      <bottom style="thin">
        <color rgb="FF1C1C1C"/>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s>
  <cellStyleXfs count="60">
    <xf numFmtId="0" fontId="0" fillId="0" borderId="0"/>
    <xf numFmtId="164" fontId="13" fillId="0" borderId="0" applyFont="0" applyFill="0" applyBorder="0" applyAlignment="0" applyProtection="0"/>
    <xf numFmtId="164" fontId="26" fillId="0" borderId="0" applyFont="0" applyFill="0" applyBorder="0" applyAlignment="0" applyProtection="0"/>
    <xf numFmtId="164" fontId="39" fillId="0" borderId="0" applyFont="0" applyFill="0" applyBorder="0" applyAlignment="0" applyProtection="0"/>
    <xf numFmtId="0" fontId="14" fillId="0" borderId="1" applyNumberFormat="0" applyAlignment="0" applyProtection="0">
      <alignment horizontal="left" vertical="center"/>
    </xf>
    <xf numFmtId="0" fontId="14" fillId="0" borderId="2">
      <alignment horizontal="left" vertical="center"/>
    </xf>
    <xf numFmtId="0" fontId="30" fillId="0" borderId="0"/>
    <xf numFmtId="0" fontId="30" fillId="0" borderId="0"/>
    <xf numFmtId="0" fontId="26" fillId="0" borderId="0"/>
    <xf numFmtId="0" fontId="40" fillId="0" borderId="0"/>
    <xf numFmtId="0" fontId="30" fillId="0" borderId="0"/>
    <xf numFmtId="0" fontId="30" fillId="0" borderId="0"/>
    <xf numFmtId="0" fontId="26" fillId="0" borderId="0"/>
    <xf numFmtId="0" fontId="41" fillId="0" borderId="0"/>
    <xf numFmtId="0" fontId="26" fillId="0" borderId="0"/>
    <xf numFmtId="0" fontId="31" fillId="0" borderId="0"/>
    <xf numFmtId="40" fontId="15" fillId="0" borderId="0" applyFont="0" applyFill="0" applyBorder="0" applyAlignment="0" applyProtection="0"/>
    <xf numFmtId="3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9" fontId="16" fillId="0" borderId="0" applyFont="0" applyFill="0" applyBorder="0" applyAlignment="0" applyProtection="0"/>
    <xf numFmtId="0" fontId="17" fillId="0" borderId="0"/>
    <xf numFmtId="169" fontId="19" fillId="0" borderId="0" applyFont="0" applyFill="0" applyBorder="0" applyAlignment="0" applyProtection="0"/>
    <xf numFmtId="170" fontId="19" fillId="0" borderId="0" applyFont="0" applyFill="0" applyBorder="0" applyAlignment="0" applyProtection="0"/>
    <xf numFmtId="171" fontId="19" fillId="0" borderId="0" applyFont="0" applyFill="0" applyBorder="0" applyAlignment="0" applyProtection="0"/>
    <xf numFmtId="166" fontId="19" fillId="0" borderId="0" applyFont="0" applyFill="0" applyBorder="0" applyAlignment="0" applyProtection="0"/>
    <xf numFmtId="0" fontId="20" fillId="0" borderId="0"/>
    <xf numFmtId="0" fontId="21" fillId="0" borderId="0"/>
    <xf numFmtId="0" fontId="18" fillId="0" borderId="0"/>
    <xf numFmtId="167" fontId="18" fillId="0" borderId="0" applyFont="0" applyFill="0" applyBorder="0" applyAlignment="0" applyProtection="0"/>
    <xf numFmtId="168" fontId="18" fillId="0" borderId="0" applyFont="0" applyFill="0" applyBorder="0" applyAlignment="0" applyProtection="0"/>
    <xf numFmtId="172" fontId="18" fillId="0" borderId="0" applyFont="0" applyFill="0" applyBorder="0" applyAlignment="0" applyProtection="0"/>
    <xf numFmtId="173" fontId="18" fillId="0" borderId="0" applyFont="0" applyFill="0" applyBorder="0" applyAlignment="0" applyProtection="0"/>
    <xf numFmtId="0" fontId="13" fillId="0" borderId="0"/>
    <xf numFmtId="0" fontId="12" fillId="0" borderId="0"/>
    <xf numFmtId="0" fontId="11" fillId="0" borderId="0"/>
    <xf numFmtId="0" fontId="13" fillId="0" borderId="0"/>
    <xf numFmtId="0" fontId="10" fillId="0" borderId="0"/>
    <xf numFmtId="0" fontId="9" fillId="0" borderId="0"/>
    <xf numFmtId="0" fontId="8" fillId="0" borderId="0"/>
    <xf numFmtId="0" fontId="7" fillId="0" borderId="0"/>
    <xf numFmtId="0" fontId="6" fillId="0" borderId="0"/>
    <xf numFmtId="164" fontId="46" fillId="0" borderId="0" applyFont="0" applyFill="0" applyBorder="0" applyAlignment="0" applyProtection="0"/>
    <xf numFmtId="0" fontId="5" fillId="0" borderId="0"/>
    <xf numFmtId="0" fontId="4" fillId="0" borderId="0"/>
    <xf numFmtId="0" fontId="4" fillId="0" borderId="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47" fillId="0" borderId="0"/>
    <xf numFmtId="0" fontId="47" fillId="0" borderId="0"/>
    <xf numFmtId="0" fontId="2" fillId="0" borderId="0"/>
    <xf numFmtId="0" fontId="13" fillId="0" borderId="0"/>
    <xf numFmtId="0" fontId="13" fillId="0" borderId="0"/>
    <xf numFmtId="0" fontId="13" fillId="0" borderId="0"/>
    <xf numFmtId="0" fontId="21" fillId="0" borderId="0"/>
    <xf numFmtId="0" fontId="13" fillId="0" borderId="0"/>
    <xf numFmtId="0" fontId="1" fillId="0" borderId="0"/>
  </cellStyleXfs>
  <cellXfs count="489">
    <xf numFmtId="0" fontId="0" fillId="0" borderId="0" xfId="0"/>
    <xf numFmtId="0" fontId="22" fillId="2" borderId="0" xfId="27" applyFont="1" applyFill="1"/>
    <xf numFmtId="0" fontId="21" fillId="0" borderId="0" xfId="27"/>
    <xf numFmtId="0" fontId="21" fillId="2" borderId="0" xfId="27" applyFill="1"/>
    <xf numFmtId="0" fontId="21" fillId="3" borderId="3" xfId="27" applyFill="1" applyBorder="1"/>
    <xf numFmtId="0" fontId="23" fillId="4" borderId="4" xfId="27" applyFont="1" applyFill="1" applyBorder="1" applyAlignment="1">
      <alignment horizontal="center"/>
    </xf>
    <xf numFmtId="0" fontId="24" fillId="5" borderId="5" xfId="27" applyFont="1" applyFill="1" applyBorder="1" applyAlignment="1">
      <alignment horizontal="center"/>
    </xf>
    <xf numFmtId="0" fontId="23" fillId="4" borderId="5" xfId="27" applyFont="1" applyFill="1" applyBorder="1" applyAlignment="1">
      <alignment horizontal="center"/>
    </xf>
    <xf numFmtId="0" fontId="23" fillId="4" borderId="6" xfId="27" applyFont="1" applyFill="1" applyBorder="1" applyAlignment="1">
      <alignment horizontal="center"/>
    </xf>
    <xf numFmtId="0" fontId="21" fillId="3" borderId="7" xfId="27" applyFill="1" applyBorder="1"/>
    <xf numFmtId="0" fontId="21" fillId="3" borderId="8" xfId="27" applyFill="1" applyBorder="1"/>
    <xf numFmtId="3" fontId="32" fillId="0" borderId="9" xfId="33" applyNumberFormat="1" applyFont="1" applyBorder="1" applyAlignment="1">
      <alignment vertical="center" wrapText="1"/>
    </xf>
    <xf numFmtId="0" fontId="13" fillId="0" borderId="0" xfId="33"/>
    <xf numFmtId="3" fontId="28" fillId="0" borderId="9" xfId="33" applyNumberFormat="1" applyFont="1" applyBorder="1" applyAlignment="1">
      <alignment horizontal="left" vertical="center" wrapText="1"/>
    </xf>
    <xf numFmtId="3" fontId="28" fillId="0" borderId="9" xfId="33" applyNumberFormat="1" applyFont="1" applyBorder="1" applyAlignment="1">
      <alignment horizontal="center" vertical="center" wrapText="1"/>
    </xf>
    <xf numFmtId="3" fontId="28" fillId="0" borderId="9" xfId="33" applyNumberFormat="1" applyFont="1" applyBorder="1" applyAlignment="1">
      <alignment vertical="center" wrapText="1"/>
    </xf>
    <xf numFmtId="0" fontId="13" fillId="6" borderId="0" xfId="33" applyFill="1" applyAlignment="1">
      <alignment wrapText="1"/>
    </xf>
    <xf numFmtId="0" fontId="13" fillId="0" borderId="0" xfId="33" applyAlignment="1">
      <alignment wrapText="1"/>
    </xf>
    <xf numFmtId="4" fontId="13" fillId="0" borderId="0" xfId="33" applyNumberFormat="1" applyAlignment="1">
      <alignment wrapText="1"/>
    </xf>
    <xf numFmtId="0" fontId="13" fillId="0" borderId="0" xfId="33" applyAlignment="1">
      <alignment horizontal="right" wrapText="1"/>
    </xf>
    <xf numFmtId="4" fontId="13" fillId="0" borderId="0" xfId="33" applyNumberFormat="1" applyAlignment="1">
      <alignment horizontal="center" wrapText="1"/>
    </xf>
    <xf numFmtId="0" fontId="29" fillId="0" borderId="12" xfId="0" applyFont="1" applyBorder="1" applyAlignment="1">
      <alignment horizontal="left" vertical="center" wrapText="1"/>
    </xf>
    <xf numFmtId="0" fontId="48" fillId="0" borderId="9" xfId="0" applyFont="1" applyBorder="1" applyAlignment="1">
      <alignment horizontal="center" vertical="center"/>
    </xf>
    <xf numFmtId="0" fontId="29" fillId="0" borderId="13" xfId="0" applyFont="1" applyBorder="1" applyAlignment="1">
      <alignment horizontal="center" vertical="center" wrapText="1"/>
    </xf>
    <xf numFmtId="0" fontId="28" fillId="0" borderId="0" xfId="0" applyFont="1"/>
    <xf numFmtId="0" fontId="49" fillId="0" borderId="9" xfId="0" applyFont="1" applyBorder="1" applyAlignment="1">
      <alignment horizontal="center" vertical="center"/>
    </xf>
    <xf numFmtId="0" fontId="49" fillId="0" borderId="13" xfId="0" applyFont="1" applyBorder="1" applyAlignment="1">
      <alignment horizontal="center" vertical="center" wrapText="1"/>
    </xf>
    <xf numFmtId="0" fontId="28" fillId="0" borderId="12" xfId="0" applyFont="1" applyBorder="1" applyAlignment="1">
      <alignment horizontal="left" vertical="center" wrapText="1"/>
    </xf>
    <xf numFmtId="3" fontId="49" fillId="0" borderId="13" xfId="0" applyNumberFormat="1" applyFont="1" applyBorder="1" applyAlignment="1">
      <alignment horizontal="center" vertical="center" shrinkToFit="1"/>
    </xf>
    <xf numFmtId="3" fontId="49" fillId="0" borderId="14" xfId="0" applyNumberFormat="1" applyFont="1" applyBorder="1" applyAlignment="1">
      <alignment horizontal="center" vertical="center" shrinkToFit="1"/>
    </xf>
    <xf numFmtId="3" fontId="49" fillId="0" borderId="15" xfId="0" applyNumberFormat="1" applyFont="1" applyBorder="1" applyAlignment="1">
      <alignment horizontal="center" vertical="center" shrinkToFit="1"/>
    </xf>
    <xf numFmtId="0" fontId="28" fillId="0" borderId="16" xfId="0" applyFont="1" applyBorder="1" applyAlignment="1">
      <alignment horizontal="left" vertical="center" wrapText="1"/>
    </xf>
    <xf numFmtId="3" fontId="49" fillId="0" borderId="17" xfId="0" applyNumberFormat="1" applyFont="1" applyBorder="1" applyAlignment="1">
      <alignment horizontal="center" vertical="center" shrinkToFit="1"/>
    </xf>
    <xf numFmtId="0" fontId="49" fillId="0" borderId="16" xfId="0" applyFont="1" applyBorder="1" applyAlignment="1">
      <alignment horizontal="left" vertical="center" wrapText="1"/>
    </xf>
    <xf numFmtId="0" fontId="49" fillId="0" borderId="17" xfId="0" applyFont="1" applyBorder="1" applyAlignment="1">
      <alignment horizontal="center" vertical="center" wrapText="1"/>
    </xf>
    <xf numFmtId="0" fontId="49" fillId="0" borderId="18" xfId="0" applyFont="1" applyBorder="1" applyAlignment="1">
      <alignment vertical="center" wrapText="1"/>
    </xf>
    <xf numFmtId="3" fontId="49" fillId="0" borderId="19" xfId="0" applyNumberFormat="1" applyFont="1" applyBorder="1" applyAlignment="1">
      <alignment horizontal="center" vertical="center" shrinkToFit="1"/>
    </xf>
    <xf numFmtId="0" fontId="28" fillId="0" borderId="20" xfId="0" applyFont="1" applyBorder="1" applyAlignment="1">
      <alignment horizontal="left" vertical="center" wrapText="1"/>
    </xf>
    <xf numFmtId="3" fontId="49" fillId="0" borderId="21" xfId="0" applyNumberFormat="1" applyFont="1" applyBorder="1" applyAlignment="1">
      <alignment horizontal="center" vertical="center" shrinkToFit="1"/>
    </xf>
    <xf numFmtId="0" fontId="48" fillId="0" borderId="10" xfId="0" applyFont="1" applyBorder="1" applyAlignment="1">
      <alignment horizontal="left" vertical="center"/>
    </xf>
    <xf numFmtId="165" fontId="49" fillId="0" borderId="11" xfId="1" applyNumberFormat="1" applyFont="1" applyFill="1" applyBorder="1" applyAlignment="1">
      <alignment horizontal="center" vertical="center"/>
    </xf>
    <xf numFmtId="0" fontId="49" fillId="0" borderId="10" xfId="0" applyFont="1" applyBorder="1" applyAlignment="1">
      <alignment horizontal="left" vertical="center"/>
    </xf>
    <xf numFmtId="0" fontId="49" fillId="0" borderId="10" xfId="0" applyFont="1" applyBorder="1" applyAlignment="1">
      <alignment horizontal="left" vertical="center" wrapText="1"/>
    </xf>
    <xf numFmtId="165" fontId="48" fillId="0" borderId="11" xfId="1" applyNumberFormat="1" applyFont="1" applyFill="1" applyBorder="1" applyAlignment="1">
      <alignment horizontal="center" vertical="center"/>
    </xf>
    <xf numFmtId="0" fontId="29" fillId="0" borderId="10" xfId="0" applyFont="1" applyBorder="1" applyAlignment="1">
      <alignment horizontal="left" vertical="center"/>
    </xf>
    <xf numFmtId="0" fontId="49" fillId="0" borderId="11" xfId="0" applyFont="1" applyBorder="1" applyAlignment="1">
      <alignment horizontal="center" vertical="center"/>
    </xf>
    <xf numFmtId="0" fontId="28" fillId="0" borderId="10" xfId="0" applyFont="1" applyBorder="1" applyAlignment="1">
      <alignment horizontal="left" vertical="center"/>
    </xf>
    <xf numFmtId="0" fontId="28" fillId="0" borderId="10" xfId="0" applyFont="1" applyBorder="1" applyAlignment="1">
      <alignment horizontal="left" vertical="center" wrapText="1"/>
    </xf>
    <xf numFmtId="0" fontId="0" fillId="0" borderId="10" xfId="0" applyBorder="1" applyAlignment="1">
      <alignment horizontal="left" vertical="top"/>
    </xf>
    <xf numFmtId="0" fontId="0" fillId="0" borderId="9" xfId="0" applyBorder="1" applyAlignment="1">
      <alignment horizontal="center" vertical="center"/>
    </xf>
    <xf numFmtId="0" fontId="0" fillId="0" borderId="11" xfId="0" applyBorder="1" applyAlignment="1">
      <alignment horizontal="center" vertical="center"/>
    </xf>
    <xf numFmtId="0" fontId="49" fillId="0" borderId="10" xfId="0" applyFont="1" applyBorder="1" applyAlignment="1">
      <alignment horizontal="left"/>
    </xf>
    <xf numFmtId="0" fontId="28" fillId="0" borderId="10" xfId="0" applyFont="1" applyBorder="1" applyAlignment="1">
      <alignment horizontal="left"/>
    </xf>
    <xf numFmtId="3" fontId="0" fillId="0" borderId="11" xfId="0" applyNumberFormat="1" applyBorder="1" applyAlignment="1">
      <alignment horizontal="center" vertical="center"/>
    </xf>
    <xf numFmtId="0" fontId="0" fillId="0" borderId="10" xfId="0" applyBorder="1" applyAlignment="1">
      <alignment horizontal="left"/>
    </xf>
    <xf numFmtId="0" fontId="50" fillId="0" borderId="10" xfId="0" applyFont="1" applyBorder="1" applyAlignment="1">
      <alignment horizontal="left"/>
    </xf>
    <xf numFmtId="0" fontId="33" fillId="0" borderId="10" xfId="0" applyFont="1" applyBorder="1" applyAlignment="1">
      <alignment horizontal="left"/>
    </xf>
    <xf numFmtId="0" fontId="50" fillId="0" borderId="10" xfId="0" applyFont="1" applyBorder="1" applyAlignment="1">
      <alignment horizontal="left" vertical="top"/>
    </xf>
    <xf numFmtId="0" fontId="33" fillId="0" borderId="10" xfId="0" applyFont="1" applyBorder="1" applyAlignment="1">
      <alignment horizontal="left" wrapText="1"/>
    </xf>
    <xf numFmtId="0" fontId="33" fillId="0" borderId="10" xfId="0" applyFont="1" applyBorder="1" applyAlignment="1">
      <alignment horizontal="left" vertical="top" wrapText="1"/>
    </xf>
    <xf numFmtId="0" fontId="0" fillId="0" borderId="10" xfId="0" applyBorder="1" applyAlignment="1">
      <alignment horizontal="left" wrapText="1"/>
    </xf>
    <xf numFmtId="0" fontId="0" fillId="0" borderId="10" xfId="0" applyBorder="1" applyAlignment="1">
      <alignment horizontal="left" vertical="top" wrapText="1"/>
    </xf>
    <xf numFmtId="0" fontId="32" fillId="0" borderId="10" xfId="0" applyFont="1" applyBorder="1" applyAlignment="1">
      <alignment horizontal="left"/>
    </xf>
    <xf numFmtId="0" fontId="33" fillId="0" borderId="10" xfId="0" applyFont="1" applyBorder="1" applyAlignment="1">
      <alignment horizontal="left" vertical="top"/>
    </xf>
    <xf numFmtId="0" fontId="0" fillId="0" borderId="9" xfId="0" applyBorder="1" applyAlignment="1">
      <alignment horizontal="center" vertical="center" wrapText="1"/>
    </xf>
    <xf numFmtId="0" fontId="33" fillId="0" borderId="10" xfId="0" applyFont="1" applyBorder="1" applyAlignment="1">
      <alignment horizontal="left" vertical="center"/>
    </xf>
    <xf numFmtId="3" fontId="50" fillId="0" borderId="11" xfId="0" applyNumberFormat="1" applyFont="1" applyBorder="1" applyAlignment="1">
      <alignment horizontal="center" vertical="center"/>
    </xf>
    <xf numFmtId="0" fontId="50" fillId="0" borderId="11" xfId="0" applyFont="1" applyBorder="1" applyAlignment="1">
      <alignment horizontal="center" vertical="center"/>
    </xf>
    <xf numFmtId="0" fontId="32" fillId="0" borderId="10" xfId="0" applyFont="1" applyBorder="1" applyAlignment="1">
      <alignment horizontal="left" vertical="top" wrapText="1"/>
    </xf>
    <xf numFmtId="0" fontId="29" fillId="0" borderId="10" xfId="0" applyFont="1" applyBorder="1" applyAlignment="1">
      <alignment horizontal="left" vertical="center" wrapText="1"/>
    </xf>
    <xf numFmtId="0" fontId="32" fillId="0" borderId="10" xfId="0" applyFont="1" applyBorder="1" applyAlignment="1">
      <alignment horizontal="left" vertical="top"/>
    </xf>
    <xf numFmtId="0" fontId="32" fillId="0" borderId="10" xfId="0" applyFont="1" applyBorder="1" applyAlignment="1">
      <alignment horizontal="left" wrapText="1"/>
    </xf>
    <xf numFmtId="0" fontId="50" fillId="0" borderId="10" xfId="0" applyFont="1" applyBorder="1" applyAlignment="1">
      <alignment horizontal="left" wrapText="1"/>
    </xf>
    <xf numFmtId="3" fontId="35" fillId="0" borderId="9" xfId="33" applyNumberFormat="1" applyFont="1" applyBorder="1" applyAlignment="1">
      <alignment vertical="center" wrapText="1"/>
    </xf>
    <xf numFmtId="0" fontId="35" fillId="0" borderId="9" xfId="33" applyFont="1" applyBorder="1" applyAlignment="1">
      <alignment vertical="center" wrapText="1"/>
    </xf>
    <xf numFmtId="0" fontId="27" fillId="0" borderId="9" xfId="33" applyFont="1" applyBorder="1" applyAlignment="1">
      <alignment horizontal="center" vertical="center" wrapText="1"/>
    </xf>
    <xf numFmtId="3" fontId="29" fillId="0" borderId="9" xfId="33" applyNumberFormat="1" applyFont="1" applyBorder="1" applyAlignment="1">
      <alignment horizontal="right" vertical="center" wrapText="1"/>
    </xf>
    <xf numFmtId="0" fontId="36" fillId="0" borderId="9" xfId="33" applyFont="1" applyBorder="1" applyAlignment="1">
      <alignment horizontal="center" vertical="center" wrapText="1"/>
    </xf>
    <xf numFmtId="0" fontId="36" fillId="0" borderId="9" xfId="33" applyFont="1" applyBorder="1" applyAlignment="1">
      <alignment vertical="center" wrapText="1"/>
    </xf>
    <xf numFmtId="3" fontId="28" fillId="0" borderId="9" xfId="33" applyNumberFormat="1" applyFont="1" applyBorder="1" applyAlignment="1">
      <alignment horizontal="right" vertical="center" wrapText="1"/>
    </xf>
    <xf numFmtId="0" fontId="28" fillId="0" borderId="9" xfId="54" applyFont="1" applyBorder="1" applyAlignment="1">
      <alignment horizontal="center" vertical="center" wrapText="1"/>
    </xf>
    <xf numFmtId="3" fontId="35" fillId="0" borderId="9" xfId="33" applyNumberFormat="1" applyFont="1" applyBorder="1" applyAlignment="1">
      <alignment horizontal="right" vertical="center" wrapText="1"/>
    </xf>
    <xf numFmtId="0" fontId="13" fillId="0" borderId="9" xfId="33" applyBorder="1" applyAlignment="1">
      <alignment vertical="center" wrapText="1"/>
    </xf>
    <xf numFmtId="0" fontId="55" fillId="0" borderId="0" xfId="33" applyFont="1" applyAlignment="1">
      <alignment wrapText="1"/>
    </xf>
    <xf numFmtId="4" fontId="55" fillId="0" borderId="0" xfId="33" applyNumberFormat="1" applyFont="1" applyAlignment="1">
      <alignment wrapText="1"/>
    </xf>
    <xf numFmtId="0" fontId="55" fillId="0" borderId="0" xfId="33" applyFont="1" applyAlignment="1">
      <alignment horizontal="right" wrapText="1"/>
    </xf>
    <xf numFmtId="0" fontId="55" fillId="0" borderId="0" xfId="33" applyFont="1" applyAlignment="1">
      <alignment horizontal="center" wrapText="1"/>
    </xf>
    <xf numFmtId="0" fontId="13" fillId="6" borderId="0" xfId="33" applyFill="1" applyAlignment="1">
      <alignment horizontal="center" wrapText="1"/>
    </xf>
    <xf numFmtId="4" fontId="13" fillId="6" borderId="0" xfId="33" applyNumberFormat="1" applyFill="1" applyAlignment="1">
      <alignment horizontal="center" wrapText="1"/>
    </xf>
    <xf numFmtId="0" fontId="13" fillId="6" borderId="0" xfId="33" applyFill="1" applyAlignment="1">
      <alignment horizontal="right" wrapText="1"/>
    </xf>
    <xf numFmtId="0" fontId="38" fillId="0" borderId="9" xfId="33" applyFont="1" applyBorder="1" applyAlignment="1">
      <alignment horizontal="center" vertical="center" wrapText="1"/>
    </xf>
    <xf numFmtId="4" fontId="38" fillId="0" borderId="9" xfId="33" applyNumberFormat="1" applyFont="1" applyBorder="1" applyAlignment="1">
      <alignment horizontal="center" vertical="center" wrapText="1"/>
    </xf>
    <xf numFmtId="3" fontId="38" fillId="0" borderId="9" xfId="33" applyNumberFormat="1" applyFont="1" applyBorder="1" applyAlignment="1">
      <alignment horizontal="center" vertical="center" wrapText="1"/>
    </xf>
    <xf numFmtId="174" fontId="38" fillId="0" borderId="9" xfId="33" applyNumberFormat="1" applyFont="1" applyBorder="1" applyAlignment="1">
      <alignment horizontal="center" vertical="center" wrapText="1"/>
    </xf>
    <xf numFmtId="0" fontId="28" fillId="0" borderId="9" xfId="33" applyFont="1" applyBorder="1" applyAlignment="1">
      <alignment horizontal="center" vertical="center" wrapText="1"/>
    </xf>
    <xf numFmtId="3" fontId="56" fillId="0" borderId="9" xfId="33" applyNumberFormat="1" applyFont="1" applyBorder="1" applyAlignment="1">
      <alignment vertical="center" wrapText="1"/>
    </xf>
    <xf numFmtId="0" fontId="35" fillId="0" borderId="9" xfId="33" applyFont="1" applyBorder="1" applyAlignment="1">
      <alignment horizontal="center" vertical="center" wrapText="1"/>
    </xf>
    <xf numFmtId="0" fontId="13" fillId="0" borderId="0" xfId="33" applyAlignment="1">
      <alignment horizontal="center" wrapText="1"/>
    </xf>
    <xf numFmtId="0" fontId="13" fillId="7" borderId="0" xfId="33" applyFill="1" applyAlignment="1">
      <alignment wrapText="1"/>
    </xf>
    <xf numFmtId="0" fontId="62" fillId="0" borderId="0" xfId="33" applyFont="1" applyAlignment="1">
      <alignment horizontal="center" wrapText="1"/>
    </xf>
    <xf numFmtId="4" fontId="62" fillId="0" borderId="0" xfId="33" applyNumberFormat="1" applyFont="1" applyAlignment="1">
      <alignment horizontal="center" wrapText="1"/>
    </xf>
    <xf numFmtId="0" fontId="62" fillId="0" borderId="0" xfId="33" applyFont="1" applyAlignment="1">
      <alignment horizontal="right" wrapText="1"/>
    </xf>
    <xf numFmtId="0" fontId="59" fillId="0" borderId="0" xfId="33" applyFont="1" applyAlignment="1">
      <alignment horizontal="right" wrapText="1"/>
    </xf>
    <xf numFmtId="0" fontId="63" fillId="0" borderId="0" xfId="33" applyFont="1" applyAlignment="1">
      <alignment wrapText="1"/>
    </xf>
    <xf numFmtId="0" fontId="64" fillId="0" borderId="0" xfId="33" applyFont="1" applyAlignment="1">
      <alignment wrapText="1"/>
    </xf>
    <xf numFmtId="4" fontId="64" fillId="0" borderId="0" xfId="33" applyNumberFormat="1" applyFont="1" applyAlignment="1">
      <alignment horizontal="center" wrapText="1"/>
    </xf>
    <xf numFmtId="0" fontId="64" fillId="0" borderId="0" xfId="33" applyFont="1" applyAlignment="1">
      <alignment horizontal="right" wrapText="1"/>
    </xf>
    <xf numFmtId="49" fontId="60" fillId="0" borderId="0" xfId="33" applyNumberFormat="1" applyFont="1" applyAlignment="1">
      <alignment wrapText="1"/>
    </xf>
    <xf numFmtId="0" fontId="28" fillId="0" borderId="0" xfId="55" applyFont="1" applyAlignment="1">
      <alignment vertical="center" wrapText="1"/>
    </xf>
    <xf numFmtId="0" fontId="28" fillId="6" borderId="0" xfId="55" applyFont="1" applyFill="1" applyAlignment="1">
      <alignment wrapText="1"/>
    </xf>
    <xf numFmtId="4" fontId="28" fillId="0" borderId="0" xfId="55" applyNumberFormat="1" applyFont="1" applyAlignment="1">
      <alignment vertical="center" wrapText="1"/>
    </xf>
    <xf numFmtId="0" fontId="28" fillId="0" borderId="0" xfId="55" applyFont="1" applyAlignment="1">
      <alignment horizontal="right" vertical="center" wrapText="1"/>
    </xf>
    <xf numFmtId="174" fontId="28" fillId="0" borderId="0" xfId="55" applyNumberFormat="1" applyFont="1" applyAlignment="1">
      <alignment horizontal="center" vertical="center" wrapText="1"/>
    </xf>
    <xf numFmtId="0" fontId="28" fillId="0" borderId="0" xfId="55" applyFont="1" applyAlignment="1">
      <alignment horizontal="center" vertical="center" wrapText="1"/>
    </xf>
    <xf numFmtId="3" fontId="28" fillId="0" borderId="0" xfId="55" applyNumberFormat="1" applyFont="1" applyAlignment="1">
      <alignment horizontal="right" vertical="center" wrapText="1"/>
    </xf>
    <xf numFmtId="4" fontId="29" fillId="0" borderId="0" xfId="55" applyNumberFormat="1" applyFont="1" applyAlignment="1">
      <alignment vertical="center" wrapText="1"/>
    </xf>
    <xf numFmtId="0" fontId="29" fillId="0" borderId="0" xfId="0" applyFont="1"/>
    <xf numFmtId="4" fontId="29" fillId="0" borderId="0" xfId="0" applyNumberFormat="1" applyFont="1"/>
    <xf numFmtId="0" fontId="13" fillId="0" borderId="0" xfId="55" applyAlignment="1">
      <alignment wrapText="1"/>
    </xf>
    <xf numFmtId="0" fontId="67" fillId="0" borderId="0" xfId="33" applyFont="1" applyAlignment="1">
      <alignment horizontal="right"/>
    </xf>
    <xf numFmtId="0" fontId="67" fillId="0" borderId="0" xfId="33" applyFont="1" applyAlignment="1">
      <alignment horizontal="center"/>
    </xf>
    <xf numFmtId="0" fontId="67" fillId="0" borderId="0" xfId="33" applyFont="1"/>
    <xf numFmtId="4" fontId="67" fillId="0" borderId="0" xfId="33" applyNumberFormat="1" applyFont="1"/>
    <xf numFmtId="0" fontId="36" fillId="0" borderId="9" xfId="0" applyFont="1" applyBorder="1" applyAlignment="1">
      <alignment horizontal="center" vertical="center"/>
    </xf>
    <xf numFmtId="3" fontId="36" fillId="0" borderId="9" xfId="0" applyNumberFormat="1" applyFont="1" applyBorder="1" applyAlignment="1">
      <alignment horizontal="left" vertical="center" wrapText="1"/>
    </xf>
    <xf numFmtId="175" fontId="36" fillId="0" borderId="9" xfId="0" applyNumberFormat="1" applyFont="1" applyBorder="1" applyAlignment="1">
      <alignment horizontal="center" vertical="center"/>
    </xf>
    <xf numFmtId="2" fontId="36" fillId="0" borderId="9" xfId="0" applyNumberFormat="1" applyFont="1" applyBorder="1" applyAlignment="1">
      <alignment vertical="center"/>
    </xf>
    <xf numFmtId="3" fontId="36" fillId="0" borderId="9" xfId="0" applyNumberFormat="1" applyFont="1" applyBorder="1" applyAlignment="1">
      <alignment vertical="center"/>
    </xf>
    <xf numFmtId="3" fontId="36" fillId="0" borderId="9" xfId="0" applyNumberFormat="1" applyFont="1" applyBorder="1" applyAlignment="1">
      <alignment horizontal="center" vertical="center"/>
    </xf>
    <xf numFmtId="3" fontId="36" fillId="0" borderId="9" xfId="0" applyNumberFormat="1" applyFont="1" applyBorder="1" applyAlignment="1">
      <alignment horizontal="right" vertical="center"/>
    </xf>
    <xf numFmtId="3" fontId="35" fillId="0" borderId="9" xfId="0" applyNumberFormat="1" applyFont="1" applyBorder="1" applyAlignment="1">
      <alignment horizontal="center" vertical="center" wrapText="1"/>
    </xf>
    <xf numFmtId="0" fontId="13" fillId="0" borderId="0" xfId="0" applyFont="1"/>
    <xf numFmtId="4" fontId="28" fillId="0" borderId="9" xfId="33" applyNumberFormat="1" applyFont="1" applyBorder="1" applyAlignment="1">
      <alignment horizontal="center" vertical="center" wrapText="1"/>
    </xf>
    <xf numFmtId="0" fontId="29" fillId="0" borderId="0" xfId="55" applyFont="1" applyAlignment="1">
      <alignment horizontal="center" vertical="center" wrapText="1"/>
    </xf>
    <xf numFmtId="0" fontId="64" fillId="0" borderId="0" xfId="33" applyFont="1" applyAlignment="1">
      <alignment horizontal="center" wrapText="1"/>
    </xf>
    <xf numFmtId="0" fontId="59" fillId="0" borderId="0" xfId="33" applyFont="1" applyAlignment="1">
      <alignment horizontal="center" wrapText="1"/>
    </xf>
    <xf numFmtId="0" fontId="29" fillId="0" borderId="0" xfId="55" applyFont="1" applyAlignment="1">
      <alignment vertical="center" wrapText="1"/>
    </xf>
    <xf numFmtId="3" fontId="28" fillId="0" borderId="9" xfId="33" applyNumberFormat="1" applyFont="1" applyFill="1" applyBorder="1" applyAlignment="1">
      <alignment horizontal="center" vertical="center" wrapText="1"/>
    </xf>
    <xf numFmtId="0" fontId="29" fillId="0" borderId="0" xfId="55" applyFont="1" applyAlignment="1">
      <alignment horizontal="center" vertical="center" wrapText="1"/>
    </xf>
    <xf numFmtId="0" fontId="64" fillId="0" borderId="0" xfId="33" applyFont="1" applyAlignment="1">
      <alignment horizontal="center" wrapText="1"/>
    </xf>
    <xf numFmtId="0" fontId="59" fillId="0" borderId="0" xfId="33" applyFont="1" applyAlignment="1">
      <alignment horizontal="center" wrapText="1"/>
    </xf>
    <xf numFmtId="0" fontId="29" fillId="0" borderId="0" xfId="55" applyFont="1" applyAlignment="1">
      <alignment vertical="center" wrapText="1"/>
    </xf>
    <xf numFmtId="0" fontId="29" fillId="0" borderId="0" xfId="55" applyFont="1" applyAlignment="1">
      <alignment vertical="center" wrapText="1"/>
    </xf>
    <xf numFmtId="0" fontId="29" fillId="0" borderId="0" xfId="55" applyFont="1" applyAlignment="1">
      <alignment horizontal="center" vertical="center" wrapText="1"/>
    </xf>
    <xf numFmtId="0" fontId="64" fillId="0" borderId="0" xfId="33" applyFont="1" applyAlignment="1">
      <alignment horizontal="center" wrapText="1"/>
    </xf>
    <xf numFmtId="0" fontId="59" fillId="0" borderId="0" xfId="33" applyFont="1" applyAlignment="1">
      <alignment horizontal="center" wrapText="1"/>
    </xf>
    <xf numFmtId="0" fontId="29" fillId="0" borderId="0" xfId="55" applyFont="1" applyAlignment="1">
      <alignment horizontal="center" vertical="center" wrapText="1"/>
    </xf>
    <xf numFmtId="0" fontId="64" fillId="0" borderId="0" xfId="33" applyFont="1" applyAlignment="1">
      <alignment horizontal="center" wrapText="1"/>
    </xf>
    <xf numFmtId="0" fontId="59" fillId="0" borderId="0" xfId="33" applyFont="1" applyAlignment="1">
      <alignment horizontal="center" wrapText="1"/>
    </xf>
    <xf numFmtId="0" fontId="29" fillId="0" borderId="0" xfId="55" applyFont="1" applyAlignment="1">
      <alignment vertical="center" wrapText="1"/>
    </xf>
    <xf numFmtId="0" fontId="29" fillId="0" borderId="0" xfId="55" applyFont="1" applyAlignment="1">
      <alignment vertical="center" wrapText="1"/>
    </xf>
    <xf numFmtId="0" fontId="29" fillId="0" borderId="0" xfId="55" applyFont="1" applyAlignment="1">
      <alignment horizontal="center" vertical="center" wrapText="1"/>
    </xf>
    <xf numFmtId="0" fontId="64" fillId="0" borderId="0" xfId="33" applyFont="1" applyAlignment="1">
      <alignment horizontal="center" wrapText="1"/>
    </xf>
    <xf numFmtId="0" fontId="59" fillId="0" borderId="0" xfId="33" applyFont="1" applyAlignment="1">
      <alignment horizontal="center" wrapText="1"/>
    </xf>
    <xf numFmtId="0" fontId="28" fillId="0" borderId="10" xfId="0" applyFont="1" applyBorder="1" applyAlignment="1">
      <alignment horizontal="left" wrapText="1"/>
    </xf>
    <xf numFmtId="0" fontId="29" fillId="0" borderId="0" xfId="55" applyFont="1" applyAlignment="1">
      <alignment horizontal="center" vertical="center" wrapText="1"/>
    </xf>
    <xf numFmtId="0" fontId="64" fillId="0" borderId="0" xfId="33" applyFont="1" applyAlignment="1">
      <alignment horizontal="center" wrapText="1"/>
    </xf>
    <xf numFmtId="0" fontId="59" fillId="0" borderId="0" xfId="33" applyFont="1" applyAlignment="1">
      <alignment horizontal="center" wrapText="1"/>
    </xf>
    <xf numFmtId="0" fontId="29" fillId="0" borderId="0" xfId="55" applyFont="1" applyAlignment="1">
      <alignment vertical="center" wrapText="1"/>
    </xf>
    <xf numFmtId="0" fontId="29" fillId="0" borderId="0" xfId="55" applyFont="1" applyAlignment="1">
      <alignment horizontal="center" vertical="center" wrapText="1"/>
    </xf>
    <xf numFmtId="0" fontId="64" fillId="0" borderId="0" xfId="33" applyFont="1" applyAlignment="1">
      <alignment horizontal="center" wrapText="1"/>
    </xf>
    <xf numFmtId="0" fontId="59" fillId="0" borderId="0" xfId="33" applyFont="1" applyAlignment="1">
      <alignment horizontal="center" wrapText="1"/>
    </xf>
    <xf numFmtId="0" fontId="29" fillId="0" borderId="0" xfId="55" applyFont="1" applyAlignment="1">
      <alignment vertical="center" wrapText="1"/>
    </xf>
    <xf numFmtId="0" fontId="29" fillId="0" borderId="0" xfId="55" applyFont="1" applyAlignment="1">
      <alignment vertical="center" wrapText="1"/>
    </xf>
    <xf numFmtId="0" fontId="29" fillId="0" borderId="0" xfId="55" applyFont="1" applyAlignment="1">
      <alignment horizontal="center" vertical="center" wrapText="1"/>
    </xf>
    <xf numFmtId="0" fontId="64" fillId="0" borderId="0" xfId="33" applyFont="1" applyAlignment="1">
      <alignment horizontal="center" wrapText="1"/>
    </xf>
    <xf numFmtId="0" fontId="59" fillId="0" borderId="0" xfId="33" applyFont="1" applyAlignment="1">
      <alignment horizontal="center" wrapText="1"/>
    </xf>
    <xf numFmtId="0" fontId="36" fillId="0" borderId="7" xfId="33" applyFont="1" applyBorder="1" applyAlignment="1">
      <alignment horizontal="center" vertical="center" wrapText="1"/>
    </xf>
    <xf numFmtId="0" fontId="36" fillId="0" borderId="7" xfId="33" applyFont="1" applyBorder="1" applyAlignment="1">
      <alignment vertical="center" wrapText="1"/>
    </xf>
    <xf numFmtId="3" fontId="28" fillId="0" borderId="7" xfId="33" applyNumberFormat="1" applyFont="1" applyBorder="1" applyAlignment="1">
      <alignment horizontal="center" vertical="center" wrapText="1"/>
    </xf>
    <xf numFmtId="4" fontId="28" fillId="0" borderId="7" xfId="33" applyNumberFormat="1" applyFont="1" applyBorder="1" applyAlignment="1">
      <alignment horizontal="center" vertical="center" wrapText="1"/>
    </xf>
    <xf numFmtId="3" fontId="28" fillId="0" borderId="7" xfId="33" applyNumberFormat="1" applyFont="1" applyBorder="1" applyAlignment="1">
      <alignment vertical="center" wrapText="1"/>
    </xf>
    <xf numFmtId="3" fontId="28" fillId="0" borderId="7" xfId="33" applyNumberFormat="1" applyFont="1" applyBorder="1" applyAlignment="1">
      <alignment horizontal="right" vertical="center" wrapText="1"/>
    </xf>
    <xf numFmtId="0" fontId="36" fillId="0" borderId="23" xfId="33" applyFont="1" applyBorder="1" applyAlignment="1">
      <alignment horizontal="center" vertical="center" wrapText="1"/>
    </xf>
    <xf numFmtId="0" fontId="36" fillId="0" borderId="23" xfId="33" applyFont="1" applyBorder="1" applyAlignment="1">
      <alignment vertical="center" wrapText="1"/>
    </xf>
    <xf numFmtId="3" fontId="28" fillId="0" borderId="23" xfId="33" applyNumberFormat="1" applyFont="1" applyBorder="1" applyAlignment="1">
      <alignment horizontal="center" vertical="center" wrapText="1"/>
    </xf>
    <xf numFmtId="4" fontId="28" fillId="0" borderId="23" xfId="33" applyNumberFormat="1" applyFont="1" applyBorder="1" applyAlignment="1">
      <alignment horizontal="center" vertical="center" wrapText="1"/>
    </xf>
    <xf numFmtId="3" fontId="28" fillId="0" borderId="23" xfId="33" applyNumberFormat="1" applyFont="1" applyBorder="1" applyAlignment="1">
      <alignment vertical="center" wrapText="1"/>
    </xf>
    <xf numFmtId="3" fontId="28" fillId="0" borderId="23" xfId="33" applyNumberFormat="1" applyFont="1" applyBorder="1" applyAlignment="1">
      <alignment horizontal="right" vertical="center" wrapText="1"/>
    </xf>
    <xf numFmtId="0" fontId="13" fillId="6" borderId="9" xfId="33" applyFill="1" applyBorder="1" applyAlignment="1">
      <alignment wrapText="1"/>
    </xf>
    <xf numFmtId="165" fontId="42" fillId="0" borderId="9" xfId="42" applyNumberFormat="1" applyFont="1" applyFill="1" applyBorder="1" applyAlignment="1">
      <alignment horizontal="center" vertical="center" wrapText="1"/>
    </xf>
    <xf numFmtId="3" fontId="28" fillId="0" borderId="9" xfId="33" applyNumberFormat="1" applyFont="1" applyFill="1" applyBorder="1" applyAlignment="1">
      <alignment vertical="center" wrapText="1"/>
    </xf>
    <xf numFmtId="176" fontId="28" fillId="0" borderId="9" xfId="33" applyNumberFormat="1" applyFont="1" applyFill="1" applyBorder="1" applyAlignment="1">
      <alignment horizontal="center" vertical="center" wrapText="1"/>
    </xf>
    <xf numFmtId="0" fontId="29" fillId="0" borderId="0" xfId="55" applyFont="1" applyAlignment="1">
      <alignment horizontal="center" vertical="center" wrapText="1"/>
    </xf>
    <xf numFmtId="0" fontId="64" fillId="0" borderId="0" xfId="33" applyFont="1" applyAlignment="1">
      <alignment horizontal="center" wrapText="1"/>
    </xf>
    <xf numFmtId="0" fontId="59" fillId="0" borderId="0" xfId="33" applyFont="1" applyAlignment="1">
      <alignment horizontal="center" wrapText="1"/>
    </xf>
    <xf numFmtId="0" fontId="29" fillId="0" borderId="0" xfId="55" applyFont="1" applyAlignment="1">
      <alignment vertical="center" wrapText="1"/>
    </xf>
    <xf numFmtId="176" fontId="28" fillId="0" borderId="9" xfId="33" applyNumberFormat="1" applyFont="1" applyBorder="1" applyAlignment="1">
      <alignment horizontal="center" vertical="center" wrapText="1"/>
    </xf>
    <xf numFmtId="176" fontId="36" fillId="0" borderId="9" xfId="0" applyNumberFormat="1" applyFont="1" applyBorder="1" applyAlignment="1">
      <alignment horizontal="center" vertical="center"/>
    </xf>
    <xf numFmtId="176" fontId="28" fillId="0" borderId="7" xfId="33" applyNumberFormat="1" applyFont="1" applyBorder="1" applyAlignment="1">
      <alignment horizontal="center" vertical="center" wrapText="1"/>
    </xf>
    <xf numFmtId="4" fontId="28" fillId="0" borderId="9" xfId="33" applyNumberFormat="1" applyFont="1" applyFill="1" applyBorder="1" applyAlignment="1">
      <alignment horizontal="center" vertical="center" wrapText="1"/>
    </xf>
    <xf numFmtId="0" fontId="36" fillId="0" borderId="9" xfId="33" applyFont="1" applyFill="1" applyBorder="1" applyAlignment="1">
      <alignment horizontal="center" vertical="center" wrapText="1"/>
    </xf>
    <xf numFmtId="0" fontId="36" fillId="0" borderId="9" xfId="33" applyFont="1" applyFill="1" applyBorder="1" applyAlignment="1">
      <alignment vertical="center" wrapText="1"/>
    </xf>
    <xf numFmtId="3" fontId="28" fillId="0" borderId="9" xfId="33" applyNumberFormat="1" applyFont="1" applyFill="1" applyBorder="1" applyAlignment="1">
      <alignment horizontal="right" vertical="center" wrapText="1"/>
    </xf>
    <xf numFmtId="0" fontId="13" fillId="0" borderId="0" xfId="33" applyFill="1" applyAlignment="1">
      <alignment wrapText="1"/>
    </xf>
    <xf numFmtId="3" fontId="13" fillId="6" borderId="0" xfId="33" applyNumberFormat="1" applyFill="1" applyAlignment="1">
      <alignment wrapText="1"/>
    </xf>
    <xf numFmtId="0" fontId="45" fillId="0" borderId="0" xfId="33" applyFont="1" applyBorder="1" applyAlignment="1">
      <alignment horizontal="center" vertical="center" wrapText="1"/>
    </xf>
    <xf numFmtId="0" fontId="37" fillId="0" borderId="0" xfId="33" applyFont="1" applyBorder="1" applyAlignment="1">
      <alignment horizontal="center" vertical="center" wrapText="1"/>
    </xf>
    <xf numFmtId="0" fontId="29" fillId="0" borderId="0" xfId="55" applyFont="1" applyAlignment="1">
      <alignment vertical="center" wrapText="1"/>
    </xf>
    <xf numFmtId="0" fontId="29" fillId="0" borderId="0" xfId="55" applyFont="1" applyAlignment="1">
      <alignment horizontal="center" vertical="center" wrapText="1"/>
    </xf>
    <xf numFmtId="0" fontId="35" fillId="0" borderId="9" xfId="33" applyFont="1" applyBorder="1" applyAlignment="1">
      <alignment horizontal="left" vertical="center" wrapText="1"/>
    </xf>
    <xf numFmtId="3" fontId="32" fillId="0" borderId="9" xfId="33" applyNumberFormat="1" applyFont="1" applyBorder="1" applyAlignment="1">
      <alignment horizontal="left" vertical="center" wrapText="1"/>
    </xf>
    <xf numFmtId="0" fontId="43" fillId="0" borderId="0" xfId="33" applyFont="1" applyAlignment="1">
      <alignment horizontal="center" wrapText="1"/>
    </xf>
    <xf numFmtId="4" fontId="43" fillId="0" borderId="0" xfId="33" applyNumberFormat="1" applyFont="1" applyAlignment="1">
      <alignment horizontal="center" wrapText="1"/>
    </xf>
    <xf numFmtId="0" fontId="43" fillId="0" borderId="0" xfId="33" applyFont="1" applyAlignment="1">
      <alignment horizontal="right" wrapText="1"/>
    </xf>
    <xf numFmtId="0" fontId="29" fillId="0" borderId="0" xfId="33" applyFont="1" applyAlignment="1">
      <alignment horizontal="center" wrapText="1"/>
    </xf>
    <xf numFmtId="0" fontId="29" fillId="0" borderId="0" xfId="33" applyFont="1" applyAlignment="1">
      <alignment horizontal="right" wrapText="1"/>
    </xf>
    <xf numFmtId="0" fontId="28" fillId="0" borderId="0" xfId="33" applyFont="1" applyAlignment="1">
      <alignment wrapText="1"/>
    </xf>
    <xf numFmtId="0" fontId="28" fillId="0" borderId="0" xfId="33" applyFont="1" applyAlignment="1">
      <alignment horizontal="center" wrapText="1"/>
    </xf>
    <xf numFmtId="4" fontId="28" fillId="0" borderId="0" xfId="33" applyNumberFormat="1" applyFont="1" applyAlignment="1">
      <alignment horizontal="center" wrapText="1"/>
    </xf>
    <xf numFmtId="0" fontId="28" fillId="0" borderId="0" xfId="33" applyFont="1" applyAlignment="1">
      <alignment horizontal="right" wrapText="1"/>
    </xf>
    <xf numFmtId="49" fontId="29" fillId="0" borderId="0" xfId="33" applyNumberFormat="1" applyFont="1" applyAlignment="1">
      <alignment wrapText="1"/>
    </xf>
    <xf numFmtId="0" fontId="36" fillId="0" borderId="9" xfId="33" applyFont="1" applyBorder="1" applyAlignment="1">
      <alignment horizontal="center" vertical="center"/>
    </xf>
    <xf numFmtId="3" fontId="36" fillId="0" borderId="9" xfId="33" applyNumberFormat="1" applyFont="1" applyBorder="1" applyAlignment="1">
      <alignment horizontal="center" vertical="center"/>
    </xf>
    <xf numFmtId="3" fontId="36" fillId="0" borderId="9" xfId="33" applyNumberFormat="1" applyFont="1" applyBorder="1" applyAlignment="1">
      <alignment vertical="center"/>
    </xf>
    <xf numFmtId="3" fontId="29" fillId="0" borderId="9" xfId="33" applyNumberFormat="1" applyFont="1" applyBorder="1" applyAlignment="1">
      <alignment vertical="center"/>
    </xf>
    <xf numFmtId="3" fontId="35" fillId="0" borderId="9" xfId="33" applyNumberFormat="1" applyFont="1" applyBorder="1" applyAlignment="1">
      <alignment horizontal="center" vertical="center" wrapText="1"/>
    </xf>
    <xf numFmtId="3" fontId="45" fillId="0" borderId="9" xfId="33" applyNumberFormat="1" applyFont="1" applyBorder="1" applyAlignment="1">
      <alignment horizontal="left" vertical="center"/>
    </xf>
    <xf numFmtId="3" fontId="36" fillId="0" borderId="9" xfId="33" applyNumberFormat="1" applyFont="1" applyBorder="1" applyAlignment="1">
      <alignment horizontal="left" vertical="center"/>
    </xf>
    <xf numFmtId="3" fontId="72" fillId="0" borderId="9" xfId="33" applyNumberFormat="1" applyFont="1" applyBorder="1" applyAlignment="1">
      <alignment horizontal="left" vertical="center"/>
    </xf>
    <xf numFmtId="175" fontId="72" fillId="0" borderId="9" xfId="33" applyNumberFormat="1" applyFont="1" applyBorder="1" applyAlignment="1">
      <alignment horizontal="center" vertical="center"/>
    </xf>
    <xf numFmtId="175" fontId="72" fillId="0" borderId="9" xfId="33" applyNumberFormat="1" applyFont="1" applyBorder="1" applyAlignment="1">
      <alignment vertical="center"/>
    </xf>
    <xf numFmtId="3" fontId="72" fillId="0" borderId="9" xfId="33" applyNumberFormat="1" applyFont="1" applyBorder="1" applyAlignment="1">
      <alignment vertical="center"/>
    </xf>
    <xf numFmtId="3" fontId="72" fillId="0" borderId="9" xfId="33" applyNumberFormat="1" applyFont="1" applyBorder="1" applyAlignment="1">
      <alignment horizontal="center" vertical="center"/>
    </xf>
    <xf numFmtId="3" fontId="29" fillId="0" borderId="9" xfId="33" applyNumberFormat="1" applyFont="1" applyBorder="1" applyAlignment="1">
      <alignment horizontal="right" vertical="center"/>
    </xf>
    <xf numFmtId="3" fontId="36" fillId="0" borderId="9" xfId="33" applyNumberFormat="1" applyFont="1" applyBorder="1" applyAlignment="1">
      <alignment horizontal="right" vertical="center"/>
    </xf>
    <xf numFmtId="3" fontId="36" fillId="0" borderId="9" xfId="33" applyNumberFormat="1" applyFont="1" applyBorder="1" applyAlignment="1">
      <alignment horizontal="left" vertical="center" wrapText="1"/>
    </xf>
    <xf numFmtId="3" fontId="53" fillId="0" borderId="9" xfId="36" applyNumberFormat="1" applyFont="1" applyBorder="1" applyAlignment="1">
      <alignment horizontal="center" vertical="center" wrapText="1"/>
    </xf>
    <xf numFmtId="3" fontId="53" fillId="0" borderId="9" xfId="33" applyNumberFormat="1" applyFont="1" applyBorder="1" applyAlignment="1">
      <alignment horizontal="center" vertical="center" wrapText="1"/>
    </xf>
    <xf numFmtId="0" fontId="69" fillId="0" borderId="0" xfId="36" applyFont="1"/>
    <xf numFmtId="0" fontId="74" fillId="0" borderId="9" xfId="36" applyFont="1" applyBorder="1" applyAlignment="1">
      <alignment horizontal="center" vertical="center" wrapText="1"/>
    </xf>
    <xf numFmtId="3" fontId="75" fillId="0" borderId="9" xfId="13" quotePrefix="1" applyNumberFormat="1" applyFont="1" applyBorder="1" applyAlignment="1">
      <alignment horizontal="center" vertical="center" wrapText="1"/>
    </xf>
    <xf numFmtId="3" fontId="74" fillId="0" borderId="9" xfId="33" applyNumberFormat="1" applyFont="1" applyBorder="1" applyAlignment="1">
      <alignment horizontal="center" vertical="center" wrapText="1"/>
    </xf>
    <xf numFmtId="1" fontId="75" fillId="0" borderId="9" xfId="13" applyNumberFormat="1" applyFont="1" applyBorder="1" applyAlignment="1">
      <alignment horizontal="center" vertical="center" wrapText="1"/>
    </xf>
    <xf numFmtId="3" fontId="74" fillId="0" borderId="9" xfId="36" applyNumberFormat="1" applyFont="1" applyBorder="1" applyAlignment="1">
      <alignment horizontal="right" vertical="center" wrapText="1"/>
    </xf>
    <xf numFmtId="177" fontId="74" fillId="0" borderId="9" xfId="36" applyNumberFormat="1" applyFont="1" applyBorder="1" applyAlignment="1">
      <alignment horizontal="center" vertical="center" wrapText="1"/>
    </xf>
    <xf numFmtId="0" fontId="76" fillId="0" borderId="0" xfId="36" applyFont="1"/>
    <xf numFmtId="0" fontId="72" fillId="0" borderId="9" xfId="36" applyFont="1" applyBorder="1" applyAlignment="1">
      <alignment horizontal="center" vertical="center"/>
    </xf>
    <xf numFmtId="3" fontId="72" fillId="0" borderId="9" xfId="36" applyNumberFormat="1" applyFont="1" applyBorder="1" applyAlignment="1">
      <alignment horizontal="left" vertical="center" wrapText="1"/>
    </xf>
    <xf numFmtId="175" fontId="72" fillId="0" borderId="9" xfId="36" applyNumberFormat="1" applyFont="1" applyBorder="1" applyAlignment="1">
      <alignment horizontal="center" vertical="center"/>
    </xf>
    <xf numFmtId="175" fontId="72" fillId="0" borderId="9" xfId="36" applyNumberFormat="1" applyFont="1" applyBorder="1" applyAlignment="1">
      <alignment vertical="center"/>
    </xf>
    <xf numFmtId="3" fontId="72" fillId="0" borderId="9" xfId="36" applyNumberFormat="1" applyFont="1" applyBorder="1" applyAlignment="1">
      <alignment vertical="center"/>
    </xf>
    <xf numFmtId="176" fontId="72" fillId="0" borderId="9" xfId="36" applyNumberFormat="1" applyFont="1" applyBorder="1" applyAlignment="1">
      <alignment horizontal="center" vertical="center"/>
    </xf>
    <xf numFmtId="3" fontId="54" fillId="0" borderId="9" xfId="36" applyNumberFormat="1" applyFont="1" applyBorder="1" applyAlignment="1">
      <alignment horizontal="right" vertical="center"/>
    </xf>
    <xf numFmtId="3" fontId="38" fillId="0" borderId="9" xfId="36" applyNumberFormat="1" applyFont="1" applyBorder="1" applyAlignment="1">
      <alignment horizontal="center" vertical="center" wrapText="1"/>
    </xf>
    <xf numFmtId="0" fontId="54" fillId="0" borderId="0" xfId="36" applyFont="1"/>
    <xf numFmtId="3" fontId="72" fillId="0" borderId="9" xfId="36" applyNumberFormat="1" applyFont="1" applyBorder="1" applyAlignment="1">
      <alignment horizontal="right" vertical="center"/>
    </xf>
    <xf numFmtId="3" fontId="32" fillId="0" borderId="9" xfId="33" applyNumberFormat="1" applyFont="1" applyBorder="1" applyAlignment="1">
      <alignment horizontal="center" vertical="center" wrapText="1"/>
    </xf>
    <xf numFmtId="4" fontId="32" fillId="0" borderId="9" xfId="33" applyNumberFormat="1" applyFont="1" applyBorder="1" applyAlignment="1">
      <alignment horizontal="center" vertical="center" wrapText="1"/>
    </xf>
    <xf numFmtId="3" fontId="29" fillId="0" borderId="9" xfId="33" applyNumberFormat="1" applyFont="1" applyBorder="1" applyAlignment="1">
      <alignment horizontal="left" vertical="center" wrapText="1"/>
    </xf>
    <xf numFmtId="0" fontId="28" fillId="0" borderId="10" xfId="0" applyFont="1" applyBorder="1" applyAlignment="1">
      <alignment horizontal="left" vertical="top"/>
    </xf>
    <xf numFmtId="0" fontId="28" fillId="0" borderId="10" xfId="0" applyFont="1" applyBorder="1" applyAlignment="1">
      <alignment horizontal="left" vertical="top" wrapText="1"/>
    </xf>
    <xf numFmtId="0" fontId="45" fillId="0" borderId="0" xfId="33" applyFont="1" applyAlignment="1">
      <alignment horizontal="center" vertical="center" wrapText="1"/>
    </xf>
    <xf numFmtId="0" fontId="37" fillId="0" borderId="0" xfId="33" applyFont="1" applyAlignment="1">
      <alignment horizontal="center" vertical="center" wrapText="1"/>
    </xf>
    <xf numFmtId="0" fontId="72" fillId="0" borderId="7" xfId="55" applyFont="1" applyBorder="1" applyAlignment="1">
      <alignment horizontal="center" vertical="center" wrapText="1"/>
    </xf>
    <xf numFmtId="3" fontId="72" fillId="0" borderId="7" xfId="33" applyNumberFormat="1" applyFont="1" applyBorder="1" applyAlignment="1">
      <alignment horizontal="left" vertical="center" wrapText="1"/>
    </xf>
    <xf numFmtId="3" fontId="53" fillId="0" borderId="9" xfId="55" applyNumberFormat="1" applyFont="1" applyBorder="1" applyAlignment="1">
      <alignment horizontal="center" vertical="center" wrapText="1"/>
    </xf>
    <xf numFmtId="0" fontId="69" fillId="0" borderId="0" xfId="55" applyFont="1"/>
    <xf numFmtId="0" fontId="72" fillId="0" borderId="9" xfId="55" applyFont="1" applyBorder="1" applyAlignment="1">
      <alignment horizontal="center" vertical="center"/>
    </xf>
    <xf numFmtId="3" fontId="72" fillId="0" borderId="9" xfId="55" applyNumberFormat="1" applyFont="1" applyBorder="1" applyAlignment="1">
      <alignment horizontal="left" vertical="center" wrapText="1"/>
    </xf>
    <xf numFmtId="175" fontId="72" fillId="0" borderId="9" xfId="55" applyNumberFormat="1" applyFont="1" applyBorder="1" applyAlignment="1">
      <alignment horizontal="center" vertical="center"/>
    </xf>
    <xf numFmtId="175" fontId="72" fillId="0" borderId="9" xfId="55" applyNumberFormat="1" applyFont="1" applyBorder="1" applyAlignment="1">
      <alignment vertical="center"/>
    </xf>
    <xf numFmtId="3" fontId="72" fillId="0" borderId="9" xfId="55" applyNumberFormat="1" applyFont="1" applyBorder="1" applyAlignment="1">
      <alignment vertical="center"/>
    </xf>
    <xf numFmtId="176" fontId="72" fillId="0" borderId="9" xfId="55" applyNumberFormat="1" applyFont="1" applyBorder="1" applyAlignment="1">
      <alignment horizontal="center" vertical="center"/>
    </xf>
    <xf numFmtId="3" fontId="72" fillId="0" borderId="9" xfId="55" applyNumberFormat="1" applyFont="1" applyBorder="1" applyAlignment="1">
      <alignment horizontal="right" vertical="center"/>
    </xf>
    <xf numFmtId="3" fontId="38" fillId="0" borderId="9" xfId="55" applyNumberFormat="1" applyFont="1" applyBorder="1" applyAlignment="1">
      <alignment horizontal="center" vertical="center" wrapText="1"/>
    </xf>
    <xf numFmtId="0" fontId="54" fillId="0" borderId="0" xfId="55" applyFont="1"/>
    <xf numFmtId="3" fontId="28" fillId="0" borderId="10" xfId="33" applyNumberFormat="1" applyFont="1" applyBorder="1" applyAlignment="1">
      <alignment horizontal="left" vertical="center" wrapText="1"/>
    </xf>
    <xf numFmtId="0" fontId="33" fillId="0" borderId="10" xfId="0" applyFont="1" applyBorder="1" applyAlignment="1">
      <alignment vertical="center"/>
    </xf>
    <xf numFmtId="175" fontId="36" fillId="0" borderId="9" xfId="33" applyNumberFormat="1" applyFont="1" applyBorder="1" applyAlignment="1">
      <alignment horizontal="center" vertical="center"/>
    </xf>
    <xf numFmtId="2" fontId="36" fillId="0" borderId="9" xfId="33" applyNumberFormat="1" applyFont="1" applyBorder="1" applyAlignment="1">
      <alignment vertical="center"/>
    </xf>
    <xf numFmtId="0" fontId="28" fillId="0" borderId="10" xfId="33" applyFont="1" applyBorder="1" applyAlignment="1">
      <alignment horizontal="left" wrapText="1"/>
    </xf>
    <xf numFmtId="0" fontId="28" fillId="0" borderId="10" xfId="33" applyFont="1" applyBorder="1" applyAlignment="1">
      <alignment horizontal="left" vertical="center" wrapText="1"/>
    </xf>
    <xf numFmtId="0" fontId="29" fillId="0" borderId="0" xfId="33" applyFont="1"/>
    <xf numFmtId="4" fontId="29" fillId="0" borderId="0" xfId="33" applyNumberFormat="1" applyFont="1"/>
    <xf numFmtId="3" fontId="72" fillId="0" borderId="9" xfId="0" applyNumberFormat="1" applyFont="1" applyBorder="1" applyAlignment="1">
      <alignment vertical="center"/>
    </xf>
    <xf numFmtId="3" fontId="29" fillId="0" borderId="9" xfId="0" applyNumberFormat="1" applyFont="1" applyBorder="1" applyAlignment="1">
      <alignment horizontal="left" vertical="center" wrapText="1"/>
    </xf>
    <xf numFmtId="3" fontId="28" fillId="0" borderId="9" xfId="0" applyNumberFormat="1" applyFont="1" applyBorder="1" applyAlignment="1">
      <alignment horizontal="left" vertical="center" wrapText="1"/>
    </xf>
    <xf numFmtId="0" fontId="72" fillId="0" borderId="9" xfId="36" applyFont="1" applyBorder="1" applyAlignment="1">
      <alignment horizontal="center" vertical="center" wrapText="1"/>
    </xf>
    <xf numFmtId="3" fontId="54" fillId="0" borderId="9" xfId="13" quotePrefix="1" applyNumberFormat="1" applyFont="1" applyBorder="1" applyAlignment="1">
      <alignment horizontal="center" vertical="center" wrapText="1"/>
    </xf>
    <xf numFmtId="3" fontId="72" fillId="0" borderId="9" xfId="33" applyNumberFormat="1" applyFont="1" applyBorder="1" applyAlignment="1">
      <alignment horizontal="center" vertical="center" wrapText="1"/>
    </xf>
    <xf numFmtId="1" fontId="54" fillId="0" borderId="9" xfId="13" applyNumberFormat="1" applyFont="1" applyBorder="1" applyAlignment="1">
      <alignment horizontal="center" vertical="center" wrapText="1"/>
    </xf>
    <xf numFmtId="3" fontId="72" fillId="0" borderId="9" xfId="36" applyNumberFormat="1" applyFont="1" applyBorder="1" applyAlignment="1">
      <alignment horizontal="right" vertical="center" wrapText="1"/>
    </xf>
    <xf numFmtId="177" fontId="72" fillId="0" borderId="9" xfId="36" applyNumberFormat="1" applyFont="1" applyBorder="1" applyAlignment="1">
      <alignment horizontal="center" vertical="center" wrapText="1"/>
    </xf>
    <xf numFmtId="3" fontId="28" fillId="0" borderId="9" xfId="36" applyNumberFormat="1" applyFont="1" applyBorder="1" applyAlignment="1">
      <alignment vertical="center" wrapText="1"/>
    </xf>
    <xf numFmtId="0" fontId="13" fillId="0" borderId="9" xfId="36" applyBorder="1" applyAlignment="1">
      <alignment horizontal="right" vertical="center"/>
    </xf>
    <xf numFmtId="0" fontId="13" fillId="7" borderId="0" xfId="55" applyFill="1" applyAlignment="1">
      <alignment wrapText="1"/>
    </xf>
    <xf numFmtId="0" fontId="43" fillId="0" borderId="0" xfId="55" applyFont="1" applyAlignment="1">
      <alignment horizontal="center" wrapText="1"/>
    </xf>
    <xf numFmtId="4" fontId="43" fillId="0" borderId="0" xfId="55" applyNumberFormat="1" applyFont="1" applyAlignment="1">
      <alignment horizontal="center" wrapText="1"/>
    </xf>
    <xf numFmtId="0" fontId="43" fillId="0" borderId="0" xfId="55" applyFont="1" applyAlignment="1">
      <alignment horizontal="right" wrapText="1"/>
    </xf>
    <xf numFmtId="0" fontId="29" fillId="0" borderId="0" xfId="55" applyFont="1" applyAlignment="1">
      <alignment horizontal="center" wrapText="1"/>
    </xf>
    <xf numFmtId="0" fontId="29" fillId="0" borderId="0" xfId="55" applyFont="1" applyAlignment="1">
      <alignment horizontal="right" wrapText="1"/>
    </xf>
    <xf numFmtId="0" fontId="63" fillId="0" borderId="0" xfId="55" applyFont="1" applyAlignment="1">
      <alignment wrapText="1"/>
    </xf>
    <xf numFmtId="0" fontId="28" fillId="0" borderId="0" xfId="55" applyFont="1" applyAlignment="1">
      <alignment wrapText="1"/>
    </xf>
    <xf numFmtId="0" fontId="28" fillId="0" borderId="0" xfId="55" applyFont="1" applyAlignment="1">
      <alignment horizontal="center" wrapText="1"/>
    </xf>
    <xf numFmtId="4" fontId="28" fillId="0" borderId="0" xfId="55" applyNumberFormat="1" applyFont="1" applyAlignment="1">
      <alignment horizontal="center" wrapText="1"/>
    </xf>
    <xf numFmtId="0" fontId="28" fillId="0" borderId="0" xfId="55" applyFont="1" applyAlignment="1">
      <alignment horizontal="right" wrapText="1"/>
    </xf>
    <xf numFmtId="49" fontId="29" fillId="0" borderId="0" xfId="55" applyNumberFormat="1" applyFont="1" applyAlignment="1">
      <alignment wrapText="1"/>
    </xf>
    <xf numFmtId="0" fontId="42" fillId="0" borderId="9" xfId="55" applyFont="1" applyBorder="1" applyAlignment="1">
      <alignment horizontal="center" vertical="center" wrapText="1"/>
    </xf>
    <xf numFmtId="0" fontId="29" fillId="0" borderId="9" xfId="55" applyFont="1" applyBorder="1" applyAlignment="1">
      <alignment horizontal="center" vertical="center" wrapText="1"/>
    </xf>
    <xf numFmtId="4" fontId="29" fillId="0" borderId="9" xfId="55" applyNumberFormat="1" applyFont="1" applyBorder="1" applyAlignment="1">
      <alignment horizontal="center" vertical="center" wrapText="1"/>
    </xf>
    <xf numFmtId="3" fontId="29" fillId="0" borderId="9" xfId="55" applyNumberFormat="1" applyFont="1" applyBorder="1" applyAlignment="1">
      <alignment horizontal="center" vertical="center" wrapText="1"/>
    </xf>
    <xf numFmtId="174" fontId="29" fillId="0" borderId="9" xfId="55" applyNumberFormat="1" applyFont="1" applyBorder="1" applyAlignment="1">
      <alignment horizontal="center" vertical="center" wrapText="1"/>
    </xf>
    <xf numFmtId="0" fontId="13" fillId="7" borderId="0" xfId="55" applyFill="1" applyAlignment="1">
      <alignment horizontal="center" wrapText="1"/>
    </xf>
    <xf numFmtId="3" fontId="29" fillId="0" borderId="9" xfId="55" applyNumberFormat="1" applyFont="1" applyBorder="1" applyAlignment="1">
      <alignment vertical="center" wrapText="1"/>
    </xf>
    <xf numFmtId="0" fontId="29" fillId="0" borderId="9" xfId="55" applyFont="1" applyBorder="1" applyAlignment="1">
      <alignment vertical="center" wrapText="1"/>
    </xf>
    <xf numFmtId="176" fontId="72" fillId="0" borderId="9" xfId="33" applyNumberFormat="1" applyFont="1" applyBorder="1" applyAlignment="1">
      <alignment horizontal="center" vertical="center"/>
    </xf>
    <xf numFmtId="0" fontId="72" fillId="0" borderId="9" xfId="55" applyFont="1" applyBorder="1" applyAlignment="1">
      <alignment horizontal="center" vertical="center" wrapText="1"/>
    </xf>
    <xf numFmtId="3" fontId="72" fillId="0" borderId="9" xfId="55" applyNumberFormat="1" applyFont="1" applyBorder="1" applyAlignment="1">
      <alignment horizontal="right" vertical="center" wrapText="1"/>
    </xf>
    <xf numFmtId="177" fontId="72" fillId="0" borderId="9" xfId="55" applyNumberFormat="1" applyFont="1" applyBorder="1" applyAlignment="1">
      <alignment horizontal="center" vertical="center" wrapText="1"/>
    </xf>
    <xf numFmtId="3" fontId="29" fillId="0" borderId="9" xfId="55" applyNumberFormat="1" applyFont="1" applyBorder="1" applyAlignment="1">
      <alignment horizontal="right" vertical="center" wrapText="1"/>
    </xf>
    <xf numFmtId="3" fontId="29" fillId="0" borderId="9" xfId="55" applyNumberFormat="1" applyFont="1" applyBorder="1" applyAlignment="1">
      <alignment horizontal="left" vertical="center" wrapText="1"/>
    </xf>
    <xf numFmtId="0" fontId="28" fillId="0" borderId="9" xfId="55" applyFont="1" applyBorder="1" applyAlignment="1">
      <alignment horizontal="center" vertical="center" wrapText="1"/>
    </xf>
    <xf numFmtId="3" fontId="28" fillId="0" borderId="9" xfId="55" applyNumberFormat="1" applyFont="1" applyBorder="1" applyAlignment="1">
      <alignment horizontal="left" vertical="center" wrapText="1"/>
    </xf>
    <xf numFmtId="3" fontId="28" fillId="0" borderId="9" xfId="55" applyNumberFormat="1" applyFont="1" applyBorder="1" applyAlignment="1">
      <alignment horizontal="center" vertical="center" wrapText="1"/>
    </xf>
    <xf numFmtId="4" fontId="28" fillId="0" borderId="9" xfId="55" applyNumberFormat="1" applyFont="1" applyBorder="1" applyAlignment="1">
      <alignment horizontal="center" vertical="center" wrapText="1"/>
    </xf>
    <xf numFmtId="3" fontId="28" fillId="0" borderId="9" xfId="55" applyNumberFormat="1" applyFont="1" applyBorder="1" applyAlignment="1">
      <alignment vertical="center" wrapText="1"/>
    </xf>
    <xf numFmtId="176" fontId="28" fillId="0" borderId="9" xfId="55" applyNumberFormat="1" applyFont="1" applyBorder="1" applyAlignment="1">
      <alignment horizontal="center" vertical="center" wrapText="1"/>
    </xf>
    <xf numFmtId="3" fontId="28" fillId="0" borderId="9" xfId="55" applyNumberFormat="1" applyFont="1" applyBorder="1" applyAlignment="1">
      <alignment horizontal="right" vertical="center" wrapText="1"/>
    </xf>
    <xf numFmtId="0" fontId="13" fillId="7" borderId="0" xfId="55" applyFill="1"/>
    <xf numFmtId="0" fontId="21" fillId="0" borderId="9" xfId="57" applyBorder="1" applyAlignment="1">
      <alignment horizontal="right" vertical="center"/>
    </xf>
    <xf numFmtId="0" fontId="13" fillId="0" borderId="9" xfId="55" applyBorder="1" applyAlignment="1">
      <alignment horizontal="right" vertical="center"/>
    </xf>
    <xf numFmtId="3" fontId="28" fillId="0" borderId="9" xfId="55" applyNumberFormat="1" applyFont="1" applyBorder="1" applyAlignment="1">
      <alignment horizontal="right" vertical="center"/>
    </xf>
    <xf numFmtId="0" fontId="36" fillId="0" borderId="9" xfId="55" applyFont="1" applyBorder="1" applyAlignment="1">
      <alignment vertical="center" wrapText="1"/>
    </xf>
    <xf numFmtId="0" fontId="78" fillId="0" borderId="9" xfId="57" applyFont="1" applyBorder="1" applyAlignment="1">
      <alignment horizontal="right" vertical="center"/>
    </xf>
    <xf numFmtId="0" fontId="13" fillId="6" borderId="0" xfId="58" applyFill="1"/>
    <xf numFmtId="3" fontId="28" fillId="0" borderId="2" xfId="33" applyNumberFormat="1" applyFont="1" applyBorder="1" applyAlignment="1">
      <alignment horizontal="center" vertical="center" wrapText="1"/>
    </xf>
    <xf numFmtId="3" fontId="28" fillId="0" borderId="10" xfId="55" applyNumberFormat="1" applyFont="1" applyBorder="1" applyAlignment="1">
      <alignment horizontal="left" vertical="center" wrapText="1"/>
    </xf>
    <xf numFmtId="3" fontId="28" fillId="0" borderId="2" xfId="55" applyNumberFormat="1" applyFont="1" applyBorder="1" applyAlignment="1">
      <alignment horizontal="center" vertical="center" wrapText="1"/>
    </xf>
    <xf numFmtId="0" fontId="28" fillId="0" borderId="7" xfId="55" applyFont="1" applyBorder="1" applyAlignment="1">
      <alignment horizontal="center" vertical="center" wrapText="1"/>
    </xf>
    <xf numFmtId="3" fontId="28" fillId="0" borderId="25" xfId="55" applyNumberFormat="1" applyFont="1" applyBorder="1" applyAlignment="1">
      <alignment horizontal="left" vertical="center" wrapText="1"/>
    </xf>
    <xf numFmtId="3" fontId="28" fillId="0" borderId="7" xfId="55" applyNumberFormat="1" applyFont="1" applyBorder="1" applyAlignment="1">
      <alignment horizontal="center" vertical="center" wrapText="1"/>
    </xf>
    <xf numFmtId="3" fontId="28" fillId="0" borderId="26" xfId="55" applyNumberFormat="1" applyFont="1" applyBorder="1" applyAlignment="1">
      <alignment horizontal="center" vertical="center" wrapText="1"/>
    </xf>
    <xf numFmtId="3" fontId="28" fillId="0" borderId="7" xfId="55" applyNumberFormat="1" applyFont="1" applyBorder="1" applyAlignment="1">
      <alignment horizontal="right" vertical="center" wrapText="1"/>
    </xf>
    <xf numFmtId="3" fontId="28" fillId="0" borderId="7" xfId="55" applyNumberFormat="1" applyFont="1" applyBorder="1" applyAlignment="1">
      <alignment vertical="center" wrapText="1"/>
    </xf>
    <xf numFmtId="0" fontId="13" fillId="6" borderId="9" xfId="58" applyFill="1" applyBorder="1"/>
    <xf numFmtId="0" fontId="13" fillId="0" borderId="9" xfId="55" applyBorder="1" applyAlignment="1">
      <alignment vertical="center" wrapText="1"/>
    </xf>
    <xf numFmtId="0" fontId="13" fillId="0" borderId="0" xfId="55" applyAlignment="1">
      <alignment horizontal="center" wrapText="1"/>
    </xf>
    <xf numFmtId="4" fontId="13" fillId="0" borderId="0" xfId="55" applyNumberFormat="1" applyAlignment="1">
      <alignment horizontal="center" wrapText="1"/>
    </xf>
    <xf numFmtId="0" fontId="13" fillId="0" borderId="0" xfId="55" applyAlignment="1">
      <alignment horizontal="right" wrapText="1"/>
    </xf>
    <xf numFmtId="0" fontId="29" fillId="0" borderId="0" xfId="59" applyFont="1"/>
    <xf numFmtId="4" fontId="29" fillId="0" borderId="0" xfId="59" applyNumberFormat="1" applyFont="1"/>
    <xf numFmtId="0" fontId="67" fillId="0" borderId="0" xfId="55" applyFont="1" applyAlignment="1">
      <alignment horizontal="right"/>
    </xf>
    <xf numFmtId="0" fontId="67" fillId="0" borderId="0" xfId="55" applyFont="1" applyAlignment="1">
      <alignment horizontal="center"/>
    </xf>
    <xf numFmtId="0" fontId="67" fillId="0" borderId="0" xfId="55" applyFont="1"/>
    <xf numFmtId="4" fontId="67" fillId="0" borderId="0" xfId="55" applyNumberFormat="1" applyFont="1"/>
    <xf numFmtId="4" fontId="13" fillId="0" borderId="0" xfId="55" applyNumberFormat="1" applyAlignment="1">
      <alignment wrapText="1"/>
    </xf>
    <xf numFmtId="4" fontId="13" fillId="7" borderId="0" xfId="55" applyNumberFormat="1" applyFill="1" applyAlignment="1">
      <alignment horizontal="center" wrapText="1"/>
    </xf>
    <xf numFmtId="0" fontId="13" fillId="7" borderId="0" xfId="55" applyFill="1" applyAlignment="1">
      <alignment horizontal="right" wrapText="1"/>
    </xf>
    <xf numFmtId="3" fontId="72" fillId="0" borderId="9" xfId="33" applyNumberFormat="1" applyFont="1" applyBorder="1" applyAlignment="1">
      <alignment horizontal="right" vertical="center" wrapText="1"/>
    </xf>
    <xf numFmtId="0" fontId="69" fillId="0" borderId="9" xfId="0" applyFont="1" applyFill="1" applyBorder="1"/>
    <xf numFmtId="0" fontId="0" fillId="0" borderId="9" xfId="0" applyFill="1" applyBorder="1"/>
    <xf numFmtId="0" fontId="42" fillId="0" borderId="9" xfId="0" applyFont="1" applyFill="1" applyBorder="1" applyAlignment="1">
      <alignment horizontal="center" vertical="center" wrapText="1"/>
    </xf>
    <xf numFmtId="176" fontId="42" fillId="0" borderId="9" xfId="0" applyNumberFormat="1" applyFont="1" applyFill="1" applyBorder="1" applyAlignment="1">
      <alignment horizontal="center" vertical="center" wrapText="1"/>
    </xf>
    <xf numFmtId="0" fontId="54" fillId="0" borderId="9" xfId="14" applyFont="1" applyFill="1" applyBorder="1" applyAlignment="1">
      <alignment horizontal="center" vertical="center" wrapText="1"/>
    </xf>
    <xf numFmtId="0" fontId="28" fillId="0" borderId="9" xfId="0" applyFont="1" applyFill="1" applyBorder="1" applyAlignment="1">
      <alignment horizontal="center" vertical="center" wrapText="1"/>
    </xf>
    <xf numFmtId="3" fontId="54" fillId="0" borderId="9" xfId="0" applyNumberFormat="1" applyFont="1" applyFill="1" applyBorder="1" applyAlignment="1">
      <alignment horizontal="right" vertical="center" wrapText="1"/>
    </xf>
    <xf numFmtId="3" fontId="42" fillId="0" borderId="9" xfId="0" applyNumberFormat="1" applyFont="1" applyFill="1" applyBorder="1" applyAlignment="1">
      <alignment horizontal="right" vertical="center" wrapText="1"/>
    </xf>
    <xf numFmtId="0" fontId="29" fillId="0" borderId="0" xfId="55" applyFont="1" applyAlignment="1">
      <alignment vertical="center" wrapText="1"/>
    </xf>
    <xf numFmtId="0" fontId="29" fillId="0" borderId="0" xfId="55" applyFont="1" applyAlignment="1">
      <alignment horizontal="center" vertical="center" wrapText="1"/>
    </xf>
    <xf numFmtId="0" fontId="43" fillId="0" borderId="0" xfId="33" applyFont="1" applyAlignment="1">
      <alignment horizontal="center" wrapText="1"/>
    </xf>
    <xf numFmtId="0" fontId="28" fillId="0" borderId="0" xfId="33" applyFont="1" applyAlignment="1">
      <alignment horizontal="center" wrapText="1"/>
    </xf>
    <xf numFmtId="0" fontId="29" fillId="0" borderId="0" xfId="33" applyFont="1" applyAlignment="1">
      <alignment horizontal="center" wrapText="1"/>
    </xf>
    <xf numFmtId="0" fontId="43" fillId="0" borderId="0" xfId="33" applyFont="1" applyAlignment="1">
      <alignment horizontal="center" wrapText="1"/>
    </xf>
    <xf numFmtId="0" fontId="29" fillId="0" borderId="0" xfId="55" applyFont="1" applyAlignment="1">
      <alignment horizontal="center" vertical="center" wrapText="1"/>
    </xf>
    <xf numFmtId="0" fontId="29" fillId="0" borderId="0" xfId="55" applyFont="1" applyAlignment="1">
      <alignment vertical="center" wrapText="1"/>
    </xf>
    <xf numFmtId="0" fontId="28" fillId="0" borderId="0" xfId="33" applyFont="1" applyAlignment="1">
      <alignment horizontal="center" wrapText="1"/>
    </xf>
    <xf numFmtId="0" fontId="29" fillId="0" borderId="0" xfId="33" applyFont="1" applyAlignment="1">
      <alignment horizontal="center" wrapText="1"/>
    </xf>
    <xf numFmtId="3" fontId="0" fillId="0" borderId="9" xfId="0" applyNumberFormat="1" applyFill="1" applyBorder="1"/>
    <xf numFmtId="0" fontId="69" fillId="7" borderId="0" xfId="33" applyFont="1" applyFill="1" applyAlignment="1">
      <alignment horizontal="left" vertical="center" wrapText="1"/>
    </xf>
    <xf numFmtId="3" fontId="54" fillId="0" borderId="9" xfId="33" applyNumberFormat="1" applyFont="1" applyBorder="1" applyAlignment="1">
      <alignment horizontal="center" vertical="center" wrapText="1"/>
    </xf>
    <xf numFmtId="3" fontId="54" fillId="0" borderId="9" xfId="33" applyNumberFormat="1" applyFont="1" applyBorder="1" applyAlignment="1">
      <alignment vertical="center" wrapText="1"/>
    </xf>
    <xf numFmtId="3" fontId="54" fillId="0" borderId="9" xfId="33" applyNumberFormat="1" applyFont="1" applyBorder="1" applyAlignment="1">
      <alignment horizontal="right" vertical="center" wrapText="1"/>
    </xf>
    <xf numFmtId="0" fontId="54" fillId="0" borderId="9" xfId="33" applyFont="1" applyBorder="1" applyAlignment="1">
      <alignment horizontal="center" vertical="center" wrapText="1"/>
    </xf>
    <xf numFmtId="0" fontId="54" fillId="0" borderId="10" xfId="0" applyFont="1" applyBorder="1" applyAlignment="1">
      <alignment horizontal="left" wrapText="1"/>
    </xf>
    <xf numFmtId="3" fontId="54" fillId="0" borderId="9" xfId="33" applyNumberFormat="1" applyFont="1" applyFill="1" applyBorder="1" applyAlignment="1">
      <alignment horizontal="center" vertical="center" wrapText="1"/>
    </xf>
    <xf numFmtId="0" fontId="69" fillId="0" borderId="0" xfId="33" applyFont="1"/>
    <xf numFmtId="0" fontId="54" fillId="0" borderId="10" xfId="0" applyFont="1" applyBorder="1" applyAlignment="1">
      <alignment horizontal="left" vertical="center" wrapText="1"/>
    </xf>
    <xf numFmtId="0" fontId="28" fillId="0" borderId="9" xfId="0" applyFont="1" applyFill="1" applyBorder="1"/>
    <xf numFmtId="165" fontId="28" fillId="0" borderId="9" xfId="0" applyNumberFormat="1" applyFont="1" applyFill="1" applyBorder="1"/>
    <xf numFmtId="165" fontId="63" fillId="0" borderId="9" xfId="0" applyNumberFormat="1" applyFont="1" applyFill="1" applyBorder="1"/>
    <xf numFmtId="0" fontId="54" fillId="8" borderId="9" xfId="14" applyFont="1" applyFill="1" applyBorder="1" applyAlignment="1">
      <alignment horizontal="center" vertical="center" wrapText="1"/>
    </xf>
    <xf numFmtId="0" fontId="28" fillId="8" borderId="9" xfId="0" applyFont="1" applyFill="1" applyBorder="1" applyAlignment="1">
      <alignment horizontal="center" vertical="center" wrapText="1"/>
    </xf>
    <xf numFmtId="3" fontId="54" fillId="8" borderId="9" xfId="0" applyNumberFormat="1" applyFont="1" applyFill="1" applyBorder="1" applyAlignment="1">
      <alignment horizontal="right" vertical="center" wrapText="1"/>
    </xf>
    <xf numFmtId="3" fontId="42" fillId="8" borderId="9" xfId="0" applyNumberFormat="1" applyFont="1" applyFill="1" applyBorder="1" applyAlignment="1">
      <alignment horizontal="right" vertical="center" wrapText="1"/>
    </xf>
    <xf numFmtId="3" fontId="0" fillId="8" borderId="9" xfId="0" applyNumberFormat="1" applyFill="1" applyBorder="1"/>
    <xf numFmtId="0" fontId="0" fillId="8" borderId="9" xfId="0" applyFill="1" applyBorder="1"/>
    <xf numFmtId="0" fontId="42" fillId="0" borderId="11" xfId="14" applyFont="1" applyFill="1" applyBorder="1" applyAlignment="1">
      <alignment vertical="center" wrapText="1"/>
    </xf>
    <xf numFmtId="0" fontId="53" fillId="0" borderId="11" xfId="14" applyFont="1" applyFill="1" applyBorder="1" applyAlignment="1">
      <alignment vertical="center" wrapText="1"/>
    </xf>
    <xf numFmtId="164" fontId="36" fillId="0" borderId="9" xfId="1" applyFont="1" applyBorder="1" applyAlignment="1">
      <alignment horizontal="center" vertical="center"/>
    </xf>
    <xf numFmtId="3" fontId="13" fillId="8" borderId="0" xfId="33" applyNumberFormat="1" applyFill="1" applyAlignment="1">
      <alignment wrapText="1"/>
    </xf>
    <xf numFmtId="0" fontId="29" fillId="0" borderId="9" xfId="0" applyFont="1" applyBorder="1" applyAlignment="1">
      <alignment horizontal="left" vertical="center"/>
    </xf>
    <xf numFmtId="0" fontId="49" fillId="0" borderId="9" xfId="0" applyFont="1" applyBorder="1" applyAlignment="1">
      <alignment horizontal="left" vertical="center"/>
    </xf>
    <xf numFmtId="0" fontId="0" fillId="0" borderId="9" xfId="0" applyBorder="1" applyAlignment="1">
      <alignment horizontal="left" vertical="top"/>
    </xf>
    <xf numFmtId="0" fontId="0" fillId="0" borderId="9" xfId="0" applyBorder="1" applyAlignment="1">
      <alignment horizontal="left"/>
    </xf>
    <xf numFmtId="3" fontId="54" fillId="0" borderId="9" xfId="0" applyNumberFormat="1" applyFont="1" applyFill="1" applyBorder="1" applyAlignment="1">
      <alignment horizontal="center" vertical="center" wrapText="1"/>
    </xf>
    <xf numFmtId="0" fontId="69" fillId="0" borderId="9" xfId="0" applyFont="1" applyFill="1" applyBorder="1" applyAlignment="1">
      <alignment horizontal="center" vertical="center" wrapText="1"/>
    </xf>
    <xf numFmtId="1" fontId="42" fillId="0" borderId="9" xfId="14" applyNumberFormat="1" applyFont="1" applyFill="1" applyBorder="1" applyAlignment="1">
      <alignment horizontal="center" vertical="center" wrapText="1"/>
    </xf>
    <xf numFmtId="0" fontId="42" fillId="0" borderId="10" xfId="0" applyFont="1" applyFill="1" applyBorder="1" applyAlignment="1">
      <alignment horizontal="center" vertical="center" wrapText="1"/>
    </xf>
    <xf numFmtId="0" fontId="42" fillId="0" borderId="2" xfId="0" applyFont="1" applyFill="1" applyBorder="1" applyAlignment="1">
      <alignment horizontal="center" vertical="center" wrapText="1"/>
    </xf>
    <xf numFmtId="0" fontId="42" fillId="0" borderId="11" xfId="0" applyFont="1" applyFill="1" applyBorder="1" applyAlignment="1">
      <alignment horizontal="center" vertical="center" wrapText="1"/>
    </xf>
    <xf numFmtId="0" fontId="42" fillId="0" borderId="7" xfId="0" applyFont="1" applyFill="1" applyBorder="1" applyAlignment="1">
      <alignment horizontal="center" vertical="center" wrapText="1"/>
    </xf>
    <xf numFmtId="0" fontId="42" fillId="0" borderId="23" xfId="0" applyFont="1" applyFill="1" applyBorder="1" applyAlignment="1">
      <alignment horizontal="center" vertical="center" wrapText="1"/>
    </xf>
    <xf numFmtId="0" fontId="42" fillId="0" borderId="9" xfId="14" applyFont="1" applyFill="1" applyBorder="1" applyAlignment="1">
      <alignment horizontal="center" vertical="center" wrapText="1"/>
    </xf>
    <xf numFmtId="3" fontId="42" fillId="0" borderId="9" xfId="0" applyNumberFormat="1" applyFont="1" applyFill="1" applyBorder="1" applyAlignment="1">
      <alignment horizontal="center" vertical="center" wrapText="1"/>
    </xf>
    <xf numFmtId="0" fontId="42" fillId="0" borderId="0" xfId="14" applyFont="1" applyFill="1" applyBorder="1" applyAlignment="1">
      <alignment horizontal="center" vertical="center" wrapText="1"/>
    </xf>
    <xf numFmtId="0" fontId="53" fillId="0" borderId="22" xfId="14" applyFont="1" applyFill="1" applyBorder="1" applyAlignment="1">
      <alignment horizontal="right" vertical="center" wrapText="1"/>
    </xf>
    <xf numFmtId="0" fontId="66" fillId="0" borderId="22" xfId="33" applyFont="1" applyBorder="1" applyAlignment="1">
      <alignment horizontal="left" vertical="center" wrapText="1"/>
    </xf>
    <xf numFmtId="0" fontId="57" fillId="0" borderId="0" xfId="33" applyFont="1" applyAlignment="1">
      <alignment horizontal="center" wrapText="1"/>
    </xf>
    <xf numFmtId="0" fontId="58" fillId="0" borderId="0" xfId="33" applyFont="1" applyAlignment="1">
      <alignment horizontal="center" wrapText="1"/>
    </xf>
    <xf numFmtId="0" fontId="59" fillId="0" borderId="0" xfId="33" applyFont="1" applyAlignment="1">
      <alignment horizontal="center" wrapText="1"/>
    </xf>
    <xf numFmtId="0" fontId="60" fillId="0" borderId="0" xfId="33" applyFont="1" applyAlignment="1">
      <alignment horizontal="center" wrapText="1"/>
    </xf>
    <xf numFmtId="0" fontId="61" fillId="0" borderId="0" xfId="33" applyFont="1" applyAlignment="1">
      <alignment horizontal="center" wrapText="1"/>
    </xf>
    <xf numFmtId="0" fontId="59" fillId="0" borderId="0" xfId="33" applyFont="1" applyAlignment="1">
      <alignment horizontal="center" vertical="center" wrapText="1"/>
    </xf>
    <xf numFmtId="0" fontId="64" fillId="0" borderId="0" xfId="33" applyFont="1" applyAlignment="1">
      <alignment horizontal="center" wrapText="1"/>
    </xf>
    <xf numFmtId="0" fontId="45" fillId="0" borderId="0" xfId="33" applyFont="1" applyAlignment="1">
      <alignment horizontal="right" wrapText="1"/>
    </xf>
    <xf numFmtId="0" fontId="65" fillId="0" borderId="0" xfId="33" applyFont="1" applyAlignment="1">
      <alignment horizontal="right" wrapText="1"/>
    </xf>
    <xf numFmtId="0" fontId="62" fillId="0" borderId="0" xfId="33" applyFont="1" applyAlignment="1">
      <alignment horizontal="center" vertical="center" wrapText="1"/>
    </xf>
    <xf numFmtId="0" fontId="29" fillId="0" borderId="0" xfId="33" applyFont="1" applyAlignment="1">
      <alignment horizontal="center" vertical="center" wrapText="1"/>
    </xf>
    <xf numFmtId="0" fontId="58" fillId="0" borderId="0" xfId="33" applyFont="1" applyAlignment="1">
      <alignment horizontal="center" vertical="center" wrapText="1"/>
    </xf>
    <xf numFmtId="0" fontId="32" fillId="0" borderId="0" xfId="33" applyFont="1" applyAlignment="1">
      <alignment horizontal="center" vertical="center" wrapText="1"/>
    </xf>
    <xf numFmtId="0" fontId="33" fillId="0" borderId="0" xfId="33" applyFont="1" applyAlignment="1">
      <alignment horizontal="left" vertical="center" wrapText="1"/>
    </xf>
    <xf numFmtId="0" fontId="66" fillId="0" borderId="0" xfId="33" applyFont="1" applyAlignment="1">
      <alignment horizontal="left" vertical="center" wrapText="1"/>
    </xf>
    <xf numFmtId="0" fontId="29" fillId="0" borderId="0" xfId="55" applyFont="1" applyAlignment="1">
      <alignment vertical="center" wrapText="1"/>
    </xf>
    <xf numFmtId="0" fontId="29" fillId="0" borderId="0" xfId="55" applyFont="1" applyAlignment="1">
      <alignment horizontal="center" vertical="center" wrapText="1"/>
    </xf>
    <xf numFmtId="0" fontId="35" fillId="0" borderId="9" xfId="33" applyFont="1" applyBorder="1" applyAlignment="1">
      <alignment horizontal="left" vertical="center" wrapText="1"/>
    </xf>
    <xf numFmtId="3" fontId="32" fillId="0" borderId="9" xfId="33" applyNumberFormat="1" applyFont="1" applyBorder="1" applyAlignment="1">
      <alignment horizontal="left" vertical="center" wrapText="1"/>
    </xf>
    <xf numFmtId="0" fontId="35" fillId="0" borderId="10" xfId="33" applyFont="1" applyBorder="1" applyAlignment="1">
      <alignment horizontal="center" vertical="center" wrapText="1"/>
    </xf>
    <xf numFmtId="0" fontId="35" fillId="0" borderId="2" xfId="33" applyFont="1" applyBorder="1" applyAlignment="1">
      <alignment horizontal="center" vertical="center" wrapText="1"/>
    </xf>
    <xf numFmtId="0" fontId="35" fillId="0" borderId="11" xfId="33" applyFont="1" applyBorder="1" applyAlignment="1">
      <alignment horizontal="center" vertical="center" wrapText="1"/>
    </xf>
    <xf numFmtId="0" fontId="45" fillId="0" borderId="10" xfId="33" applyFont="1" applyBorder="1" applyAlignment="1">
      <alignment horizontal="center" vertical="center" wrapText="1"/>
    </xf>
    <xf numFmtId="0" fontId="37" fillId="0" borderId="2" xfId="33" applyFont="1" applyBorder="1" applyAlignment="1">
      <alignment horizontal="center" vertical="center" wrapText="1"/>
    </xf>
    <xf numFmtId="0" fontId="37" fillId="0" borderId="11" xfId="33" applyFont="1" applyBorder="1" applyAlignment="1">
      <alignment horizontal="center" vertical="center" wrapText="1"/>
    </xf>
    <xf numFmtId="3" fontId="70" fillId="0" borderId="10" xfId="33" applyNumberFormat="1" applyFont="1" applyBorder="1" applyAlignment="1">
      <alignment horizontal="left" vertical="center" wrapText="1"/>
    </xf>
    <xf numFmtId="3" fontId="70" fillId="0" borderId="2" xfId="33" applyNumberFormat="1" applyFont="1" applyBorder="1" applyAlignment="1">
      <alignment horizontal="left" vertical="center" wrapText="1"/>
    </xf>
    <xf numFmtId="3" fontId="70" fillId="0" borderId="11" xfId="33" applyNumberFormat="1" applyFont="1" applyBorder="1" applyAlignment="1">
      <alignment horizontal="left" vertical="center" wrapText="1"/>
    </xf>
    <xf numFmtId="0" fontId="29" fillId="0" borderId="0" xfId="33" applyFont="1" applyAlignment="1">
      <alignment horizontal="center"/>
    </xf>
    <xf numFmtId="0" fontId="42" fillId="0" borderId="0" xfId="33" applyFont="1" applyAlignment="1">
      <alignment horizontal="center" wrapText="1"/>
    </xf>
    <xf numFmtId="0" fontId="43" fillId="0" borderId="0" xfId="33" applyFont="1" applyAlignment="1">
      <alignment horizontal="center" wrapText="1"/>
    </xf>
    <xf numFmtId="4" fontId="29" fillId="0" borderId="0" xfId="55" applyNumberFormat="1" applyFont="1" applyAlignment="1">
      <alignment horizontal="center" vertical="center" wrapText="1"/>
    </xf>
    <xf numFmtId="0" fontId="29" fillId="0" borderId="0" xfId="0" applyFont="1" applyAlignment="1">
      <alignment horizontal="center"/>
    </xf>
    <xf numFmtId="0" fontId="43" fillId="0" borderId="0" xfId="33" applyFont="1" applyAlignment="1">
      <alignment horizontal="center" vertical="center" wrapText="1"/>
    </xf>
    <xf numFmtId="0" fontId="33" fillId="0" borderId="22" xfId="33" applyFont="1" applyBorder="1" applyAlignment="1">
      <alignment horizontal="left" vertical="center" wrapText="1"/>
    </xf>
    <xf numFmtId="0" fontId="28" fillId="0" borderId="0" xfId="33" applyFont="1" applyAlignment="1">
      <alignment horizontal="center" wrapText="1"/>
    </xf>
    <xf numFmtId="0" fontId="32" fillId="0" borderId="0" xfId="33" applyFont="1" applyAlignment="1">
      <alignment horizontal="center" wrapText="1"/>
    </xf>
    <xf numFmtId="0" fontId="29" fillId="0" borderId="0" xfId="33" applyFont="1" applyAlignment="1">
      <alignment horizontal="center" wrapText="1"/>
    </xf>
    <xf numFmtId="3" fontId="28" fillId="0" borderId="7" xfId="33" applyNumberFormat="1" applyFont="1" applyBorder="1" applyAlignment="1">
      <alignment horizontal="center" vertical="center" wrapText="1"/>
    </xf>
    <xf numFmtId="3" fontId="28" fillId="0" borderId="23" xfId="33" applyNumberFormat="1" applyFont="1" applyBorder="1" applyAlignment="1">
      <alignment horizontal="center" vertical="center" wrapText="1"/>
    </xf>
    <xf numFmtId="0" fontId="54" fillId="0" borderId="0" xfId="33" applyFont="1" applyAlignment="1">
      <alignment horizontal="left" vertical="center" wrapText="1"/>
    </xf>
    <xf numFmtId="0" fontId="54" fillId="0" borderId="22" xfId="33" applyFont="1" applyBorder="1" applyAlignment="1">
      <alignment horizontal="left" vertical="center" wrapText="1"/>
    </xf>
    <xf numFmtId="3" fontId="45" fillId="0" borderId="10" xfId="33" applyNumberFormat="1" applyFont="1" applyBorder="1" applyAlignment="1">
      <alignment horizontal="center" vertical="center" wrapText="1"/>
    </xf>
    <xf numFmtId="3" fontId="28" fillId="0" borderId="24" xfId="33" applyNumberFormat="1" applyFont="1" applyBorder="1" applyAlignment="1">
      <alignment horizontal="center" vertical="center" wrapText="1"/>
    </xf>
    <xf numFmtId="3" fontId="36" fillId="0" borderId="9" xfId="33" applyNumberFormat="1" applyFont="1" applyBorder="1" applyAlignment="1">
      <alignment horizontal="left" vertical="center"/>
    </xf>
    <xf numFmtId="3" fontId="72" fillId="0" borderId="9" xfId="33" applyNumberFormat="1" applyFont="1" applyBorder="1" applyAlignment="1">
      <alignment horizontal="left" vertical="center"/>
    </xf>
    <xf numFmtId="0" fontId="72" fillId="0" borderId="7" xfId="36" applyFont="1" applyBorder="1" applyAlignment="1">
      <alignment horizontal="center" vertical="center" wrapText="1"/>
    </xf>
    <xf numFmtId="0" fontId="72" fillId="0" borderId="23" xfId="36" applyFont="1" applyBorder="1" applyAlignment="1">
      <alignment horizontal="center" vertical="center" wrapText="1"/>
    </xf>
    <xf numFmtId="3" fontId="72" fillId="0" borderId="7" xfId="33" applyNumberFormat="1" applyFont="1" applyBorder="1" applyAlignment="1">
      <alignment horizontal="left" vertical="center" wrapText="1"/>
    </xf>
    <xf numFmtId="3" fontId="72" fillId="0" borderId="23" xfId="33" applyNumberFormat="1" applyFont="1" applyBorder="1" applyAlignment="1">
      <alignment horizontal="left" vertical="center" wrapText="1"/>
    </xf>
    <xf numFmtId="0" fontId="43" fillId="0" borderId="0" xfId="55" applyFont="1" applyAlignment="1">
      <alignment horizontal="center" wrapText="1"/>
    </xf>
    <xf numFmtId="0" fontId="29" fillId="0" borderId="0" xfId="59" applyFont="1" applyAlignment="1">
      <alignment horizontal="center"/>
    </xf>
    <xf numFmtId="0" fontId="29" fillId="0" borderId="0" xfId="55" applyFont="1" applyAlignment="1">
      <alignment horizontal="center"/>
    </xf>
    <xf numFmtId="0" fontId="29" fillId="0" borderId="10" xfId="55" applyFont="1" applyBorder="1" applyAlignment="1">
      <alignment horizontal="center" vertical="center" wrapText="1"/>
    </xf>
    <xf numFmtId="0" fontId="29" fillId="0" borderId="2" xfId="55" applyFont="1" applyBorder="1" applyAlignment="1">
      <alignment horizontal="center" vertical="center" wrapText="1"/>
    </xf>
    <xf numFmtId="0" fontId="29" fillId="0" borderId="11" xfId="55" applyFont="1" applyBorder="1" applyAlignment="1">
      <alignment horizontal="center" vertical="center" wrapText="1"/>
    </xf>
    <xf numFmtId="0" fontId="29" fillId="0" borderId="9" xfId="55" applyFont="1" applyBorder="1" applyAlignment="1">
      <alignment horizontal="center" vertical="center" wrapText="1"/>
    </xf>
    <xf numFmtId="0" fontId="45" fillId="0" borderId="10" xfId="55" applyFont="1" applyBorder="1" applyAlignment="1">
      <alignment horizontal="center" vertical="center" wrapText="1"/>
    </xf>
    <xf numFmtId="0" fontId="45" fillId="0" borderId="2" xfId="55" applyFont="1" applyBorder="1" applyAlignment="1">
      <alignment horizontal="center" vertical="center" wrapText="1"/>
    </xf>
    <xf numFmtId="0" fontId="45" fillId="0" borderId="11" xfId="55" applyFont="1" applyBorder="1" applyAlignment="1">
      <alignment horizontal="center" vertical="center" wrapText="1"/>
    </xf>
    <xf numFmtId="3" fontId="29" fillId="0" borderId="9" xfId="55" applyNumberFormat="1" applyFont="1" applyBorder="1" applyAlignment="1">
      <alignment horizontal="left" vertical="center" wrapText="1"/>
    </xf>
    <xf numFmtId="0" fontId="43" fillId="0" borderId="0" xfId="55" applyFont="1" applyAlignment="1">
      <alignment horizontal="center" vertical="center" wrapText="1"/>
    </xf>
    <xf numFmtId="0" fontId="33" fillId="0" borderId="0" xfId="55" applyFont="1" applyAlignment="1">
      <alignment horizontal="left" vertical="center" wrapText="1"/>
    </xf>
    <xf numFmtId="0" fontId="33" fillId="0" borderId="22" xfId="55" applyFont="1" applyBorder="1" applyAlignment="1">
      <alignment horizontal="left" vertical="center" wrapText="1"/>
    </xf>
    <xf numFmtId="0" fontId="29" fillId="0" borderId="9" xfId="55" applyFont="1" applyBorder="1" applyAlignment="1">
      <alignment horizontal="left" vertical="center" wrapText="1"/>
    </xf>
    <xf numFmtId="0" fontId="72" fillId="0" borderId="7" xfId="55" applyFont="1" applyBorder="1" applyAlignment="1">
      <alignment horizontal="center" vertical="center" wrapText="1"/>
    </xf>
    <xf numFmtId="0" fontId="72" fillId="0" borderId="23" xfId="55" applyFont="1" applyBorder="1" applyAlignment="1">
      <alignment horizontal="center" vertical="center" wrapText="1"/>
    </xf>
    <xf numFmtId="3" fontId="29" fillId="0" borderId="10" xfId="55" applyNumberFormat="1" applyFont="1" applyBorder="1" applyAlignment="1">
      <alignment horizontal="left" vertical="center" wrapText="1"/>
    </xf>
    <xf numFmtId="3" fontId="29" fillId="0" borderId="2" xfId="55" applyNumberFormat="1" applyFont="1" applyBorder="1" applyAlignment="1">
      <alignment horizontal="left" vertical="center" wrapText="1"/>
    </xf>
    <xf numFmtId="3" fontId="29" fillId="0" borderId="11" xfId="55" applyNumberFormat="1" applyFont="1" applyBorder="1" applyAlignment="1">
      <alignment horizontal="left" vertical="center" wrapText="1"/>
    </xf>
    <xf numFmtId="0" fontId="28" fillId="0" borderId="0" xfId="55" applyFont="1" applyAlignment="1">
      <alignment horizontal="center" wrapText="1"/>
    </xf>
    <xf numFmtId="0" fontId="45" fillId="0" borderId="0" xfId="55" applyFont="1" applyAlignment="1">
      <alignment horizontal="right" wrapText="1"/>
    </xf>
    <xf numFmtId="0" fontId="32" fillId="0" borderId="0" xfId="55" applyFont="1" applyAlignment="1">
      <alignment horizontal="center" wrapText="1"/>
    </xf>
    <xf numFmtId="0" fontId="29" fillId="0" borderId="0" xfId="55" applyFont="1" applyAlignment="1">
      <alignment horizontal="center" wrapText="1"/>
    </xf>
    <xf numFmtId="0" fontId="61" fillId="0" borderId="0" xfId="55" applyFont="1" applyAlignment="1">
      <alignment horizontal="center" wrapText="1"/>
    </xf>
    <xf numFmtId="3" fontId="36" fillId="0" borderId="10" xfId="33" applyNumberFormat="1" applyFont="1" applyBorder="1" applyAlignment="1">
      <alignment horizontal="left" vertical="center"/>
    </xf>
    <xf numFmtId="3" fontId="36" fillId="0" borderId="2" xfId="33" applyNumberFormat="1" applyFont="1" applyBorder="1" applyAlignment="1">
      <alignment horizontal="left" vertical="center"/>
    </xf>
    <xf numFmtId="3" fontId="36" fillId="0" borderId="11" xfId="33" applyNumberFormat="1" applyFont="1" applyBorder="1" applyAlignment="1">
      <alignment horizontal="left" vertical="center"/>
    </xf>
    <xf numFmtId="3" fontId="72" fillId="0" borderId="10" xfId="33" applyNumberFormat="1" applyFont="1" applyBorder="1" applyAlignment="1">
      <alignment horizontal="left" vertical="center"/>
    </xf>
    <xf numFmtId="3" fontId="72" fillId="0" borderId="2" xfId="33" applyNumberFormat="1" applyFont="1" applyBorder="1" applyAlignment="1">
      <alignment horizontal="left" vertical="center"/>
    </xf>
    <xf numFmtId="3" fontId="72" fillId="0" borderId="11" xfId="33" applyNumberFormat="1" applyFont="1" applyBorder="1" applyAlignment="1">
      <alignment horizontal="left" vertical="center"/>
    </xf>
  </cellXfs>
  <cellStyles count="60">
    <cellStyle name="Comma" xfId="1" builtinId="3"/>
    <cellStyle name="Comma 2" xfId="2" xr:uid="{00000000-0005-0000-0000-000001000000}"/>
    <cellStyle name="Comma 3" xfId="3" xr:uid="{00000000-0005-0000-0000-000002000000}"/>
    <cellStyle name="Comma 4" xfId="46" xr:uid="{00000000-0005-0000-0000-000003000000}"/>
    <cellStyle name="Comma 5" xfId="42" xr:uid="{00000000-0005-0000-0000-000004000000}"/>
    <cellStyle name="Header1" xfId="4" xr:uid="{00000000-0005-0000-0000-000005000000}"/>
    <cellStyle name="Header2" xfId="5" xr:uid="{00000000-0005-0000-0000-000006000000}"/>
    <cellStyle name="Normal" xfId="0" builtinId="0"/>
    <cellStyle name="Normal 10" xfId="6" xr:uid="{00000000-0005-0000-0000-000008000000}"/>
    <cellStyle name="Normal 12" xfId="7" xr:uid="{00000000-0005-0000-0000-000009000000}"/>
    <cellStyle name="Normal 15" xfId="8" xr:uid="{00000000-0005-0000-0000-00000A000000}"/>
    <cellStyle name="Normal 2" xfId="9" xr:uid="{00000000-0005-0000-0000-00000B000000}"/>
    <cellStyle name="Normal 2 2" xfId="10" xr:uid="{00000000-0005-0000-0000-00000C000000}"/>
    <cellStyle name="Normal 2 2 2" xfId="11" xr:uid="{00000000-0005-0000-0000-00000D000000}"/>
    <cellStyle name="Normal 2 2 3" xfId="34" xr:uid="{00000000-0005-0000-0000-00000E000000}"/>
    <cellStyle name="Normal 2 2 3 2" xfId="35" xr:uid="{00000000-0005-0000-0000-00000F000000}"/>
    <cellStyle name="Normal 2 2 3 2 2" xfId="37" xr:uid="{00000000-0005-0000-0000-000010000000}"/>
    <cellStyle name="Normal 2 2 3 2 3" xfId="38" xr:uid="{00000000-0005-0000-0000-000011000000}"/>
    <cellStyle name="Normal 2 2 3 2 3 2" xfId="59" xr:uid="{00000000-0005-0000-0000-000012000000}"/>
    <cellStyle name="Normal 2 2 3 2 4" xfId="40" xr:uid="{00000000-0005-0000-0000-000013000000}"/>
    <cellStyle name="Normal 2 2 3 2 4 2" xfId="41" xr:uid="{00000000-0005-0000-0000-000014000000}"/>
    <cellStyle name="Normal 2 2 3 2 4 2 2" xfId="43" xr:uid="{00000000-0005-0000-0000-000015000000}"/>
    <cellStyle name="Normal 2 2 3 2 4 2 2 2" xfId="48" xr:uid="{00000000-0005-0000-0000-000016000000}"/>
    <cellStyle name="Normal 2 2 3 2 4 2 3" xfId="45" xr:uid="{00000000-0005-0000-0000-000017000000}"/>
    <cellStyle name="Normal 2 2 3 2 4 2 3 2" xfId="50" xr:uid="{00000000-0005-0000-0000-000018000000}"/>
    <cellStyle name="Normal 2 2 3 2 4 2 3 3" xfId="52" xr:uid="{00000000-0005-0000-0000-000019000000}"/>
    <cellStyle name="Normal 2 2 3 2 4 2 4" xfId="47" xr:uid="{00000000-0005-0000-0000-00001A000000}"/>
    <cellStyle name="Normal 2 2 3 2 4 2 4 2" xfId="53" xr:uid="{00000000-0005-0000-0000-00001B000000}"/>
    <cellStyle name="Normal 2 2 3 2 4 3" xfId="44" xr:uid="{00000000-0005-0000-0000-00001C000000}"/>
    <cellStyle name="Normal 2 2 3 2 4 3 2" xfId="49" xr:uid="{00000000-0005-0000-0000-00001D000000}"/>
    <cellStyle name="Normal 2 2 3 2 4 5" xfId="51" xr:uid="{00000000-0005-0000-0000-00001E000000}"/>
    <cellStyle name="Normal 2 3" xfId="33" xr:uid="{00000000-0005-0000-0000-00001F000000}"/>
    <cellStyle name="Normal 2 3 2" xfId="36" xr:uid="{00000000-0005-0000-0000-000020000000}"/>
    <cellStyle name="Normal 2 3 2 2" xfId="55" xr:uid="{00000000-0005-0000-0000-000021000000}"/>
    <cellStyle name="Normal 2 3 3" xfId="58" xr:uid="{00000000-0005-0000-0000-000022000000}"/>
    <cellStyle name="Normal 3" xfId="12" xr:uid="{00000000-0005-0000-0000-000023000000}"/>
    <cellStyle name="Normal 3 5 2" xfId="13" xr:uid="{00000000-0005-0000-0000-000024000000}"/>
    <cellStyle name="Normal 4" xfId="14" xr:uid="{00000000-0005-0000-0000-000025000000}"/>
    <cellStyle name="Normal 4 2" xfId="56" xr:uid="{00000000-0005-0000-0000-000026000000}"/>
    <cellStyle name="Normal 5" xfId="39" xr:uid="{00000000-0005-0000-0000-000027000000}"/>
    <cellStyle name="Normal 6" xfId="57" xr:uid="{00000000-0005-0000-0000-000028000000}"/>
    <cellStyle name="Normal 7" xfId="15" xr:uid="{00000000-0005-0000-0000-000029000000}"/>
    <cellStyle name="Normal_PA boi thuong giai doan I tu so 1 den 26 2" xfId="54" xr:uid="{00000000-0005-0000-0000-00002A000000}"/>
    <cellStyle name="똿뗦먛귟 [0.00]_PRODUCT DETAIL Q1" xfId="16" xr:uid="{00000000-0005-0000-0000-00002B000000}"/>
    <cellStyle name="똿뗦먛귟_PRODUCT DETAIL Q1" xfId="17" xr:uid="{00000000-0005-0000-0000-00002C000000}"/>
    <cellStyle name="믅됞 [0.00]_PRODUCT DETAIL Q1" xfId="18" xr:uid="{00000000-0005-0000-0000-00002D000000}"/>
    <cellStyle name="믅됞_PRODUCT DETAIL Q1" xfId="19" xr:uid="{00000000-0005-0000-0000-00002E000000}"/>
    <cellStyle name="백분율_95" xfId="20" xr:uid="{00000000-0005-0000-0000-00002F000000}"/>
    <cellStyle name="뷭?_BOOKSHIP" xfId="21" xr:uid="{00000000-0005-0000-0000-000030000000}"/>
    <cellStyle name="콤마 [0]_1202" xfId="22" xr:uid="{00000000-0005-0000-0000-000031000000}"/>
    <cellStyle name="콤마_1202" xfId="23" xr:uid="{00000000-0005-0000-0000-000032000000}"/>
    <cellStyle name="통화 [0]_1202" xfId="24" xr:uid="{00000000-0005-0000-0000-000033000000}"/>
    <cellStyle name="통화_1202" xfId="25" xr:uid="{00000000-0005-0000-0000-000034000000}"/>
    <cellStyle name="표준_(정보부문)월별인원계획" xfId="26" xr:uid="{00000000-0005-0000-0000-000035000000}"/>
    <cellStyle name="표준_kc-elec system check list" xfId="27" xr:uid="{00000000-0005-0000-0000-000036000000}"/>
    <cellStyle name="一般_Book1" xfId="28" xr:uid="{00000000-0005-0000-0000-000037000000}"/>
    <cellStyle name="千分位[0]_Book1" xfId="29" xr:uid="{00000000-0005-0000-0000-000038000000}"/>
    <cellStyle name="千分位_Book1" xfId="30" xr:uid="{00000000-0005-0000-0000-000039000000}"/>
    <cellStyle name="貨幣 [0]_Book1" xfId="31" xr:uid="{00000000-0005-0000-0000-00003A000000}"/>
    <cellStyle name="貨幣_Book1" xfId="32" xr:uid="{00000000-0005-0000-0000-00003B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sharedStrings" Target="sharedString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7.xml"/><Relationship Id="rId102" Type="http://schemas.openxmlformats.org/officeDocument/2006/relationships/externalLink" Target="externalLinks/externalLink2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2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5.xml"/><Relationship Id="rId93" Type="http://schemas.openxmlformats.org/officeDocument/2006/relationships/externalLink" Target="externalLinks/externalLink13.xml"/><Relationship Id="rId98"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23.xml"/><Relationship Id="rId108"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96"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externalLink" Target="externalLinks/externalLink14.xml"/><Relationship Id="rId99" Type="http://schemas.openxmlformats.org/officeDocument/2006/relationships/externalLink" Target="externalLinks/externalLink19.xml"/><Relationship Id="rId10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7.xml"/><Relationship Id="rId104" Type="http://schemas.openxmlformats.org/officeDocument/2006/relationships/externalLink" Target="externalLinks/externalLink2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s>
</file>

<file path=xl/drawings/drawing1.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58B752B9-700C-44A9-9668-3EF7F8DB7A07}"/>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82E55D1F-AA65-415B-BC88-C9721CE22CC7}"/>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FA5FC9EF-E3CB-4431-8F40-B15E01CE9219}"/>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E6B77C82-823F-41A5-A82B-054F8DFEE200}"/>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1369AAC2-5E62-4932-9900-B95A49734832}"/>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07A409E2-6D50-433D-A37A-BDC6AE5C6A60}"/>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8C166263-BDF5-429F-8563-E60FF77FFAB7}"/>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E371167C-D6C6-44CB-996D-071E30F749E9}"/>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A797F444-45B9-4AD4-8CD6-C90F5C3EE6DF}"/>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C3B97EA3-DAA3-4E34-9E1B-C97B59664CD7}"/>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DAE9C55C-00BC-40E6-BD6F-E8A4B66CE654}"/>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1B321F71-7B3F-4D0B-8999-439A19462BB1}"/>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FA5C73E2-88E0-40DA-A047-6BFAB4DB6AD5}"/>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E4A98108-EAAB-4CD7-B8C7-3C28FF5A0D20}"/>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67B6CCBC-1EED-4CA8-9C16-5B4420B0FDFF}"/>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5269B451-75FC-4643-80D2-6761C403D749}"/>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B8DED5F2-5C99-4911-93B7-1CC1832D135C}"/>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927A9268-1CB0-4866-B2BC-4A6E5753A696}"/>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FA9AED85-00D3-4AB4-9212-7F6D0F8AA061}"/>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D3643E42-E5D9-42C3-ACD0-BCA86667954D}"/>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FFB7858D-92C3-40BF-B049-5F73E835E536}"/>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5572E36E-2340-43C8-AF1A-74697EF5A391}"/>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D9394129-F964-453D-9DF6-B366EF8E6A6E}"/>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E7B09A0C-7768-4E82-BEF9-0151EB76D085}"/>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4E11F57F-C9C5-45BF-9891-97A9E82A273A}"/>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A180730C-8584-4572-851A-7B820656D132}"/>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E9D443C5-34B8-4927-BFB9-1FD40BBFC00B}"/>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8FA0D27E-9373-432D-A45A-1887D2547A58}"/>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244E382D-F427-4E1A-AF42-5AFB86B3612B}"/>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16365ED4-6522-48F9-A6BD-D4627E249E8F}"/>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88D1D802-09C7-4C4F-B0C2-BE462913BCA6}"/>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3D3E01EF-852E-4E1A-A9A8-320500A1FBD9}"/>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54B54E33-E6FB-4297-92FA-EC211B0E3B66}"/>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1E897B81-B6DF-4FC4-96F3-F54E1FF8E5D9}"/>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FB26019D-8C89-49C0-AF78-D920312B19D3}"/>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0B9AD365-38AC-4F16-BAB7-913A4AAF734F}"/>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A53F537B-B4DC-4FAA-8523-E5384B5F5698}"/>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352BB18A-7F86-4234-A3D0-C210252069FE}"/>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CBE9E123-09B4-4321-AC51-8105D2132225}"/>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B58513FD-C0AE-48FB-8955-7415CAB652BA}"/>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E72C9017-78B1-48A7-8E60-9E89A385AD09}"/>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4D816268-2E87-400E-AE9E-F95A1B71A97F}"/>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73691FCB-8E35-4A86-8AF8-A524B2108655}"/>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4488A07E-2EBB-4877-8877-45DD4E6F8641}"/>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8D253A44-6F6C-402A-89BA-9D4673AED594}"/>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8B5A1CF0-649E-4FB9-9EFC-5EE90B9A1FDC}"/>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6CF244E9-7612-4FA3-9745-3F7ECC46EBB2}"/>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256B297E-2040-4D5B-A088-BA1B7F27E648}"/>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F830F98E-9704-4E3F-BA91-BF893174B841}"/>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3C1AD702-39FB-456C-B8A2-F552EA922EBE}"/>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DB35C8F2-A368-4B5F-AD0C-CCBAEA09CE94}"/>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51E6BC23-A67D-4EC6-94DF-1DC2063F8DC2}"/>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5C021EFD-03B5-4525-8CC0-75ABE33BA793}"/>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DDBFE574-5865-4BC3-BFBE-2743BAF7DEEE}"/>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851EFD81-4324-46E2-B65F-7D4487D16F02}"/>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07FCD86A-DC98-4848-8EF0-5C8BEC01C62A}"/>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47B8B5CB-F7F3-4056-AF5C-BE68C279852C}"/>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1DB791C4-F8DF-4323-97FC-8136566B8332}"/>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015C6BB6-AA0E-4672-9372-F5778B81A2F5}"/>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BD4BB0D8-53C9-44B4-9465-6CF1F9E0CF65}"/>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6DFD4BE2-8D21-440B-A5A4-DD9D108A8D9B}"/>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AD68213A-CA2F-499A-A259-42EB9C4DCF9B}"/>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48F49F2A-7C54-490A-8ECB-01BA19AD4463}"/>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726CE469-0E1B-455F-AADA-FB3342A95048}"/>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5EF419DA-6BE4-4AE8-BFD2-CB51E686C646}"/>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F6873AB2-6294-47B7-948E-76E5B5376D06}"/>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2B6298DA-2516-4C3D-B608-12D37FA957C6}"/>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992C94DD-5E14-48DF-BA23-EF4FC1350CEB}"/>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C01D4C2E-2E38-4094-9738-A315CDFAA79A}"/>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8E224D1D-486F-4152-B484-DBE59128C2AF}"/>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04564160-99B6-4A18-9580-34FE63BDFB52}"/>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948CB596-16FA-49E5-823F-4D0607797FEC}"/>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AF5C967C-964C-40C4-9CC7-6FC3BFE52243}"/>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EEFD069B-A4CC-496C-8E2A-12E82ABA164D}"/>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8282B74E-5710-4A8E-9BB1-8B37EB7AD93E}"/>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5CCEDB61-1469-493E-82A8-B16497C4C519}"/>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200F5A9A-415C-4E4C-8250-8EEA6B11506F}"/>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42DE9720-FC98-46EF-9B5A-94A6FE97FA60}"/>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34A4BFD6-FBC9-4321-80EF-A8F29B0C1F30}"/>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AB1BDBB8-983C-49FD-B00C-A9A6164F53D1}"/>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5660F449-4AEF-4F51-BD3D-A4262E8BA055}"/>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B55A9B99-0D99-4545-8ED2-D5562B82F16D}"/>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06ABB4BC-B746-42D6-83DD-6B9212176684}"/>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2F068F46-28AA-4A7C-A948-FA540995C1A7}"/>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1054EBC0-4BE8-4E6A-B1DB-7DEC21417A72}"/>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2E6EF73A-9A9A-4332-A1E1-BECE34C32508}"/>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B3A7E6F8-B674-49E8-B1F6-B730AAAC6F71}"/>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1926A5B3-5F4C-4865-9A55-0612DDF5ACA0}"/>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ECDBA77C-5B01-422E-89A7-28B23872D2D8}"/>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14945959-130A-4001-9D3E-C848FAF9A7BA}"/>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8A29A483-2C16-40F2-98C0-F6E04BBD6CA7}"/>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E58053BA-76A0-44C2-A278-AFB606083952}"/>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8618F41C-3CDA-4705-A6B6-CCF5E69CA7A8}"/>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AC00E342-CC72-493C-8FA5-E0E4A7BA1474}"/>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692168BE-E067-4D6B-9364-389517A418A0}"/>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679DD07E-C5A3-48D9-B981-C9EA66EC7A4D}"/>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5A019994-1242-40CA-B9C8-5BCA16B4E5AE}"/>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43193BBC-C45A-49DC-85F0-8E9834B60413}"/>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DA938D05-FEE2-407E-A8B5-6FC9485A2E2C}"/>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026C9CD2-5D20-4012-B58D-33772BE4AA1B}"/>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5EC9EBC1-BAC3-4069-8A45-2131C5F05B84}"/>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68E05AEC-5980-4DD0-9F1E-144CE320FC2E}"/>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154C9471-679B-489A-9C9E-C574C09B04B6}"/>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48C7F409-56DE-4BC1-917F-F50BA365B22B}"/>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F1A68299-D49F-4D8F-82EE-2E349B92F9DD}"/>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59E71A6C-6082-4E6D-BBF8-3728CBDFECF3}"/>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93840632-B1DF-49C3-AA34-AEE9F9DEE6B7}"/>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801FA0CF-FA78-40B8-BD98-861072F018B1}"/>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71CFD12D-59D8-4687-B6A5-3A46664F7640}"/>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CC9AC6F1-847B-4052-B045-36DA7FA88D16}"/>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88F565FB-3876-4DFD-ABFE-6AC2BAEF3617}"/>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F28679F0-678A-40B4-BCE4-81D70AA9D05F}"/>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40C4188C-A0B0-4CE4-B704-DCF8C8BDF001}"/>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191FC97E-8E32-4DAE-891E-966CFF8A3D7B}"/>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23DA455B-F370-43B1-8495-34CD3BC2D5BF}"/>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C241B6A7-C7C2-4342-97CB-A497978AC547}"/>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D68E9A77-1554-490A-99FA-2A92F65F87B6}"/>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8D13C7DA-4BCB-44B9-BA8B-F2CF6EEBFBBB}"/>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4B98917F-B773-48AB-9FE3-9FAD854A7B56}"/>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AE1F7CE5-5071-4F93-B19E-BF49AA99C520}"/>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38966ADC-BF04-4672-9BA3-2E00BD40454A}"/>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4D0A79CB-6CA6-4627-A167-579A948408C1}"/>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B21F5F43-8408-4965-98D3-331247CD6632}"/>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EDB5A3DC-6523-4018-BF1A-4683B96CFCC4}"/>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8CCC5EC1-0E82-46C2-A732-9D7EC03B3BF9}"/>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ABB0376E-5BAC-4DDA-8753-8FAC260199D6}"/>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63ACBFD1-7779-482A-81A3-E49E3965D9F4}"/>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1CBCC117-D571-4BF6-BE7A-FA156C4DB740}"/>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546179E6-F41E-456B-A1CB-7CEB46D0BFB1}"/>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0795FA69-C3FA-4C6E-9509-125E897C21E0}"/>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75F783C0-B3C7-4638-AD54-28A80B0ED7D9}"/>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CFC0FDEE-B539-4B09-BBE3-4C1319A8E699}"/>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233A07DC-E40A-4A0D-AC92-3AC9D2AA69B3}"/>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BF72DE03-F5FE-421E-99C9-29A0CFB819B2}"/>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75D1ECF5-0573-4214-8BD5-B672FA5EB952}"/>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1D96A55E-80A3-4C12-B50D-3711DCD6BAD2}"/>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B098155F-5692-42E8-8D63-CE004070C825}"/>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A6663297-EF4E-4746-9896-360C4E3FFBB2}"/>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3A2AFA4D-FC34-4B84-B49F-72D4A599CAFB}"/>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5820DE6B-7B5F-4B86-8DC3-DB53627908EB}"/>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8BB6C919-EE17-4AA9-BB54-045662E252C2}"/>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FD0C580F-7F9E-4FC0-99E2-58BAE56953A6}"/>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E532FE80-630B-4F24-9479-F5C034D428CE}"/>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8F5FDCD9-D231-44E1-B637-FA53AE2C0096}"/>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D7EB28EA-04A7-472D-A899-24946029C142}"/>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593DF483-45BF-410B-B427-FF47554BF07B}"/>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ECCB2F86-6A1B-41C8-89D6-F64243AD4E48}"/>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CD85781C-6B31-4D1A-9ADC-F83978575338}"/>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6F596305-D1BC-4BCA-BD97-BCC69580013F}"/>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2A365827-42BA-4E47-8DF7-9CEFD4281B6E}"/>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E1239BDD-E2D4-4167-B32A-A4FAFE8E67B6}"/>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C4054D6C-7821-4C82-ACB0-7A68D7CD83E6}"/>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28432349-56BF-4DD3-BE15-5B4ED3116001}"/>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E9AD6673-BD34-47A9-9D78-38F85BA34D1B}"/>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EAB41F20-3E39-485F-9137-54C34585A1D1}"/>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C2BD1426-DD98-4530-98DC-3AEEB3F4E485}"/>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D6574A29-D1D7-46A7-BB21-26C19F974FDD}"/>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1C1275B1-30F9-47DD-80AC-03BABD43CFFE}"/>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D092F27F-A0B6-4BB5-9E6D-C8F44B2A0E36}"/>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92CBC0F6-C1C7-4AF1-9E18-8EE1D2F20591}"/>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2B11C75F-E635-4455-B092-3793D206FB7B}"/>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6028D484-DC27-4DCC-A5D6-BAF43F41F91E}"/>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0FA62B6A-D2FC-469C-820E-07753CE4BC2B}"/>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3F1F1FAB-F71A-418F-B877-8AE130A95B3D}"/>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3822BB9D-F467-4286-AAF2-AEC8143F2C02}"/>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7B3E0008-FC8C-4D93-88CC-640D6ED7C204}"/>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F10B7580-5542-473A-B193-B12A68C26ED4}"/>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4F2E848B-57BC-4128-9B73-5148D65C0D8A}"/>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876A72F3-2861-41EE-934E-AE84DFC94BF4}"/>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F4D4DB24-02A2-4CF4-BBEF-CDD6B0999B09}"/>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6AAF5A22-DF21-444F-BCBE-1FC236616096}"/>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C60B536D-3BD5-4A34-B399-91CB81124E70}"/>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AF306A20-4F62-4F58-A242-6A75F2D25474}"/>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2EB44E06-D513-468E-BD8E-A8A6CB3C40CE}"/>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D6C3DC59-BA89-4B24-A745-C3DC9DE05FF8}"/>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C682A74C-5D3F-4806-88DD-E087FB9717E4}"/>
            </a:ext>
          </a:extLst>
        </xdr:cNvPr>
        <xdr:cNvCxnSpPr/>
      </xdr:nvCxnSpPr>
      <xdr:spPr>
        <a:xfrm>
          <a:off x="34631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20855B9B-6E19-4E85-ACEF-7C48679CA3A2}"/>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0A91FB95-6126-4F6E-AFB2-3DD5181894DD}"/>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0359D623-F50E-4B2A-8B76-4AA8BAAFF9AE}"/>
            </a:ext>
          </a:extLst>
        </xdr:cNvPr>
        <xdr:cNvCxnSpPr/>
      </xdr:nvCxnSpPr>
      <xdr:spPr>
        <a:xfrm>
          <a:off x="34631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291475AF-5026-4903-9819-2EBED4DDAF9D}"/>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16312162-8A64-4478-909E-700FBE546E5B}"/>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8D04B00F-F739-4C91-B29B-1C5390A264EF}"/>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1FE0353B-EDA7-479E-987A-96605EECACF3}"/>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F4C18FB4-1A5F-43A8-B078-DA4B40AF843F}"/>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47C1FD1A-77D6-4F75-9EF5-827E4BA9D141}"/>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2BC42EBD-FB92-4805-A4E9-58E777886148}"/>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8" name="Straight Connector 7">
          <a:extLst>
            <a:ext uri="{FF2B5EF4-FFF2-40B4-BE49-F238E27FC236}">
              <a16:creationId xmlns:a16="http://schemas.microsoft.com/office/drawing/2014/main" id="{BF712212-8CF3-4DC4-A6D8-E89E75AF2803}"/>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9" name="Straight Connector 8">
          <a:extLst>
            <a:ext uri="{FF2B5EF4-FFF2-40B4-BE49-F238E27FC236}">
              <a16:creationId xmlns:a16="http://schemas.microsoft.com/office/drawing/2014/main" id="{4E2A30C9-4141-4637-81D3-04EB93FB5C7A}"/>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10" name="Straight Connector 9">
          <a:extLst>
            <a:ext uri="{FF2B5EF4-FFF2-40B4-BE49-F238E27FC236}">
              <a16:creationId xmlns:a16="http://schemas.microsoft.com/office/drawing/2014/main" id="{C604365D-9EEA-4C7E-BF88-AF598168DEBB}"/>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11" name="Straight Connector 10">
          <a:extLst>
            <a:ext uri="{FF2B5EF4-FFF2-40B4-BE49-F238E27FC236}">
              <a16:creationId xmlns:a16="http://schemas.microsoft.com/office/drawing/2014/main" id="{EEEA5FE8-CD9F-4AA9-8BF3-B3ABAC2166D4}"/>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12" name="Straight Connector 11">
          <a:extLst>
            <a:ext uri="{FF2B5EF4-FFF2-40B4-BE49-F238E27FC236}">
              <a16:creationId xmlns:a16="http://schemas.microsoft.com/office/drawing/2014/main" id="{54507182-943C-4B00-A2F5-DCC5DE89CF10}"/>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13" name="Straight Connector 12">
          <a:extLst>
            <a:ext uri="{FF2B5EF4-FFF2-40B4-BE49-F238E27FC236}">
              <a16:creationId xmlns:a16="http://schemas.microsoft.com/office/drawing/2014/main" id="{E2C641A6-0B87-4092-AC06-B804006EA8B3}"/>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7ED2E07B-2E74-47ED-AE50-70AD65643F97}"/>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C6E39F5E-9BCB-4261-902A-F41B71BE4693}"/>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5B298B1A-8BB0-461F-9091-A9A5A052E8CF}"/>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EEA4DDD0-E28B-4E62-85A6-FCF2D860B8CB}"/>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C806A5C4-EBA9-43A8-8CA0-2D3752FD2D14}"/>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EAF8788E-6A7A-4926-8462-68CC88EEC32B}"/>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64F452B3-D974-4658-99BE-4F9C5EBCB821}"/>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6354AB3A-F78D-4DD9-9C52-3C17B31917B1}"/>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10321420-89F5-4062-8ECB-B6F38E071850}"/>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E34DA695-92AA-4678-B2F6-52FC94F525B2}"/>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3509693D-7DDD-4223-83E4-56B2F3FA3142}"/>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F221EB55-9112-46CA-9657-F085BCF6382D}"/>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8558FAE1-B927-4DC3-AAD3-205787908AC5}"/>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554F7B2D-0DDC-41BE-9251-F34E39D3E18A}"/>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B2235F9F-5B88-4CA1-AE1D-6AA6E70E8899}"/>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D8C1F688-FD86-4976-915F-E2F3F233C840}"/>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05C55D19-CDC6-4E8F-A2FC-6EFB4EA65A8C}"/>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5AA114EC-D735-4B1D-8F7C-D395405ACAEB}"/>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A251FB93-D6E9-47A9-A486-AEC0108AB533}"/>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CDAE7F55-8D5C-4352-A77A-76C01206DCE5}"/>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F2DB9963-76AC-4F07-B1B9-592F4E0C88A8}"/>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4E0D8F6B-D598-4D72-AD51-9EEC49C0C518}"/>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856D6C14-AB6E-48D2-93EB-B9521F602EEA}"/>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C5913278-7BAD-477E-922A-50EE28850AF3}"/>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D4A07819-8724-453D-80A8-D093861BD377}"/>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CAD39CDB-D2A9-4467-B92E-8E50AB236877}"/>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9D936241-506A-4372-A488-54AB165E93B4}"/>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B742CD6B-6D9D-48F6-9694-923E0CDB3165}"/>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FD22F68B-02B1-4B87-B895-73D1C0727160}"/>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CCA1698D-1608-4D5E-99CE-8760C50EFC51}"/>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630A633A-53F0-44D8-BDC2-DA02B875F549}"/>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72035978-A383-4930-A459-B09A50E1C926}"/>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CFC55622-44D5-4D0B-AC10-A85BE897E70E}"/>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3C81A0DE-89FC-474C-A936-E1FDDEEC41EF}"/>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438256F0-7E54-4A6A-B2DC-5397E91FE51F}"/>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2535A0E0-0C14-48F5-B8B8-B2726002CEDE}"/>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F6E66C68-09DC-401F-8CA8-95497C8CC1DB}"/>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0C0F3306-424B-4DE3-8D9B-DDA4082442B8}"/>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B603AB20-097E-4E1F-A556-953D2CB64331}"/>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42D5D472-107A-46A1-9599-5C5EC49BA527}"/>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8EBA21BE-F875-406C-9986-2A22953B40EE}"/>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36ADD790-62AF-4D1D-AC70-CE5A708CDB7A}"/>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71FC42B8-A017-4A23-8FA0-97E823490940}"/>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E516EE39-A7A6-4906-B3E3-E9D319C7C42E}"/>
            </a:ext>
          </a:extLst>
        </xdr:cNvPr>
        <xdr:cNvCxnSpPr/>
      </xdr:nvCxnSpPr>
      <xdr:spPr>
        <a:xfrm>
          <a:off x="33488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0122B207-B1D0-43DA-A7F3-1A53D69862CE}"/>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7704086F-462B-4E3D-BE13-EF2ECC252973}"/>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E8420431-99C2-4665-95FA-812883A7FA0D}"/>
            </a:ext>
          </a:extLst>
        </xdr:cNvPr>
        <xdr:cNvCxnSpPr/>
      </xdr:nvCxnSpPr>
      <xdr:spPr>
        <a:xfrm>
          <a:off x="33488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4BB0500E-121B-4945-98AF-5307C45FDCF1}"/>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BE98D610-45D5-4C58-AE61-47D22261B421}"/>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228198A8-A109-4421-BBF7-8FC5737FE8DD}"/>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16EC68F9-AFCD-413B-93FE-B86C7C01FF72}"/>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0EEB2B08-0618-4F53-80C5-4661F266CE63}"/>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8183DD8E-658A-4593-A90F-86E0A5C8DAF1}"/>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EDE14E2B-CEED-484C-9BB3-B65755F6E93B}"/>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21D44CCB-C760-43B1-A787-3F4BB8A15D4A}"/>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C063B0A6-1339-4AF1-BFC1-554CA5453730}"/>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DC1FC2EE-8120-453D-82CB-CCD7E8C9DA27}"/>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AD2A6438-3980-44ED-89C4-C0A4E0C8F31F}"/>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4A65EE90-4E51-4E71-9D9B-2523425A0A98}"/>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28379C2A-3B1D-4C76-89A9-8E7DF53BF5DB}"/>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EA6F96C0-FBCE-413F-B3C5-DA245C470FED}"/>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C304A337-CD24-4D4E-BE40-90087F23B93A}"/>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627E77C2-30B1-42E6-B7B8-1AF4D9B87DE3}"/>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174AC787-3F77-4237-92A6-B958D8FAFCC2}"/>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7B3217F4-74B7-4FBC-A885-E417BB7BF9D8}"/>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1573F6EA-D7D1-4D51-8EE8-340D9BFF636C}"/>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8B888C07-D357-4600-A531-FD631FD62194}"/>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6B774BA6-3B39-452A-AE49-19E3C2DBFEA9}"/>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B7166DA7-D5C1-431C-8855-10583E5AA236}"/>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A1ABB2DB-B7EE-4056-9BB9-C4D922627BF7}"/>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03AC0B70-91E0-4141-A738-0176E40E76C0}"/>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B506DF27-8994-4380-AA9E-D60EFEEB002C}"/>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D6052C61-EC05-4E1E-810D-8BA42F4FF347}"/>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133DC940-4423-4496-B1B1-39F5B9EE69BD}"/>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ADE5F3CA-2AF1-4F45-8944-7032B1DE5849}"/>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E5187420-C40F-4B68-891B-6E337996F20F}"/>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E9CBAC6C-8ECF-4660-AB1A-5E87DA9C2403}"/>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72A7BCB4-C0B0-4EA7-8E67-AAA039526A2D}"/>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7CFC9D44-C50F-44C7-B716-1461F40E2A75}"/>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FD0AB6CC-B0FA-4554-A3DF-F407D31BB4D0}"/>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97DAC9B5-E8DE-4C46-878F-961547794E98}"/>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68E62FAC-5463-477D-8C22-6FB6E63D9B26}"/>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7CF6C236-902B-4CFB-B71E-844026A3B06A}"/>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2C72F9F9-E57B-43B3-B37D-710128016901}"/>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E748CC6D-1022-4BB0-B5F6-4BA74266D681}"/>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E51174CF-D7FF-4EF2-9026-F350CFDD923A}"/>
            </a:ext>
          </a:extLst>
        </xdr:cNvPr>
        <xdr:cNvCxnSpPr/>
      </xdr:nvCxnSpPr>
      <xdr:spPr>
        <a:xfrm>
          <a:off x="3510746"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6BC0C842-AE9C-457C-91B5-F44A70FD662E}"/>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21A40901-4D25-4374-A5A7-6B84048F88ED}"/>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EFC41CA5-ECE0-4256-A960-3363000384E1}"/>
            </a:ext>
          </a:extLst>
        </xdr:cNvPr>
        <xdr:cNvCxnSpPr/>
      </xdr:nvCxnSpPr>
      <xdr:spPr>
        <a:xfrm>
          <a:off x="3510746"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2700CEAA-6FE8-4786-9CD6-59221E0DD5E1}"/>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45ADB4DF-146C-4D42-80D4-3537B4F79EBD}"/>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B784F863-290A-4236-A882-711FA4F254D9}"/>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EAB7FB1A-44BF-4547-B161-75D04FA4E3D6}"/>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3ACF183B-15E5-4859-BE12-8EA13AC67E48}"/>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9E4FA89D-F1D9-4B95-AAA1-FA354812553A}"/>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E0128878-846E-40CD-9DB3-CFF93353660E}"/>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7EEC1DB8-B6B5-400C-BBF5-BE881FDA7BFA}"/>
            </a:ext>
          </a:extLst>
        </xdr:cNvPr>
        <xdr:cNvCxnSpPr/>
      </xdr:nvCxnSpPr>
      <xdr:spPr>
        <a:xfrm>
          <a:off x="318881"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6A0371F6-BDF9-4817-BE17-154D5ACA74A7}"/>
            </a:ext>
          </a:extLst>
        </xdr:cNvPr>
        <xdr:cNvCxnSpPr/>
      </xdr:nvCxnSpPr>
      <xdr:spPr>
        <a:xfrm>
          <a:off x="3291671" y="429342"/>
          <a:ext cx="172727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A52E4345-7217-4877-87BF-B074D2FF2F94}"/>
            </a:ext>
          </a:extLst>
        </xdr:cNvPr>
        <xdr:cNvCxnSpPr/>
      </xdr:nvCxnSpPr>
      <xdr:spPr>
        <a:xfrm>
          <a:off x="785113"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F33D495C-0586-4E12-BA9D-F073DEDAF36A}"/>
            </a:ext>
          </a:extLst>
        </xdr:cNvPr>
        <xdr:cNvCxnSpPr/>
      </xdr:nvCxnSpPr>
      <xdr:spPr>
        <a:xfrm>
          <a:off x="318881"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E185AE8F-FF02-47ED-BD95-E5AA8830FF75}"/>
            </a:ext>
          </a:extLst>
        </xdr:cNvPr>
        <xdr:cNvCxnSpPr/>
      </xdr:nvCxnSpPr>
      <xdr:spPr>
        <a:xfrm>
          <a:off x="3291671" y="429342"/>
          <a:ext cx="172727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F62AE7D0-E048-4D42-8751-33FBD0BA58B3}"/>
            </a:ext>
          </a:extLst>
        </xdr:cNvPr>
        <xdr:cNvCxnSpPr/>
      </xdr:nvCxnSpPr>
      <xdr:spPr>
        <a:xfrm>
          <a:off x="785113"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0E212011-11B4-4E81-B39F-C604DBD1EC76}"/>
            </a:ext>
          </a:extLst>
        </xdr:cNvPr>
        <xdr:cNvCxnSpPr/>
      </xdr:nvCxnSpPr>
      <xdr:spPr>
        <a:xfrm>
          <a:off x="318881"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31FD3B13-C21C-43C0-BB26-21136BEB6352}"/>
            </a:ext>
          </a:extLst>
        </xdr:cNvPr>
        <xdr:cNvCxnSpPr/>
      </xdr:nvCxnSpPr>
      <xdr:spPr>
        <a:xfrm>
          <a:off x="3758396" y="429342"/>
          <a:ext cx="184157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B4B913D3-474E-44D7-9215-DFC33C86CB66}"/>
            </a:ext>
          </a:extLst>
        </xdr:cNvPr>
        <xdr:cNvCxnSpPr/>
      </xdr:nvCxnSpPr>
      <xdr:spPr>
        <a:xfrm>
          <a:off x="785113"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7BF2DB6F-8142-4432-ABAA-EC37E32D4883}"/>
            </a:ext>
          </a:extLst>
        </xdr:cNvPr>
        <xdr:cNvCxnSpPr/>
      </xdr:nvCxnSpPr>
      <xdr:spPr>
        <a:xfrm>
          <a:off x="318881"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0F2A31A3-D302-4659-8F64-35DCAD1B171C}"/>
            </a:ext>
          </a:extLst>
        </xdr:cNvPr>
        <xdr:cNvCxnSpPr/>
      </xdr:nvCxnSpPr>
      <xdr:spPr>
        <a:xfrm>
          <a:off x="3758396" y="429342"/>
          <a:ext cx="184157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4652EEFE-FD7E-47B5-9950-26D7D9B075BB}"/>
            </a:ext>
          </a:extLst>
        </xdr:cNvPr>
        <xdr:cNvCxnSpPr/>
      </xdr:nvCxnSpPr>
      <xdr:spPr>
        <a:xfrm>
          <a:off x="785113"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C0B67056-DF23-4755-A5CA-4FEB59F34D07}"/>
            </a:ext>
          </a:extLst>
        </xdr:cNvPr>
        <xdr:cNvCxnSpPr/>
      </xdr:nvCxnSpPr>
      <xdr:spPr>
        <a:xfrm>
          <a:off x="318881"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10F227A8-2ED8-4422-A47D-09A45732B917}"/>
            </a:ext>
          </a:extLst>
        </xdr:cNvPr>
        <xdr:cNvCxnSpPr/>
      </xdr:nvCxnSpPr>
      <xdr:spPr>
        <a:xfrm>
          <a:off x="3729821" y="429342"/>
          <a:ext cx="199397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4AD1AAC2-121D-42FB-A3CA-872700DC4808}"/>
            </a:ext>
          </a:extLst>
        </xdr:cNvPr>
        <xdr:cNvCxnSpPr/>
      </xdr:nvCxnSpPr>
      <xdr:spPr>
        <a:xfrm>
          <a:off x="785113"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81A40F51-4394-4DEF-8D7A-5116218DCD81}"/>
            </a:ext>
          </a:extLst>
        </xdr:cNvPr>
        <xdr:cNvCxnSpPr/>
      </xdr:nvCxnSpPr>
      <xdr:spPr>
        <a:xfrm>
          <a:off x="318881"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A5ED818C-95DB-4CBB-9164-C1C2A48366DA}"/>
            </a:ext>
          </a:extLst>
        </xdr:cNvPr>
        <xdr:cNvCxnSpPr/>
      </xdr:nvCxnSpPr>
      <xdr:spPr>
        <a:xfrm>
          <a:off x="3729821" y="429342"/>
          <a:ext cx="199397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F4C5C0A5-10C9-482B-B598-865D08AC0CB5}"/>
            </a:ext>
          </a:extLst>
        </xdr:cNvPr>
        <xdr:cNvCxnSpPr/>
      </xdr:nvCxnSpPr>
      <xdr:spPr>
        <a:xfrm>
          <a:off x="785113"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09E023CA-47E8-4F22-A5B5-B9CF113A8FA3}"/>
            </a:ext>
          </a:extLst>
        </xdr:cNvPr>
        <xdr:cNvCxnSpPr/>
      </xdr:nvCxnSpPr>
      <xdr:spPr>
        <a:xfrm>
          <a:off x="318881"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8EC60E6F-A2E0-4539-96AE-8E0B41288439}"/>
            </a:ext>
          </a:extLst>
        </xdr:cNvPr>
        <xdr:cNvCxnSpPr/>
      </xdr:nvCxnSpPr>
      <xdr:spPr>
        <a:xfrm>
          <a:off x="3291671" y="429342"/>
          <a:ext cx="172727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247A8CBE-BCA2-4230-B51A-5BFF104A66B1}"/>
            </a:ext>
          </a:extLst>
        </xdr:cNvPr>
        <xdr:cNvCxnSpPr/>
      </xdr:nvCxnSpPr>
      <xdr:spPr>
        <a:xfrm>
          <a:off x="785113"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55EA9D5F-7C1A-4EF5-BFC4-68A23760195A}"/>
            </a:ext>
          </a:extLst>
        </xdr:cNvPr>
        <xdr:cNvCxnSpPr/>
      </xdr:nvCxnSpPr>
      <xdr:spPr>
        <a:xfrm>
          <a:off x="318881"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E9AFEA60-A25B-451C-B792-3AE3BF3FAF73}"/>
            </a:ext>
          </a:extLst>
        </xdr:cNvPr>
        <xdr:cNvCxnSpPr/>
      </xdr:nvCxnSpPr>
      <xdr:spPr>
        <a:xfrm>
          <a:off x="3291671" y="429342"/>
          <a:ext cx="172727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045E29AD-5126-43B9-A791-DD6EDA3CD661}"/>
            </a:ext>
          </a:extLst>
        </xdr:cNvPr>
        <xdr:cNvCxnSpPr/>
      </xdr:nvCxnSpPr>
      <xdr:spPr>
        <a:xfrm>
          <a:off x="785113"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CA2DBE0E-B55C-4A28-AAF0-43878553D52F}"/>
            </a:ext>
          </a:extLst>
        </xdr:cNvPr>
        <xdr:cNvCxnSpPr/>
      </xdr:nvCxnSpPr>
      <xdr:spPr>
        <a:xfrm>
          <a:off x="318881"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3CBA5FE1-DE1D-417D-A732-1DDA5DD54CB3}"/>
            </a:ext>
          </a:extLst>
        </xdr:cNvPr>
        <xdr:cNvCxnSpPr/>
      </xdr:nvCxnSpPr>
      <xdr:spPr>
        <a:xfrm>
          <a:off x="3291671" y="429342"/>
          <a:ext cx="172727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EB180593-BCD5-44EF-880E-F65B9989AE52}"/>
            </a:ext>
          </a:extLst>
        </xdr:cNvPr>
        <xdr:cNvCxnSpPr/>
      </xdr:nvCxnSpPr>
      <xdr:spPr>
        <a:xfrm>
          <a:off x="785113"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4611B395-0CDB-465F-93DE-4934CF87EC31}"/>
            </a:ext>
          </a:extLst>
        </xdr:cNvPr>
        <xdr:cNvCxnSpPr/>
      </xdr:nvCxnSpPr>
      <xdr:spPr>
        <a:xfrm>
          <a:off x="318881"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FF9DE1E3-250B-4816-A2FB-2C653EE1AFC6}"/>
            </a:ext>
          </a:extLst>
        </xdr:cNvPr>
        <xdr:cNvCxnSpPr/>
      </xdr:nvCxnSpPr>
      <xdr:spPr>
        <a:xfrm>
          <a:off x="3291671" y="429342"/>
          <a:ext cx="172727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15DD7084-3114-4129-91C3-36A9CFA72CEF}"/>
            </a:ext>
          </a:extLst>
        </xdr:cNvPr>
        <xdr:cNvCxnSpPr/>
      </xdr:nvCxnSpPr>
      <xdr:spPr>
        <a:xfrm>
          <a:off x="785113"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85103DFD-88BB-4947-AF12-05DC96E7C7BB}"/>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C8B3F583-08F1-4EF7-B84C-DFDAE165A91F}"/>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FDA8D274-0CF1-48BA-A88D-E9E12EF761F5}"/>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0C61189B-05ED-498F-9963-9A6E8C56826D}"/>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CCA58548-B46D-4855-A5CB-5B51857192B1}"/>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176169D6-73B3-4CDA-A3D6-024D213240CA}"/>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FC39A83B-0929-46F9-BFBB-22223C86C07E}"/>
            </a:ext>
          </a:extLst>
        </xdr:cNvPr>
        <xdr:cNvCxnSpPr/>
      </xdr:nvCxnSpPr>
      <xdr:spPr>
        <a:xfrm>
          <a:off x="356981"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278C787F-885F-4819-84CE-290D8B237066}"/>
            </a:ext>
          </a:extLst>
        </xdr:cNvPr>
        <xdr:cNvCxnSpPr/>
      </xdr:nvCxnSpPr>
      <xdr:spPr>
        <a:xfrm>
          <a:off x="3986996" y="429342"/>
          <a:ext cx="18510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4" name="Straight Connector 3">
          <a:extLst>
            <a:ext uri="{FF2B5EF4-FFF2-40B4-BE49-F238E27FC236}">
              <a16:creationId xmlns:a16="http://schemas.microsoft.com/office/drawing/2014/main" id="{A3C6B91D-D1E1-4ACB-B928-5254176735D6}"/>
            </a:ext>
          </a:extLst>
        </xdr:cNvPr>
        <xdr:cNvCxnSpPr/>
      </xdr:nvCxnSpPr>
      <xdr:spPr>
        <a:xfrm>
          <a:off x="356981"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5" name="Straight Connector 4">
          <a:extLst>
            <a:ext uri="{FF2B5EF4-FFF2-40B4-BE49-F238E27FC236}">
              <a16:creationId xmlns:a16="http://schemas.microsoft.com/office/drawing/2014/main" id="{CE5DDD94-F31C-40D8-98C0-9497F25AB7AB}"/>
            </a:ext>
          </a:extLst>
        </xdr:cNvPr>
        <xdr:cNvCxnSpPr/>
      </xdr:nvCxnSpPr>
      <xdr:spPr>
        <a:xfrm>
          <a:off x="3986996" y="429342"/>
          <a:ext cx="18510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6" name="Straight Connector 5">
          <a:extLst>
            <a:ext uri="{FF2B5EF4-FFF2-40B4-BE49-F238E27FC236}">
              <a16:creationId xmlns:a16="http://schemas.microsoft.com/office/drawing/2014/main" id="{30FA4819-FBA6-400F-A8C2-A442A43850B3}"/>
            </a:ext>
          </a:extLst>
        </xdr:cNvPr>
        <xdr:cNvCxnSpPr/>
      </xdr:nvCxnSpPr>
      <xdr:spPr>
        <a:xfrm>
          <a:off x="356981"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7" name="Straight Connector 6">
          <a:extLst>
            <a:ext uri="{FF2B5EF4-FFF2-40B4-BE49-F238E27FC236}">
              <a16:creationId xmlns:a16="http://schemas.microsoft.com/office/drawing/2014/main" id="{1DAFEEA7-6837-45FE-88BA-217131553A5B}"/>
            </a:ext>
          </a:extLst>
        </xdr:cNvPr>
        <xdr:cNvCxnSpPr/>
      </xdr:nvCxnSpPr>
      <xdr:spPr>
        <a:xfrm>
          <a:off x="3986996" y="429342"/>
          <a:ext cx="18510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714628</xdr:colOff>
      <xdr:row>2</xdr:row>
      <xdr:rowOff>8945</xdr:rowOff>
    </xdr:from>
    <xdr:to>
      <xdr:col>1</xdr:col>
      <xdr:colOff>1381231</xdr:colOff>
      <xdr:row>2</xdr:row>
      <xdr:rowOff>8946</xdr:rowOff>
    </xdr:to>
    <xdr:cxnSp macro="">
      <xdr:nvCxnSpPr>
        <xdr:cNvPr id="8" name="Straight Connector 7">
          <a:extLst>
            <a:ext uri="{FF2B5EF4-FFF2-40B4-BE49-F238E27FC236}">
              <a16:creationId xmlns:a16="http://schemas.microsoft.com/office/drawing/2014/main" id="{B19E252E-9248-4DFD-B5CD-A0D179465004}"/>
            </a:ext>
          </a:extLst>
        </xdr:cNvPr>
        <xdr:cNvCxnSpPr/>
      </xdr:nvCxnSpPr>
      <xdr:spPr>
        <a:xfrm>
          <a:off x="1067053" y="42804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02A8661D-F0A2-42E5-B314-0C593BBE623E}"/>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0CA6A344-C29D-472E-AC5C-026994CCFF04}"/>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80B61B65-6F18-4E89-9814-43686BF7D8C9}"/>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FAF7A851-1863-4BAC-92B5-2B7C1846472F}"/>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2714070D-C86A-4EE4-8A29-F135C27AD0B2}"/>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38064DB2-2FFE-4DFF-B345-23700E65D963}"/>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8378925C-DB22-462B-B900-BB344EAC5BEB}"/>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42405AFB-902D-447A-A8A0-8F8DFAD4A048}"/>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E03355F5-8720-4B10-AB00-B64A9F3196F6}"/>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B9CF72FA-0335-4544-B0B2-F53C72B14349}"/>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73088879-1904-41CC-B96C-DB1EB56AC1B0}"/>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AB866009-5408-44E5-9E8F-E4FEE588E380}"/>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530B0E76-42A8-4055-AE3C-E969D6B79C38}"/>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6039A213-BBDA-4620-9DBC-7D889EEBC1A5}"/>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7F386B67-13CD-4BCD-A848-FA81B3E31432}"/>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0739CA27-AAB4-4924-B5B9-6B8CC9B57788}"/>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3A6B7ECC-193B-4E9C-9577-39333CBE6EEC}"/>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8AC32BF9-6601-4342-9EC8-B27F512B8C23}"/>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E35C0DDE-C779-4C73-9030-34E9C16AD441}"/>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9438CC46-9990-42AA-B453-A290788A012D}"/>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FD31BD74-8C4F-4682-AB19-585924FF5DDD}"/>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5BDDBD2F-410F-4F09-AE68-73DB369BA621}"/>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92F3BFB1-E66A-4C27-B30F-C7E0E2F46032}"/>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22BDD42F-89FC-47D3-91CE-453EBC7DFE31}"/>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DF851827-AA84-4295-B5E0-E7894746F1A0}"/>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D43E0AC3-130F-4F76-86B8-DD98C85187F3}"/>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401F5E4A-7D7E-4443-921B-9983A6B12966}"/>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B065ADC9-A1C5-463F-9D93-4A7A3CC47A0E}"/>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B4026581-67CF-45BF-B645-46B82C71DADC}"/>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9B5A2202-399B-4A35-B58D-D0152C707E2D}"/>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89EF65E6-1F2C-4192-868A-CF0A3D2EE55A}"/>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98A2F159-F70D-4D4B-B0C0-BEB450BECB53}"/>
            </a:ext>
          </a:extLst>
        </xdr:cNvPr>
        <xdr:cNvCxnSpPr/>
      </xdr:nvCxnSpPr>
      <xdr:spPr>
        <a:xfrm>
          <a:off x="3758396"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F78735A0-9663-4DDF-A469-2FA75BBE462F}"/>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4F78EED5-4C55-467D-AFA8-529F4673FC8B}"/>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2D096143-35D0-46D3-883C-6FD6AB4E0F31}"/>
            </a:ext>
          </a:extLst>
        </xdr:cNvPr>
        <xdr:cNvCxnSpPr/>
      </xdr:nvCxnSpPr>
      <xdr:spPr>
        <a:xfrm>
          <a:off x="3758396"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52F1E15A-2434-4F06-89E1-A9F8121B8B46}"/>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C9D44E0A-D9B8-444A-AAE3-AFACAE6E7DF4}"/>
            </a:ext>
          </a:extLst>
        </xdr:cNvPr>
        <xdr:cNvCxnSpPr/>
      </xdr:nvCxnSpPr>
      <xdr:spPr>
        <a:xfrm>
          <a:off x="366506" y="412890"/>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4D59BF72-86C0-42D2-94DC-F3F530654DDE}"/>
            </a:ext>
          </a:extLst>
        </xdr:cNvPr>
        <xdr:cNvCxnSpPr/>
      </xdr:nvCxnSpPr>
      <xdr:spPr>
        <a:xfrm>
          <a:off x="3691721" y="419817"/>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FA6C5F96-5F95-4D1D-AE14-28FC33554AA1}"/>
            </a:ext>
          </a:extLst>
        </xdr:cNvPr>
        <xdr:cNvCxnSpPr/>
      </xdr:nvCxnSpPr>
      <xdr:spPr>
        <a:xfrm>
          <a:off x="832738" y="426140"/>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B7E1B9DA-CCAB-4D56-92AA-004DE261C5FB}"/>
            </a:ext>
          </a:extLst>
        </xdr:cNvPr>
        <xdr:cNvCxnSpPr/>
      </xdr:nvCxnSpPr>
      <xdr:spPr>
        <a:xfrm>
          <a:off x="366506" y="412890"/>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3F51E691-01F0-416F-B001-4486AB91036D}"/>
            </a:ext>
          </a:extLst>
        </xdr:cNvPr>
        <xdr:cNvCxnSpPr/>
      </xdr:nvCxnSpPr>
      <xdr:spPr>
        <a:xfrm>
          <a:off x="3691721" y="419817"/>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4A5F05A7-EFE9-45F5-A30F-EB2CA717FE92}"/>
            </a:ext>
          </a:extLst>
        </xdr:cNvPr>
        <xdr:cNvCxnSpPr/>
      </xdr:nvCxnSpPr>
      <xdr:spPr>
        <a:xfrm>
          <a:off x="832738" y="426140"/>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A1D09C29-BC12-45F8-8ED6-385B81905138}"/>
            </a:ext>
          </a:extLst>
        </xdr:cNvPr>
        <xdr:cNvCxnSpPr/>
      </xdr:nvCxnSpPr>
      <xdr:spPr>
        <a:xfrm>
          <a:off x="366506" y="412890"/>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24EB40EC-7AFB-44D1-A342-DCE38EC777BD}"/>
            </a:ext>
          </a:extLst>
        </xdr:cNvPr>
        <xdr:cNvCxnSpPr/>
      </xdr:nvCxnSpPr>
      <xdr:spPr>
        <a:xfrm>
          <a:off x="3691721" y="419817"/>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170C6E7E-5720-458D-B936-290833B6BEF5}"/>
            </a:ext>
          </a:extLst>
        </xdr:cNvPr>
        <xdr:cNvCxnSpPr/>
      </xdr:nvCxnSpPr>
      <xdr:spPr>
        <a:xfrm>
          <a:off x="832738" y="426140"/>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AD96FDCA-0A36-482E-9E96-2034C3D9C15C}"/>
            </a:ext>
          </a:extLst>
        </xdr:cNvPr>
        <xdr:cNvCxnSpPr/>
      </xdr:nvCxnSpPr>
      <xdr:spPr>
        <a:xfrm>
          <a:off x="366506" y="412890"/>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5E9FAB44-950D-41C5-9585-048D3D881D30}"/>
            </a:ext>
          </a:extLst>
        </xdr:cNvPr>
        <xdr:cNvCxnSpPr/>
      </xdr:nvCxnSpPr>
      <xdr:spPr>
        <a:xfrm>
          <a:off x="3691721" y="419817"/>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B803FF5F-7030-450B-9548-FA3BC9D945BE}"/>
            </a:ext>
          </a:extLst>
        </xdr:cNvPr>
        <xdr:cNvCxnSpPr/>
      </xdr:nvCxnSpPr>
      <xdr:spPr>
        <a:xfrm>
          <a:off x="832738" y="426140"/>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8" name="Straight Connector 7">
          <a:extLst>
            <a:ext uri="{FF2B5EF4-FFF2-40B4-BE49-F238E27FC236}">
              <a16:creationId xmlns:a16="http://schemas.microsoft.com/office/drawing/2014/main" id="{C3AF03EF-C909-4C83-B57E-C5E00D409A97}"/>
            </a:ext>
          </a:extLst>
        </xdr:cNvPr>
        <xdr:cNvCxnSpPr/>
      </xdr:nvCxnSpPr>
      <xdr:spPr>
        <a:xfrm>
          <a:off x="366506" y="412890"/>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9" name="Straight Connector 8">
          <a:extLst>
            <a:ext uri="{FF2B5EF4-FFF2-40B4-BE49-F238E27FC236}">
              <a16:creationId xmlns:a16="http://schemas.microsoft.com/office/drawing/2014/main" id="{8CCDCCEC-4B6C-4E6B-81AE-B90785601DD4}"/>
            </a:ext>
          </a:extLst>
        </xdr:cNvPr>
        <xdr:cNvCxnSpPr/>
      </xdr:nvCxnSpPr>
      <xdr:spPr>
        <a:xfrm>
          <a:off x="3691721" y="419817"/>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10" name="Straight Connector 9">
          <a:extLst>
            <a:ext uri="{FF2B5EF4-FFF2-40B4-BE49-F238E27FC236}">
              <a16:creationId xmlns:a16="http://schemas.microsoft.com/office/drawing/2014/main" id="{6C9537BE-6614-4B58-8D53-63BFCC48FA4B}"/>
            </a:ext>
          </a:extLst>
        </xdr:cNvPr>
        <xdr:cNvCxnSpPr/>
      </xdr:nvCxnSpPr>
      <xdr:spPr>
        <a:xfrm>
          <a:off x="832738" y="426140"/>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11" name="Straight Connector 10">
          <a:extLst>
            <a:ext uri="{FF2B5EF4-FFF2-40B4-BE49-F238E27FC236}">
              <a16:creationId xmlns:a16="http://schemas.microsoft.com/office/drawing/2014/main" id="{EE28376D-5AC4-4DB7-8414-61922C13B726}"/>
            </a:ext>
          </a:extLst>
        </xdr:cNvPr>
        <xdr:cNvCxnSpPr/>
      </xdr:nvCxnSpPr>
      <xdr:spPr>
        <a:xfrm>
          <a:off x="366506" y="412890"/>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12" name="Straight Connector 11">
          <a:extLst>
            <a:ext uri="{FF2B5EF4-FFF2-40B4-BE49-F238E27FC236}">
              <a16:creationId xmlns:a16="http://schemas.microsoft.com/office/drawing/2014/main" id="{8AC6F11B-CB53-45C5-A248-A8EEB3853F4C}"/>
            </a:ext>
          </a:extLst>
        </xdr:cNvPr>
        <xdr:cNvCxnSpPr/>
      </xdr:nvCxnSpPr>
      <xdr:spPr>
        <a:xfrm>
          <a:off x="3691721" y="419817"/>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13" name="Straight Connector 12">
          <a:extLst>
            <a:ext uri="{FF2B5EF4-FFF2-40B4-BE49-F238E27FC236}">
              <a16:creationId xmlns:a16="http://schemas.microsoft.com/office/drawing/2014/main" id="{738C629D-04E3-45E1-B2D9-DC09276FABF8}"/>
            </a:ext>
          </a:extLst>
        </xdr:cNvPr>
        <xdr:cNvCxnSpPr/>
      </xdr:nvCxnSpPr>
      <xdr:spPr>
        <a:xfrm>
          <a:off x="832738" y="426140"/>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D45B6641-4A7B-44CC-BCC8-3E4A5A682898}"/>
            </a:ext>
          </a:extLst>
        </xdr:cNvPr>
        <xdr:cNvCxnSpPr/>
      </xdr:nvCxnSpPr>
      <xdr:spPr>
        <a:xfrm>
          <a:off x="366506" y="412890"/>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F3A604E8-8B30-4791-B2C1-AFA20DF8EA47}"/>
            </a:ext>
          </a:extLst>
        </xdr:cNvPr>
        <xdr:cNvCxnSpPr/>
      </xdr:nvCxnSpPr>
      <xdr:spPr>
        <a:xfrm>
          <a:off x="3691721" y="419817"/>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EF370E61-AEE3-48C7-A771-594F129528EB}"/>
            </a:ext>
          </a:extLst>
        </xdr:cNvPr>
        <xdr:cNvCxnSpPr/>
      </xdr:nvCxnSpPr>
      <xdr:spPr>
        <a:xfrm>
          <a:off x="832738" y="426140"/>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93ACE650-4F03-4833-A56E-D2A2B6846AF9}"/>
            </a:ext>
          </a:extLst>
        </xdr:cNvPr>
        <xdr:cNvCxnSpPr/>
      </xdr:nvCxnSpPr>
      <xdr:spPr>
        <a:xfrm>
          <a:off x="366506" y="412890"/>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9A862291-2461-4A0F-851C-E563BB2E41EB}"/>
            </a:ext>
          </a:extLst>
        </xdr:cNvPr>
        <xdr:cNvCxnSpPr/>
      </xdr:nvCxnSpPr>
      <xdr:spPr>
        <a:xfrm>
          <a:off x="3691721" y="419817"/>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BFC96DA8-C11D-469D-9D85-6329C1286EBC}"/>
            </a:ext>
          </a:extLst>
        </xdr:cNvPr>
        <xdr:cNvCxnSpPr/>
      </xdr:nvCxnSpPr>
      <xdr:spPr>
        <a:xfrm>
          <a:off x="832738" y="426140"/>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79B2D45C-F51E-408A-9482-EFA3BDADA94D}"/>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790ED953-84B2-4778-B0E6-171556E1750F}"/>
            </a:ext>
          </a:extLst>
        </xdr:cNvPr>
        <xdr:cNvCxnSpPr/>
      </xdr:nvCxnSpPr>
      <xdr:spPr>
        <a:xfrm>
          <a:off x="35012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42303866-E62F-4FA4-A160-DF109E79C481}"/>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FB5E69BC-5BD9-4DAA-BF6D-09C59CBC9C4F}"/>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6AEB844B-6988-42C0-AA3A-C02F4C0B33B1}"/>
            </a:ext>
          </a:extLst>
        </xdr:cNvPr>
        <xdr:cNvCxnSpPr/>
      </xdr:nvCxnSpPr>
      <xdr:spPr>
        <a:xfrm>
          <a:off x="35012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93287B19-91D7-4997-A3A1-3DB1675C4CFD}"/>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5B3E6C2C-2DC6-4E05-892C-92AE5D0E94B0}"/>
            </a:ext>
          </a:extLst>
        </xdr:cNvPr>
        <xdr:cNvCxnSpPr/>
      </xdr:nvCxnSpPr>
      <xdr:spPr>
        <a:xfrm>
          <a:off x="49985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0B2406AD-9513-4FBC-8E79-8EB51C0F8B21}"/>
            </a:ext>
          </a:extLst>
        </xdr:cNvPr>
        <xdr:cNvCxnSpPr/>
      </xdr:nvCxnSpPr>
      <xdr:spPr>
        <a:xfrm>
          <a:off x="3786971" y="429342"/>
          <a:ext cx="172727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F952674D-77E6-4656-AFDB-CE2E2A392EF5}"/>
            </a:ext>
          </a:extLst>
        </xdr:cNvPr>
        <xdr:cNvCxnSpPr/>
      </xdr:nvCxnSpPr>
      <xdr:spPr>
        <a:xfrm>
          <a:off x="96608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43CE31CE-2661-47B9-B115-DCFC9579BAF9}"/>
            </a:ext>
          </a:extLst>
        </xdr:cNvPr>
        <xdr:cNvCxnSpPr/>
      </xdr:nvCxnSpPr>
      <xdr:spPr>
        <a:xfrm>
          <a:off x="49985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2FDB5790-6F0C-4E05-AB48-F28C9B7E0F7F}"/>
            </a:ext>
          </a:extLst>
        </xdr:cNvPr>
        <xdr:cNvCxnSpPr/>
      </xdr:nvCxnSpPr>
      <xdr:spPr>
        <a:xfrm>
          <a:off x="3786971" y="429342"/>
          <a:ext cx="172727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551DCD29-6E14-4605-A8AC-28F6B4761968}"/>
            </a:ext>
          </a:extLst>
        </xdr:cNvPr>
        <xdr:cNvCxnSpPr/>
      </xdr:nvCxnSpPr>
      <xdr:spPr>
        <a:xfrm>
          <a:off x="96608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E58CF535-129D-42DC-A08B-B601A1DEFFED}"/>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30B9183D-3C64-47B6-8E20-167590770FDC}"/>
            </a:ext>
          </a:extLst>
        </xdr:cNvPr>
        <xdr:cNvCxnSpPr/>
      </xdr:nvCxnSpPr>
      <xdr:spPr>
        <a:xfrm>
          <a:off x="3472646"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1EDB1748-2388-45AB-A677-57BF71101A54}"/>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CFD414E2-E1D4-4C4F-B63A-CC51DFFF844B}"/>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57CA6839-0A94-4666-9C65-E20D562569CB}"/>
            </a:ext>
          </a:extLst>
        </xdr:cNvPr>
        <xdr:cNvCxnSpPr/>
      </xdr:nvCxnSpPr>
      <xdr:spPr>
        <a:xfrm>
          <a:off x="3472646"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1BE2DF84-9722-4CE5-92F5-9D0B21066029}"/>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25E229A9-6E49-4F4D-AF4D-70A9A1E61733}"/>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E687CD64-6C8A-4D81-8ABC-531EC7717677}"/>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28DDB391-A1B3-4C53-9F66-FF0C0E32B21C}"/>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FCA8A4A3-48A0-472C-B01C-388E797ECD79}"/>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55D77643-6364-4317-BF32-781D11764907}"/>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7F029F97-96BF-4CBA-B9E5-DF039573B344}"/>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813B7E42-0C70-4902-9119-1E5D2FA88261}"/>
            </a:ext>
          </a:extLst>
        </xdr:cNvPr>
        <xdr:cNvCxnSpPr/>
      </xdr:nvCxnSpPr>
      <xdr:spPr>
        <a:xfrm>
          <a:off x="38555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1D1BA98E-5BBC-4BEC-AEC4-EBB8A4263109}"/>
            </a:ext>
          </a:extLst>
        </xdr:cNvPr>
        <xdr:cNvCxnSpPr/>
      </xdr:nvCxnSpPr>
      <xdr:spPr>
        <a:xfrm>
          <a:off x="3786971" y="429342"/>
          <a:ext cx="19749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1070FC06-3F8C-4F3D-8EA5-3FF9D7B074B8}"/>
            </a:ext>
          </a:extLst>
        </xdr:cNvPr>
        <xdr:cNvCxnSpPr/>
      </xdr:nvCxnSpPr>
      <xdr:spPr>
        <a:xfrm>
          <a:off x="85178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A350C330-4BE6-4998-880D-43A2F73870DF}"/>
            </a:ext>
          </a:extLst>
        </xdr:cNvPr>
        <xdr:cNvCxnSpPr/>
      </xdr:nvCxnSpPr>
      <xdr:spPr>
        <a:xfrm>
          <a:off x="38555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71F8A8F6-323B-4644-BCB3-7356B5D65346}"/>
            </a:ext>
          </a:extLst>
        </xdr:cNvPr>
        <xdr:cNvCxnSpPr/>
      </xdr:nvCxnSpPr>
      <xdr:spPr>
        <a:xfrm>
          <a:off x="3786971" y="429342"/>
          <a:ext cx="19749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48BA474E-918D-4627-B9BB-4297356EA647}"/>
            </a:ext>
          </a:extLst>
        </xdr:cNvPr>
        <xdr:cNvCxnSpPr/>
      </xdr:nvCxnSpPr>
      <xdr:spPr>
        <a:xfrm>
          <a:off x="85178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DB993300-ED0D-4595-ABAA-FC8CB66549F0}"/>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DC86EDED-F84B-459E-BFD7-C5BB51B20BAE}"/>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2C3C2C8F-C5BF-4BAE-BF2C-A649706E4CE5}"/>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25B2B962-6B27-4030-9841-7C1E4F6F3BF2}"/>
            </a:ext>
          </a:extLst>
        </xdr:cNvPr>
        <xdr:cNvCxnSpPr/>
      </xdr:nvCxnSpPr>
      <xdr:spPr>
        <a:xfrm>
          <a:off x="3665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D6B000AD-37F4-4B7D-8FA1-0C860CC9300D}"/>
            </a:ext>
          </a:extLst>
        </xdr:cNvPr>
        <xdr:cNvCxnSpPr/>
      </xdr:nvCxnSpPr>
      <xdr:spPr>
        <a:xfrm>
          <a:off x="3691721" y="429342"/>
          <a:ext cx="18987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C08D1A58-2EA2-4EA0-A481-C6A9472B28EB}"/>
            </a:ext>
          </a:extLst>
        </xdr:cNvPr>
        <xdr:cNvCxnSpPr/>
      </xdr:nvCxnSpPr>
      <xdr:spPr>
        <a:xfrm>
          <a:off x="8327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865BD43C-1334-4127-85B0-B906061096D8}"/>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0BCA3033-F6B2-40B4-9F5F-93CAD69A4120}"/>
            </a:ext>
          </a:extLst>
        </xdr:cNvPr>
        <xdr:cNvCxnSpPr/>
      </xdr:nvCxnSpPr>
      <xdr:spPr>
        <a:xfrm>
          <a:off x="3301196"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EEB20EC8-079F-4BD1-B667-67739BB7A3EB}"/>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D96CE726-8D25-465E-B08A-33D048757E9F}"/>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038D1E94-D136-46D6-9149-C764ADD9D901}"/>
            </a:ext>
          </a:extLst>
        </xdr:cNvPr>
        <xdr:cNvCxnSpPr/>
      </xdr:nvCxnSpPr>
      <xdr:spPr>
        <a:xfrm>
          <a:off x="3301196"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A0896DBA-A6A2-4626-9FE0-8BD4BB63B9C1}"/>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01BA057C-1866-4E37-B5A7-7924E549D2D9}"/>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880FF68F-74BC-4FB6-97F3-4ED0AB0A0ED2}"/>
            </a:ext>
          </a:extLst>
        </xdr:cNvPr>
        <xdr:cNvCxnSpPr/>
      </xdr:nvCxnSpPr>
      <xdr:spPr>
        <a:xfrm>
          <a:off x="3301196"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5B02F897-5C74-4E1B-8460-51E06BA45700}"/>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A9CC894B-4938-4C6A-80DC-0BF0514EBC5A}"/>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DD2D89CA-1126-45DE-801C-1A5EBE6A83DA}"/>
            </a:ext>
          </a:extLst>
        </xdr:cNvPr>
        <xdr:cNvCxnSpPr/>
      </xdr:nvCxnSpPr>
      <xdr:spPr>
        <a:xfrm>
          <a:off x="3301196"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BC54B6D1-B0D1-48E9-81D6-BEB60346FA9B}"/>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5174E7F6-485A-4B17-BE3E-05A669AC3831}"/>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7183F665-AE20-4AD0-818A-32520C45F70B}"/>
            </a:ext>
          </a:extLst>
        </xdr:cNvPr>
        <xdr:cNvCxnSpPr/>
      </xdr:nvCxnSpPr>
      <xdr:spPr>
        <a:xfrm>
          <a:off x="3301196"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0D68EAF8-5095-4F63-A9C6-8D24408D9C52}"/>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1F87BD15-7028-4C9E-9731-C951E9F8F2B1}"/>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46554874-1F72-440E-8A27-218F8B6E6B66}"/>
            </a:ext>
          </a:extLst>
        </xdr:cNvPr>
        <xdr:cNvCxnSpPr/>
      </xdr:nvCxnSpPr>
      <xdr:spPr>
        <a:xfrm>
          <a:off x="3301196"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56BF0971-242B-4755-AC9A-7A84D3BF4B01}"/>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6E6A5775-F588-49E3-B87C-0CEF6A03AB7F}"/>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60F5E1EF-2389-4ACA-98D3-497F2A942550}"/>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C6DBBC24-F1BB-4DB1-BA43-9B604FB5BA62}"/>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72A60D8B-9027-43F5-B932-A168E5872E99}"/>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23B17574-C45F-4AFE-A371-7DAF9E8DCEEF}"/>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05B6CDF5-64C7-4453-AE08-5E57F9EECF12}"/>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604631</xdr:colOff>
      <xdr:row>1</xdr:row>
      <xdr:rowOff>231915</xdr:rowOff>
    </xdr:from>
    <xdr:to>
      <xdr:col>0</xdr:col>
      <xdr:colOff>1358348</xdr:colOff>
      <xdr:row>1</xdr:row>
      <xdr:rowOff>231915</xdr:rowOff>
    </xdr:to>
    <xdr:cxnSp macro="">
      <xdr:nvCxnSpPr>
        <xdr:cNvPr id="2" name="Straight Connector 1">
          <a:extLst>
            <a:ext uri="{FF2B5EF4-FFF2-40B4-BE49-F238E27FC236}">
              <a16:creationId xmlns:a16="http://schemas.microsoft.com/office/drawing/2014/main" id="{3FB8F0F6-E830-4C9E-855F-DE299E7D94B1}"/>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3" name="Straight Connector 2">
          <a:extLst>
            <a:ext uri="{FF2B5EF4-FFF2-40B4-BE49-F238E27FC236}">
              <a16:creationId xmlns:a16="http://schemas.microsoft.com/office/drawing/2014/main" id="{C6D5A0C6-00B9-4411-8B65-11740782ED73}"/>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4" name="Straight Connector 3">
          <a:extLst>
            <a:ext uri="{FF2B5EF4-FFF2-40B4-BE49-F238E27FC236}">
              <a16:creationId xmlns:a16="http://schemas.microsoft.com/office/drawing/2014/main" id="{13D8CE73-0AAC-42B9-AB12-AD167307D988}"/>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604631</xdr:colOff>
      <xdr:row>1</xdr:row>
      <xdr:rowOff>231915</xdr:rowOff>
    </xdr:from>
    <xdr:to>
      <xdr:col>0</xdr:col>
      <xdr:colOff>1358348</xdr:colOff>
      <xdr:row>1</xdr:row>
      <xdr:rowOff>231915</xdr:rowOff>
    </xdr:to>
    <xdr:cxnSp macro="">
      <xdr:nvCxnSpPr>
        <xdr:cNvPr id="5" name="Straight Connector 4">
          <a:extLst>
            <a:ext uri="{FF2B5EF4-FFF2-40B4-BE49-F238E27FC236}">
              <a16:creationId xmlns:a16="http://schemas.microsoft.com/office/drawing/2014/main" id="{51488F3D-B8BE-4ED3-82CC-7EDA0C5B76FD}"/>
            </a:ext>
          </a:extLst>
        </xdr:cNvPr>
        <xdr:cNvCxnSpPr/>
      </xdr:nvCxnSpPr>
      <xdr:spPr>
        <a:xfrm>
          <a:off x="328406" y="42241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167471</xdr:colOff>
      <xdr:row>2</xdr:row>
      <xdr:rowOff>10242</xdr:rowOff>
    </xdr:from>
    <xdr:to>
      <xdr:col>6</xdr:col>
      <xdr:colOff>627918</xdr:colOff>
      <xdr:row>2</xdr:row>
      <xdr:rowOff>10242</xdr:rowOff>
    </xdr:to>
    <xdr:cxnSp macro="">
      <xdr:nvCxnSpPr>
        <xdr:cNvPr id="6" name="Straight Connector 5">
          <a:extLst>
            <a:ext uri="{FF2B5EF4-FFF2-40B4-BE49-F238E27FC236}">
              <a16:creationId xmlns:a16="http://schemas.microsoft.com/office/drawing/2014/main" id="{6093EDC7-0612-4ADA-B10B-52FCD6358319}"/>
            </a:ext>
          </a:extLst>
        </xdr:cNvPr>
        <xdr:cNvCxnSpPr/>
      </xdr:nvCxnSpPr>
      <xdr:spPr>
        <a:xfrm>
          <a:off x="3310721" y="429342"/>
          <a:ext cx="17367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470788</xdr:colOff>
      <xdr:row>2</xdr:row>
      <xdr:rowOff>16565</xdr:rowOff>
    </xdr:from>
    <xdr:to>
      <xdr:col>1</xdr:col>
      <xdr:colOff>1137391</xdr:colOff>
      <xdr:row>2</xdr:row>
      <xdr:rowOff>16566</xdr:rowOff>
    </xdr:to>
    <xdr:cxnSp macro="">
      <xdr:nvCxnSpPr>
        <xdr:cNvPr id="7" name="Straight Connector 6">
          <a:extLst>
            <a:ext uri="{FF2B5EF4-FFF2-40B4-BE49-F238E27FC236}">
              <a16:creationId xmlns:a16="http://schemas.microsoft.com/office/drawing/2014/main" id="{084C40A0-0A60-4C95-BBE0-969610ABA761}"/>
            </a:ext>
          </a:extLst>
        </xdr:cNvPr>
        <xdr:cNvCxnSpPr/>
      </xdr:nvCxnSpPr>
      <xdr:spPr>
        <a:xfrm>
          <a:off x="794638" y="435665"/>
          <a:ext cx="66660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QL%20D&#7920;%20&#193;N/C&#193;C%20C&#212;NG%20TR&#204;NH%20GPMB/C&#212;NG%20TR&#204;NH%20T&#7880;NH/396%20H&#192;%20&#272;&#212;NG/&#272;&#7906;T%203/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H&#210;NG%20TNMT/390B/C&#7849;m%20Ch&#7871;%20ph&#234;%20duy&#7879;t%20&#273;&#7907;t%204/in%2026.5.25.%20THPA%20390B%20C&#7849;m%20Ch&#7871;%20-%20&#272;&#7907;t%20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BQL%20D&#7920;%20&#193;N/C&#193;C%20C&#212;NG%20TR&#204;NH%20GPMB/C&#212;NG%20TR&#204;NH%20T&#7880;NH/396%20H&#192;%20&#272;&#212;NG/&#272;&#7906;T%203/file:/J:/WINDOWS/TEMP/IBASE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c/My%20Documents/c&#171;ng/CS3408/Standard/RP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BQL%20D&#7920;%20&#193;N/C&#193;C%20C&#212;NG%20TR&#204;NH%20GPMB/C&#212;NG%20TR&#204;NH%20BQL/390B/C&#7849;m%20Ch&#7871;/&#272;&#7907;t%201/19.12.THPA.%20390B%20-%20C&#7849;m%20Ch&#787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BQL%20D&#7920;%20&#193;N/C&#193;C%20C&#212;NG%20TR&#204;NH%20GPMB/C&#212;NG%20TR&#204;NH%20BQL/390B/Tuy&#7871;n%20tr&#225;nh/C&#7849;m%20Ch&#7871;/&#272;&#7907;t%203/THPA.%20C&#7849;m%20Ch&#7871;%20(&#272;&#7907;t%203)%2021.3.202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BQL%20D&#7920;%20&#193;N/C&#193;C%20C&#212;NG%20TR&#204;NH%20GPMB/C&#212;NG%20TR&#204;NH%20T&#7880;NH/396%20H&#192;%20&#272;&#212;NG/&#272;&#7906;T%204/4.9.2024.PHUONG%20AN%20396%20THANH%20CUONG%20(DOT%20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T&#218;%20LINH/T&#218;%20LINH/T&#218;%20LINH/390B/TUY&#7870;N%20N&#194;NG%20C&#7844;P/Tuy&#7871;n%20n&#226;ng%20c&#7845;p/C&#7848;M%20VI&#7878;T/&#272;&#7906;T%200%20Vi&#7879;t%20H&#7891;ng/THPA.390B%20CL-%2007%20C&#7849;m%20Vi&#7879;t%20(c&#242;n%20l&#7841;i).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TUYEN%20CONG%20VIEC/Tong%20hop/Giai%20phong%20mat%20bang/2024/3.%20T&#237;nh%20PA%20GPMB%20vi&#7879;t%20s&#233;c%2015.5.24/4.%20H&#249;ng%20nh&#7853;p%20h&#7897;%20kh&#7889;i%20l&#432;&#7907;ng%2002%20BB%20ki&#7875;m%20k&#234;%20-%20Copy/Vi&#7879;t-S&#233;c%2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Setup\Downloads\UNIVNI.xl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SETUP\Doctien.xla"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c/My%20Documents/c&#171;ng/DOCUMENT/DAUTHAU/Dungquat/GOI3/DUNGQUAT-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7851;u.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dell\Downloads\UNIVNI.xla"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T&#218;%20LINH/T&#218;%20LINH/New%20folder/Doctien.xla"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so.xla"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T&#218;%20LINH/T&#218;%20LINH/T&#218;%20LINH/C&#7849;m%20Ch&#7871;%20-%20Thanh%20Xu&#226;n/Li&#234;n%20M&#7841;c/THPA/Ngo&#224;i%20tr&#237;ch%20l&#7909;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Xa%20Ha%20Nam/&#272;&#432;&#7901;ng%20CC-LM-TX/Ph&#234;%20duy&#7879;t%20&#273;&#7907;t%202/THPA%20TL01%20LI&#202;N%20M&#7840;C%20(&#273;&#7845;t%20&#7903;%20+&#273;&#7845;t%20v&#432;&#7901;n%20a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C&#7849;m%20Ch&#7871;%20-%20Thanh%20Xu&#226;n\Li&#234;n%20M&#7841;c\THPA\Ngo&#224;i%20tr&#237;ch%20l&#7909;c%20Li&#234;n%20M&#7841;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C&#7849;m%20Ch&#7871;%20-%20Thanh%20Xu&#226;n\Li&#234;n%20M&#7841;c\&#7888;p%20NgG\THPA%20LI&#202;N%20M&#7840;C%20T&#7900;%2003%20&#273;&#227;%20&#7889;p%20NgG.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C&#7849;m%20Ch&#7871;%20-%20Thanh%20Xu&#226;n\Li&#234;n%20M&#7841;c\&#7888;p%20NgG\THPA%20TL01%20LI&#202;N%20M&#7840;C%20(a%20Phon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218;%20LINH/T&#218;%20LINH/T&#218;%20LINH/C&#7849;m%20Ch&#7871;%20-%20Thanh%20Xu&#226;n/Li&#234;n%20M&#7841;c/&#7888;p%20NgG/PH&#202;%20DUY&#7878;T%20&#272;&#7906;T%202/THPA%20TL01%20LI&#202;N%20M&#7840;C%20(a%20Phong).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BQL%20D&#7920;%20&#193;N/C&#193;C%20C&#212;NG%20TR&#204;NH%20GPMB/C&#212;NG%20TR&#204;NH%20BQL/390B/C&#7849;m%20Ch&#7871;/THPA/390b%20c&#7849;m%20ch&#7871;.%20a%20Ho&#224;ng.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BQL%20D&#7920;%20&#193;N/C&#193;C%20C&#212;NG%20TR&#204;NH%20GPMB/C&#212;NG%20TR&#204;NH%20BQL/390B/C&#7849;m%20Ch&#7871;/&#272;&#7907;t%202/15.1.2025.%20THPA%20390B%20C&#7849;m%20Vi&#7879;t%20&#272;&#7907;t%202%20-%20kh&#244;ng%20t&#224;i%20s&#78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T4"/>
      <sheetName val="T5"/>
      <sheetName val="T6"/>
      <sheetName val="T.7"/>
      <sheetName val="T.8"/>
      <sheetName val="T8 (2)"/>
      <sheetName val="T.9"/>
      <sheetName val="T.10"/>
      <sheetName val="T.11"/>
      <sheetName val="T.12"/>
      <sheetName val="T10"/>
      <sheetName val="T11 "/>
      <sheetName val="Sheet2"/>
      <sheetName val="Sheet3"/>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5 nam (tach)"/>
      <sheetName val="5 nam (tach) (2)"/>
      <sheetName val="KH 2003"/>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H Ky Anh"/>
      <sheetName val="Sheet2 (2)"/>
      <sheetName val="t1"/>
      <sheetName val="T11"/>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H  goi 4-x"/>
      <sheetName val="phan tich DG"/>
      <sheetName val="gia vat lieu"/>
      <sheetName val="gia xe may"/>
      <sheetName val="gia nhan cong"/>
      <sheetName val="XL4Test5"/>
      <sheetName val="Bia"/>
      <sheetName val="Tm"/>
      <sheetName val="THKP"/>
      <sheetName val="DGi"/>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CV den trong to聮g"/>
      <sheetName val="kl m m d"/>
      <sheetName val="kl vt tho"/>
      <sheetName val="kl dat"/>
      <sheetName val="Sheet4"/>
      <sheetName val="xin kinh phi"/>
      <sheetName val="lan trai"/>
      <sheetName val="thuoc no"/>
      <sheetName val="so thuc pham"/>
      <sheetName val="fOOD"/>
      <sheetName val="FORM hc"/>
      <sheetName val="FORM pc"/>
      <sheetName val="CamPha"/>
      <sheetName val="MongCai"/>
      <sheetName val="70000000"/>
      <sheetName val="PNT_QUOT__3"/>
      <sheetName val="COAT_WRAP_QIOT__3"/>
      <sheetName val="Km27' - Km278"/>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SOLIEU"/>
      <sheetName val="TINHTOAN"/>
      <sheetName val="BangTH"/>
      <sheetName val="Xaylap "/>
      <sheetName val="Nhan cong"/>
      <sheetName val="Thietbi"/>
      <sheetName val="Diengiai"/>
      <sheetName val="Vanchuyen"/>
      <sheetName val="ȴ0000000"/>
      <sheetName val="Oð mai 279"/>
      <sheetName val="Shedt1"/>
      <sheetName val="_x0012_0000000"/>
      <sheetName val="mau kiem ke"/>
      <sheetName val="quyet toan HD 2000"/>
      <sheetName val="quyet toan hoa don 2001"/>
      <sheetName val="kiem ke hoa don 2001"/>
      <sheetName val="QUY III 02"/>
      <sheetName val="QUY IV 02"/>
      <sheetName val="QUYET TOAN 02"/>
      <sheetName val="Sheet15"/>
      <sheetName val="PNT-QUOT-D150#3"/>
      <sheetName val="PNT-QUOT-H153#3"/>
      <sheetName val="PNT-QUOT-K152#3"/>
      <sheetName val="PNT-QUOT-H146#3"/>
      <sheetName val="XLÇ_x0015_oppy"/>
      <sheetName val="Thang06-2002"/>
      <sheetName val="Thang07-2002"/>
      <sheetName val="Thang08-2002"/>
      <sheetName val="Thang09-2002"/>
      <sheetName val="Thang10-2002 "/>
      <sheetName val="Thang11-2002"/>
      <sheetName val="Thang12-2002"/>
      <sheetName val="Sheet1 (3)"/>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cocB40 5B"/>
      <sheetName val="cocD50 9A"/>
      <sheetName val="cocD75 16"/>
      <sheetName val="coc B80 TD25"/>
      <sheetName val="P27 B80"/>
      <sheetName val="Coc23 B80"/>
      <sheetName val="cong B80 C4"/>
      <sheetName val="BKLBD"/>
      <sheetName val="PTDG"/>
      <sheetName val="DTCT"/>
      <sheetName val="vlct"/>
      <sheetName val="Sheet11"/>
      <sheetName val="Sheet12"/>
      <sheetName val="Sheet13"/>
      <sheetName val="Sheet14"/>
      <sheetName val="XXXXX\XX"/>
      <sheetName val="Cong ban 1,5_x0013__x0000_"/>
      <sheetName val="Áo"/>
      <sheetName val="ADKT"/>
      <sheetName val="xdcb 01-2003"/>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Km&quot;80"/>
      <sheetName val="Khac DP"/>
      <sheetName val="Khoi than "/>
      <sheetName val="B3_208_than"/>
      <sheetName val="B3_208_TU"/>
      <sheetName val="B3_208_TW"/>
      <sheetName val="B3_208_DP"/>
      <sheetName val="B3_208_khac"/>
      <sheetName val="p0000000"/>
      <sheetName val="TL33-13.14"/>
      <sheetName val="tlđm190337,8"/>
      <sheetName val="GC190337,8"/>
      <sheetName val="033,7,8"/>
      <sheetName val="TL033 ,2,4"/>
      <sheetName val="TL 0331,2"/>
      <sheetName val="033-1,4"/>
      <sheetName val="TL033,19,5"/>
      <sheetName val="0304"/>
      <sheetName val="0904"/>
      <sheetName val="1204"/>
      <sheetName val="80000000"/>
      <sheetName val="90000000"/>
      <sheetName val="a0000000"/>
      <sheetName val="b0000000"/>
      <sheetName val="c0000000"/>
      <sheetName val="Kѭ284"/>
      <sheetName val="T_x000b_331"/>
      <sheetName val="gVL"/>
      <sheetName val="ESTI."/>
      <sheetName val="DI-ESTI"/>
      <sheetName val="TAU"/>
      <sheetName val="KHACH"/>
      <sheetName val="BC1"/>
      <sheetName val="BC2"/>
      <sheetName val="BAO CAO AN"/>
      <sheetName val="BANGKEKHACH"/>
      <sheetName val="Du tnan chi tiet coc nuoc"/>
      <sheetName val="Song ban 0,7x0,7"/>
      <sheetName val="Cong ban 0,8x ,8"/>
      <sheetName val="TNghiÖ- VL"/>
      <sheetName val="thaß26"/>
      <sheetName val="Km283 - Jm284"/>
      <sheetName val="BCDSPS"/>
      <sheetName val="BCDKT"/>
      <sheetName val="gìIÏÝ_x001c_Ã_x0008_ç¾{è"/>
      <sheetName val="Lap ®at ®hÖn"/>
      <sheetName val="Baocao"/>
      <sheetName val="UT"/>
      <sheetName val="TongHopHD"/>
      <sheetName val="[PNT-P3.xlsUTong hop (2)"/>
      <sheetName val="Km276 - Ke277"/>
      <sheetName val="[PNT-P3.xlsUKm279 - Km280"/>
      <sheetName val="ct luong "/>
      <sheetName val="Nhap 6T"/>
      <sheetName val="baocaochinh(qui1.05) (DC)"/>
      <sheetName val="Ctuluongq.1.05"/>
      <sheetName val="BANG PHAN BO qui1.05(DC)"/>
      <sheetName val="BANG PHAN BO quiII.05"/>
      <sheetName val="bao cac cinh Qui II-2005"/>
      <sheetName val="Macro1"/>
      <sheetName val="Macro2"/>
      <sheetName val="Macro3"/>
      <sheetName val="Tong (op"/>
      <sheetName val="Coc 4ieu"/>
      <sheetName val="K43"/>
      <sheetName val="THKL"/>
      <sheetName val="PL43"/>
      <sheetName val="K43+0.00 - 338 Trai"/>
      <sheetName val="ၔong hop QL48 - 2"/>
      <sheetName val="Km266"/>
      <sheetName val="7000 000"/>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Diem mon hoc"/>
      <sheetName val="Tong hop diem"/>
      <sheetName val="HoTen-khong duoc xoa"/>
      <sheetName val=""/>
      <sheetName val="XNxlva sxthanKCIÉ"/>
      <sheetName val="Shaet13"/>
      <sheetName val="Thang8-02"/>
      <sheetName val="Thang9-02"/>
      <sheetName val="Thang10-02"/>
      <sheetName val="Thang11-02"/>
      <sheetName val="Thang12-02"/>
      <sheetName val="Thang01-03"/>
      <sheetName val="Thang02-03"/>
      <sheetName val="Don gia"/>
      <sheetName val="Nhap du lieu"/>
      <sheetName val="_x000b_luong phu"/>
      <sheetName val="TNghiªm T_x0002_ "/>
      <sheetName val="tt-_x0014_BA"/>
      <sheetName val="TD_x0014_"/>
      <sheetName val="_x0014_.12"/>
      <sheetName val="QD c5a HDQT (2)"/>
      <sheetName val="_x0003_hart1"/>
      <sheetName val="Dong$bac"/>
      <sheetName val="30100000"/>
      <sheetName val="Ton 31.1"/>
      <sheetName val="NhapT.2"/>
      <sheetName val="Xuat T.2"/>
      <sheetName val="Ton 28.2"/>
      <sheetName val="H.Tra"/>
      <sheetName val="Hang CTY TRA LAI"/>
      <sheetName val="Hang NV Tra Lai"/>
      <sheetName val="CVden nw8ai TCT (1)"/>
      <sheetName val="Thang 07"/>
      <sheetName val="T10-05"/>
      <sheetName val="T9-05"/>
      <sheetName val="t805"/>
      <sheetName val="11T"/>
      <sheetName val="9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mua vao"/>
      <sheetName val="chi phi "/>
      <sheetName val="ban ra 10%"/>
      <sheetName val="??-BLDG"/>
      <sheetName val="Mp mai 275"/>
      <sheetName val="Package1"/>
      <sheetName val="ADKTKT02"/>
      <sheetName val="CV den trong to?g"/>
      <sheetName val="?0000000"/>
      <sheetName val="K?284"/>
      <sheetName val="Sÿÿÿÿ"/>
      <sheetName val="quÿÿ"/>
      <sheetName val="FORM jc"/>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TDT-TBࡁ"/>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n 1,5„—_x0013__x0000_"/>
      <sheetName val="Cong ban 1,5_x0013_?"/>
      <sheetName val="Mix-Tarpaulin"/>
      <sheetName val="Tarpaulin"/>
      <sheetName val="Price"/>
      <sheetName val="Monthly"/>
      <sheetName val="For Summary"/>
      <sheetName val="For Summary(KG)"/>
      <sheetName val="PP Cloth"/>
      <sheetName val="Mix-PP Cloth"/>
      <sheetName val="Material Price-PP"/>
      <sheetName val="Op mai 2_x000c_?"/>
      <sheetName val="?bÑi_x0003_????²r_x0013_?"/>
      <sheetName val="?_x000f_???½"/>
      <sheetName val="??²r"/>
      <sheetName val="?????M pc_x0006_??CamPh??"/>
      <sheetName val="?_x000d_???âO"/>
      <sheetName val="??"/>
      <sheetName val="Cong ban 1,5„—_x0013_?"/>
      <sheetName val="Xa9lap "/>
      <sheetName val="bÑi_x0003_?²r_x0013_?"/>
      <sheetName val="_x000f_?½"/>
      <sheetName val="M pc_x0006_?CamPh?"/>
      <sheetName val="_x000c_???????_x000d_???"/>
      <sheetName val="?_x000f_???‚ž½"/>
      <sheetName val="?_x000d_???âOŽ"/>
      <sheetName val="_x000f_?‚ž½"/>
      <sheetName val="_x000d_âOŽ"/>
      <sheetName val="VÃt liÖu"/>
      <sheetName val="_x000c__x0000__x0000__x0000__x0000__x0000__x0000__x0000__x000d__x0000__x0000__x0000_"/>
      <sheetName val="_x0000__x000f__x0000__x0000__x0000_‚ž½"/>
      <sheetName val="GS02-thu0TM"/>
      <sheetName val="bc"/>
      <sheetName val="K.O"/>
      <sheetName val="xang _clc"/>
      <sheetName val="X¡NG_td"/>
      <sheetName val="MaZUT"/>
      <sheetName val="DIESEL"/>
      <sheetName val="QD cua HDQ²_x0000__x0000_)"/>
      <sheetName val="P210-TP20"/>
      <sheetName val="CB32"/>
      <sheetName val="Kluo-_x0008_ phu"/>
      <sheetName val="CTT NuiC_x000f_eo"/>
      <sheetName val="TDT-TB?"/>
      <sheetName val="Km280 ? Km281"/>
      <sheetName val="tt chu don"/>
      <sheetName val="gìIÏÝ_x001c_齘_x0013_龜_x0013_ꗃ〒"/>
      <sheetName val="QD cua "/>
      <sheetName val="GS08)B.hµng"/>
      <sheetName val="xidsZ_x0000_M_x0000__x0000__x0000_1_x0000_"/>
      <sheetName val="T[ 131"/>
      <sheetName val="tuong"/>
      <sheetName val="Dimu"/>
      <sheetName val="Klct"/>
      <sheetName val="Covi"/>
      <sheetName val="Nlvt"/>
      <sheetName val="Innl"/>
      <sheetName val="Invt"/>
      <sheetName val="Chon"/>
      <sheetName val="Qtnv"/>
      <sheetName val="Bqtn"/>
      <sheetName val="Bqtv"/>
      <sheetName val="Giao"/>
      <sheetName val="Dcap"/>
      <sheetName val="Nlie"/>
      <sheetName val="Mnli"/>
      <sheetName val="_x0014_M01"/>
      <sheetName val="nam2004"/>
      <sheetName val="Giao nhie- vu"/>
      <sheetName val="QD cua HDQ²_x0000__x0000_€)"/>
      <sheetName val="120"/>
      <sheetName val="IFAD"/>
      <sheetName val="CVHN"/>
      <sheetName val="TCVM"/>
      <sheetName val="RIDP"/>
      <sheetName val="LDNN"/>
      <sheetName val="gia x_x0000_ may"/>
      <sheetName val="CDPS3"/>
      <sheetName val="_x0003_har"/>
      <sheetName val="Cong ban 0,7p0,7"/>
      <sheetName val="Km275 - Ke276"/>
      <sheetName val="DŃ02"/>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refreshError="1"/>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sheetData sheetId="402"/>
      <sheetData sheetId="403"/>
      <sheetData sheetId="404"/>
      <sheetData sheetId="405"/>
      <sheetData sheetId="406"/>
      <sheetData sheetId="407"/>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refreshError="1"/>
      <sheetData sheetId="440"/>
      <sheetData sheetId="441"/>
      <sheetData sheetId="442"/>
      <sheetData sheetId="443"/>
      <sheetData sheetId="444" refreshError="1"/>
      <sheetData sheetId="445" refreshError="1"/>
      <sheetData sheetId="446"/>
      <sheetData sheetId="447"/>
      <sheetData sheetId="448"/>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refreshError="1"/>
      <sheetData sheetId="463" refreshError="1"/>
      <sheetData sheetId="464"/>
      <sheetData sheetId="465"/>
      <sheetData sheetId="466"/>
      <sheetData sheetId="467"/>
      <sheetData sheetId="468"/>
      <sheetData sheetId="469" refreshError="1"/>
      <sheetData sheetId="470"/>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sheetData sheetId="487"/>
      <sheetData sheetId="488"/>
      <sheetData sheetId="489" refreshError="1"/>
      <sheetData sheetId="490" refreshError="1"/>
      <sheetData sheetId="491"/>
      <sheetData sheetId="492"/>
      <sheetData sheetId="493"/>
      <sheetData sheetId="494"/>
      <sheetData sheetId="495"/>
      <sheetData sheetId="496"/>
      <sheetData sheetId="497"/>
      <sheetData sheetId="498"/>
      <sheetData sheetId="499"/>
      <sheetData sheetId="500"/>
      <sheetData sheetId="501" refreshError="1"/>
      <sheetData sheetId="502"/>
      <sheetData sheetId="503"/>
      <sheetData sheetId="504"/>
      <sheetData sheetId="505"/>
      <sheetData sheetId="506"/>
      <sheetData sheetId="507" refreshError="1"/>
      <sheetData sheetId="508" refreshError="1"/>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efreshError="1"/>
      <sheetData sheetId="593" refreshError="1"/>
      <sheetData sheetId="594" refreshError="1"/>
      <sheetData sheetId="595"/>
      <sheetData sheetId="596" refreshError="1"/>
      <sheetData sheetId="597" refreshError="1"/>
      <sheetData sheetId="598" refreshError="1"/>
      <sheetData sheetId="599"/>
      <sheetData sheetId="600"/>
      <sheetData sheetId="601"/>
      <sheetData sheetId="602" refreshError="1"/>
      <sheetData sheetId="603" refreshError="1"/>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refreshError="1"/>
      <sheetData sheetId="618" refreshError="1"/>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refreshError="1"/>
      <sheetData sheetId="655"/>
      <sheetData sheetId="656" refreshError="1"/>
      <sheetData sheetId="657" refreshError="1"/>
      <sheetData sheetId="658"/>
      <sheetData sheetId="659"/>
      <sheetData sheetId="660"/>
      <sheetData sheetId="661"/>
      <sheetData sheetId="662"/>
      <sheetData sheetId="663"/>
      <sheetData sheetId="664"/>
      <sheetData sheetId="665"/>
      <sheetData sheetId="666" refreshError="1"/>
      <sheetData sheetId="667" refreshError="1"/>
      <sheetData sheetId="668" refreshError="1"/>
      <sheetData sheetId="669" refreshError="1"/>
      <sheetData sheetId="670" refreshError="1"/>
      <sheetData sheetId="671" refreshError="1"/>
      <sheetData sheetId="672"/>
      <sheetData sheetId="673"/>
      <sheetData sheetId="674"/>
      <sheetData sheetId="675"/>
      <sheetData sheetId="676" refreshError="1"/>
      <sheetData sheetId="677" refreshError="1"/>
      <sheetData sheetId="678" refreshError="1"/>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refreshError="1"/>
      <sheetData sheetId="692" refreshError="1"/>
      <sheetData sheetId="693"/>
      <sheetData sheetId="694"/>
      <sheetData sheetId="695" refreshError="1"/>
      <sheetData sheetId="696"/>
      <sheetData sheetId="697"/>
      <sheetData sheetId="698"/>
      <sheetData sheetId="699"/>
      <sheetData sheetId="700"/>
      <sheetData sheetId="701"/>
      <sheetData sheetId="702"/>
      <sheetData sheetId="703" refreshError="1"/>
      <sheetData sheetId="704"/>
      <sheetData sheetId="705"/>
      <sheetData sheetId="706"/>
      <sheetData sheetId="707"/>
      <sheetData sheetId="70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giá cây cối"/>
      <sheetName val="THPA"/>
      <sheetName val="Nguon goc  dot 4"/>
      <sheetName val="1. Phương CN cho Lâm"/>
      <sheetName val="2. Lâm - Chung"/>
      <sheetName val="3. Khanh"/>
      <sheetName val="4. Ngoan - Chi"/>
      <sheetName val="5. Thía"/>
      <sheetName val="6. Hùng - Hợp"/>
      <sheetName val="7. Thấn"/>
      <sheetName val="8. Thấn "/>
      <sheetName val="151.Phúc CN Hà - Thúy "/>
      <sheetName val="151.Phúc CN Hà - Thúy in"/>
      <sheetName val="128.2.134.1.Cường"/>
      <sheetName val="149. Hà - Huyền"/>
    </sheetNames>
    <sheetDataSet>
      <sheetData sheetId="0">
        <row r="2">
          <cell r="A2" t="str">
            <v>Lúa các loại</v>
          </cell>
        </row>
        <row r="3">
          <cell r="A3" t="str">
            <v>Ngô các loại</v>
          </cell>
        </row>
        <row r="4">
          <cell r="A4" t="str">
            <v>Khoai lang</v>
          </cell>
        </row>
        <row r="5">
          <cell r="A5" t="str">
            <v>Khoai tây</v>
          </cell>
        </row>
        <row r="6">
          <cell r="A6" t="str">
            <v>Sắn mì</v>
          </cell>
        </row>
        <row r="7">
          <cell r="A7" t="str">
            <v xml:space="preserve">Khoai môn </v>
          </cell>
        </row>
        <row r="8">
          <cell r="A8" t="str">
            <v>Khoai sọ</v>
          </cell>
        </row>
        <row r="9">
          <cell r="A9" t="str">
            <v>Sắn dây</v>
          </cell>
        </row>
        <row r="10">
          <cell r="A10" t="str">
            <v>Củ ấu</v>
          </cell>
        </row>
        <row r="11">
          <cell r="A11" t="str">
            <v>Cây mía</v>
          </cell>
        </row>
        <row r="12">
          <cell r="A12" t="str">
            <v>Cây thuốc lào</v>
          </cell>
        </row>
        <row r="13">
          <cell r="A13" t="str">
            <v>Đay</v>
          </cell>
        </row>
        <row r="14">
          <cell r="A14" t="str">
            <v>Gai, dứa sợi</v>
          </cell>
        </row>
        <row r="15">
          <cell r="A15" t="str">
            <v>Đậu tương</v>
          </cell>
        </row>
        <row r="16">
          <cell r="A16" t="str">
            <v>Lạc</v>
          </cell>
        </row>
        <row r="17">
          <cell r="A17" t="str">
            <v>Vừng</v>
          </cell>
        </row>
        <row r="18">
          <cell r="A18" t="str">
            <v xml:space="preserve">Rau muống </v>
          </cell>
        </row>
        <row r="19">
          <cell r="A19" t="str">
            <v>Cải các loại</v>
          </cell>
        </row>
        <row r="20">
          <cell r="A20" t="str">
            <v>Rau mùng tơi</v>
          </cell>
        </row>
        <row r="21">
          <cell r="A21" t="str">
            <v>Rau ngót</v>
          </cell>
        </row>
        <row r="22">
          <cell r="A22" t="str">
            <v>Bắp cải</v>
          </cell>
        </row>
        <row r="23">
          <cell r="A23" t="str">
            <v>Rau dền</v>
          </cell>
        </row>
        <row r="24">
          <cell r="A24" t="str">
            <v>Súp lơ/bông cải</v>
          </cell>
        </row>
        <row r="25">
          <cell r="A25" t="str">
            <v>Dưa hấu</v>
          </cell>
        </row>
        <row r="26">
          <cell r="A26" t="str">
            <v>Dưa lê</v>
          </cell>
        </row>
        <row r="27">
          <cell r="A27" t="str">
            <v>Dưa vàng</v>
          </cell>
        </row>
        <row r="28">
          <cell r="A28" t="str">
            <v>Đậu đũa</v>
          </cell>
        </row>
        <row r="29">
          <cell r="A29" t="str">
            <v>Đậu co-ve</v>
          </cell>
        </row>
        <row r="30">
          <cell r="A30" t="str">
            <v>Đậu Hà Lan</v>
          </cell>
        </row>
        <row r="31">
          <cell r="A31" t="str">
            <v>Dưa chuột</v>
          </cell>
        </row>
        <row r="32">
          <cell r="A32" t="str">
            <v>Cà chua</v>
          </cell>
        </row>
        <row r="33">
          <cell r="A33" t="str">
            <v>Bí đỏ (Bí ngô)</v>
          </cell>
        </row>
        <row r="34">
          <cell r="A34" t="str">
            <v>Bí xanh</v>
          </cell>
        </row>
        <row r="35">
          <cell r="A35" t="str">
            <v>Bầu</v>
          </cell>
        </row>
        <row r="36">
          <cell r="A36" t="str">
            <v>Mướp</v>
          </cell>
        </row>
        <row r="37">
          <cell r="A37" t="str">
            <v>Su su</v>
          </cell>
        </row>
        <row r="38">
          <cell r="A38" t="str">
            <v>Ớt trái ngọt</v>
          </cell>
        </row>
        <row r="39">
          <cell r="A39" t="str">
            <v>Cà tím, cà pháo</v>
          </cell>
        </row>
        <row r="40">
          <cell r="A40" t="str">
            <v>Mướp đắng</v>
          </cell>
        </row>
        <row r="41">
          <cell r="A41" t="str">
            <v>Su hào</v>
          </cell>
        </row>
        <row r="42">
          <cell r="A42" t="str">
            <v>Cà rốt</v>
          </cell>
        </row>
        <row r="43">
          <cell r="A43" t="str">
            <v>Củ cải</v>
          </cell>
        </row>
        <row r="44">
          <cell r="A44" t="str">
            <v>Tỏi lấy củ</v>
          </cell>
        </row>
        <row r="45">
          <cell r="A45" t="str">
            <v>Hành tây</v>
          </cell>
        </row>
        <row r="46">
          <cell r="A46" t="str">
            <v>Hành hoa</v>
          </cell>
        </row>
        <row r="47">
          <cell r="A47" t="str">
            <v>Hành củ</v>
          </cell>
        </row>
        <row r="48">
          <cell r="A48" t="str">
            <v>Rau cần ta</v>
          </cell>
        </row>
        <row r="49">
          <cell r="A49" t="str">
            <v>Củ đậu</v>
          </cell>
        </row>
        <row r="50">
          <cell r="A50" t="str">
            <v>Rau tỏi tây</v>
          </cell>
        </row>
        <row r="51">
          <cell r="A51" t="str">
            <v>Măng tây</v>
          </cell>
        </row>
        <row r="52">
          <cell r="A52" t="str">
            <v>Cần tây</v>
          </cell>
        </row>
        <row r="53">
          <cell r="A53" t="str">
            <v>Củ rền</v>
          </cell>
        </row>
        <row r="54">
          <cell r="A54" t="str">
            <v>Ớt cay</v>
          </cell>
        </row>
        <row r="55">
          <cell r="A55" t="str">
            <v>Gừng</v>
          </cell>
        </row>
        <row r="56">
          <cell r="A56" t="str">
            <v>Riềng</v>
          </cell>
        </row>
        <row r="57">
          <cell r="A57" t="str">
            <v>Rau gia vị khác (Rau mùi, thì là, mùi tàu, tía tô...)</v>
          </cell>
        </row>
        <row r="58">
          <cell r="A58" t="str">
            <v>Ngải cứu</v>
          </cell>
        </row>
        <row r="59">
          <cell r="A59" t="str">
            <v>Nghệ</v>
          </cell>
        </row>
        <row r="60">
          <cell r="A60" t="str">
            <v>Sả</v>
          </cell>
        </row>
        <row r="61">
          <cell r="A61" t="str">
            <v>Sen lấy hạt</v>
          </cell>
        </row>
        <row r="62">
          <cell r="A62" t="str">
            <v xml:space="preserve">Cây vải loại cây ghép có chiều cao cây 40cm ≤ H &lt; 1m  </v>
          </cell>
        </row>
        <row r="63">
          <cell r="A63" t="str">
            <v xml:space="preserve">Cây vải loại cây ghép có chiều cao cây  H ≥ 1m  </v>
          </cell>
        </row>
        <row r="64">
          <cell r="A64" t="str">
            <v xml:space="preserve">Cây vải loại cây chiết cành có chiều cao  40cm ≤ H &lt; 1m  </v>
          </cell>
        </row>
        <row r="65">
          <cell r="A65" t="str">
            <v xml:space="preserve">Cây vải loại cây chiết cành có chiều cao cây  H ≥ 1m  </v>
          </cell>
        </row>
        <row r="66">
          <cell r="A66" t="str">
            <v>Cây vải đường kính tán 0,7m ≤ Φ &lt; 1m</v>
          </cell>
        </row>
        <row r="67">
          <cell r="A67" t="str">
            <v>Cây vải đường kính tán 1m ≤ Φ &lt; 2m</v>
          </cell>
        </row>
        <row r="68">
          <cell r="A68" t="str">
            <v>Cây vải đường kính tán 2m ≤ Φ &lt; 3m</v>
          </cell>
        </row>
        <row r="69">
          <cell r="A69" t="str">
            <v>Cây vải đường kính tán 3m ≤ Φ &lt; 4m</v>
          </cell>
        </row>
        <row r="70">
          <cell r="A70" t="str">
            <v>Cây vải đường kính tán 4m ≤ Φ &lt; 5m</v>
          </cell>
        </row>
        <row r="71">
          <cell r="A71" t="str">
            <v>Cây vải đường kính tán 5m ≤ Φ &lt; 6m</v>
          </cell>
        </row>
        <row r="72">
          <cell r="A72" t="str">
            <v>Cây vải đường kính tán 6m ≤ Φ &lt; 7m</v>
          </cell>
        </row>
        <row r="73">
          <cell r="A73" t="str">
            <v>Cây vải đường kính tán 7m ≤ Φ &lt; 8m</v>
          </cell>
        </row>
        <row r="74">
          <cell r="A74" t="str">
            <v>Cây vải đường kính tán 8m ≤ Φ &lt; 9m</v>
          </cell>
        </row>
        <row r="75">
          <cell r="A75" t="str">
            <v>Cây vải đường kính tán 9m ≤ Φ &lt; 10m</v>
          </cell>
        </row>
        <row r="76">
          <cell r="A76" t="str">
            <v>Cây vải đường kính tán 10m ≤ Φ &lt; 15m</v>
          </cell>
        </row>
        <row r="77">
          <cell r="A77" t="str">
            <v>Cây vải đường kính tán Φ ≥ 15m</v>
          </cell>
        </row>
        <row r="78">
          <cell r="A78" t="str">
            <v xml:space="preserve">Cây nhãn loại cây ghép có chiều cao cây 40cm ≤ H &lt; 1m  </v>
          </cell>
        </row>
        <row r="79">
          <cell r="A79" t="str">
            <v xml:space="preserve">Cây nhãn loại cây ghép có chiều cao cây  H ≥ 1m  </v>
          </cell>
        </row>
        <row r="80">
          <cell r="A80" t="str">
            <v xml:space="preserve">Cây nhãn loại cây chiết cành có chiều cao  40cm ≤ H &lt; 1m  </v>
          </cell>
        </row>
        <row r="81">
          <cell r="A81" t="str">
            <v xml:space="preserve">Cây nhãn loại cây chiết cành có chiều cao cây  H ≥ 1m  </v>
          </cell>
        </row>
        <row r="82">
          <cell r="A82" t="str">
            <v xml:space="preserve">Cây nhãn đường kính tán 0,7m ≤ Φ &lt; 1m </v>
          </cell>
        </row>
        <row r="83">
          <cell r="A83" t="str">
            <v xml:space="preserve">Cây nhãn đường kính tán 1m ≤ Φ &lt; 1,5m </v>
          </cell>
        </row>
        <row r="84">
          <cell r="A84" t="str">
            <v xml:space="preserve">Cây nhãn đường kính tán 1,5m ≤ Φ &lt; 2m </v>
          </cell>
        </row>
        <row r="85">
          <cell r="A85" t="str">
            <v xml:space="preserve">Cây nhãn đường kính tán 2m ≤ Φ &lt; 3m </v>
          </cell>
        </row>
        <row r="86">
          <cell r="A86" t="str">
            <v>Cây nhãn đường kính tán 3m ≤ Φ &lt; 4m</v>
          </cell>
        </row>
        <row r="87">
          <cell r="A87" t="str">
            <v>Cây nhãn đường kính tán 4m ≤ Φ &lt; 5m</v>
          </cell>
        </row>
        <row r="88">
          <cell r="A88" t="str">
            <v>Cây nhãn đường kính tán 5m ≤ Φ &lt; 6m</v>
          </cell>
        </row>
        <row r="89">
          <cell r="A89" t="str">
            <v>Cây nhãn đường kính tán 6m ≤ Φ &lt; 7m</v>
          </cell>
        </row>
        <row r="90">
          <cell r="A90" t="str">
            <v>Cây nhãn đường kính tán 7m ≤ Φ &lt; 8m</v>
          </cell>
        </row>
        <row r="91">
          <cell r="A91" t="str">
            <v>Cây nhãn đường kính tán 8m ≤ Φ &lt; 9m</v>
          </cell>
        </row>
        <row r="92">
          <cell r="A92" t="str">
            <v>Cây nhãn đường kính tán 9m ≤ Φ &lt; 12m</v>
          </cell>
        </row>
        <row r="93">
          <cell r="A93" t="str">
            <v>Cây nhãn đường kính tán Φ ≥ 12m</v>
          </cell>
        </row>
        <row r="94">
          <cell r="A94" t="str">
            <v>Mít (tính theo đường kính gốc F)</v>
          </cell>
        </row>
        <row r="95">
          <cell r="A95" t="str">
            <v>Cây mít giống đủ tiêu chuẩn mới trồng</v>
          </cell>
        </row>
        <row r="96">
          <cell r="A96" t="str">
            <v xml:space="preserve">Cây mít đường kính gốc 1cm ≤ Φ &lt; 2cm </v>
          </cell>
        </row>
        <row r="97">
          <cell r="A97" t="str">
            <v xml:space="preserve">Cây mít đường kính gốc 2cm ≤ Φ &lt; 5cm </v>
          </cell>
        </row>
        <row r="98">
          <cell r="A98" t="str">
            <v xml:space="preserve">Cây mít đường kính gốc 5cm ≤ Φ &lt; 7cm </v>
          </cell>
        </row>
        <row r="99">
          <cell r="A99" t="str">
            <v xml:space="preserve">Cây mít đường kính gốc 7cm ≤ Φ &lt; 9cm </v>
          </cell>
        </row>
        <row r="100">
          <cell r="A100" t="str">
            <v>Cây mít đường kính gốc 9cm ≤ Φ &lt; 12cm</v>
          </cell>
        </row>
        <row r="101">
          <cell r="A101" t="str">
            <v xml:space="preserve">Cây mít đường kính gốc 12cm ≤ Φ &lt; 15cm </v>
          </cell>
        </row>
        <row r="102">
          <cell r="A102" t="str">
            <v>Cây mít đường kính gốc 15cm ≤ Φ &lt; 20cm</v>
          </cell>
        </row>
        <row r="103">
          <cell r="A103" t="str">
            <v>Cây mít đường kính gốc 20cm ≤ Φ &lt; 25cm</v>
          </cell>
        </row>
        <row r="104">
          <cell r="A104" t="str">
            <v>Cây mít đường kính gốc 25cm ≤ Φ &lt; 35cm</v>
          </cell>
        </row>
        <row r="105">
          <cell r="A105" t="str">
            <v>Cây mít đường kính gốc 35cm ≤ Φ &lt; 50cm</v>
          </cell>
        </row>
        <row r="106">
          <cell r="A106" t="str">
            <v>Cây mít đường kính gốc Φ ≥ 50cm</v>
          </cell>
        </row>
        <row r="107">
          <cell r="A107" t="str">
            <v>Hồng xiêm (tính theo đường kính tán F)</v>
          </cell>
        </row>
        <row r="108">
          <cell r="A108" t="str">
            <v>Cây hồng xiêm giống đủ tiêu chuẩn  mới trồng</v>
          </cell>
        </row>
        <row r="109">
          <cell r="A109" t="str">
            <v>Cây hồng xiêm đường kính tán 0,7m ≤ Φ &lt; 1m</v>
          </cell>
        </row>
        <row r="110">
          <cell r="A110" t="str">
            <v>Cây hồng xiêm đường kính tán 1m ≤ Φ &lt; 1,5m</v>
          </cell>
        </row>
        <row r="111">
          <cell r="A111" t="str">
            <v>Cây hồng xiêm đường kính tán 1,5m ≤ Φ &lt; 2m</v>
          </cell>
        </row>
        <row r="112">
          <cell r="A112" t="str">
            <v>Cây hồng xiêm đường kính tán 2m ≤ Φ &lt; 3m</v>
          </cell>
        </row>
        <row r="113">
          <cell r="A113" t="str">
            <v>Cây hồng xiêm đường kính tán 3m ≤ Φ &lt; 4m</v>
          </cell>
        </row>
        <row r="114">
          <cell r="A114" t="str">
            <v>Cây hồng xiêm đường kính tán 4m ≤ Φ &lt; 5m</v>
          </cell>
        </row>
        <row r="115">
          <cell r="A115" t="str">
            <v>Cây hồng xiêm đường kính tán 5m ≤ Φ &lt; 6m</v>
          </cell>
        </row>
        <row r="116">
          <cell r="A116" t="str">
            <v>Cây hồng xiêm đường kính tán 6m ≤ Φ &lt; 7m</v>
          </cell>
        </row>
        <row r="117">
          <cell r="A117" t="str">
            <v>Cây hồng xiêm đường kính tán 7m ≤ Φ &lt; 8m</v>
          </cell>
        </row>
        <row r="118">
          <cell r="A118" t="str">
            <v>Cây hồng xiêm đường kính tán 8m ≤ Φ &lt; 9m</v>
          </cell>
        </row>
        <row r="119">
          <cell r="A119" t="str">
            <v>Cây hồng xiêm đường kính tán 9m ≤ Φ &lt; 12m</v>
          </cell>
        </row>
        <row r="120">
          <cell r="A120" t="str">
            <v>Cây hồng xiêm đường kính tán Φ ≥ 12m</v>
          </cell>
        </row>
        <row r="121">
          <cell r="A121" t="str">
            <v>Hồng ăn quả khác (tính theo đường kính gốc F)</v>
          </cell>
        </row>
        <row r="122">
          <cell r="A122" t="str">
            <v>Cây giống hồng ăn quả khác đủ tiêu chuẩn mới trồng, chiều cao cây H ≥ 40cm</v>
          </cell>
        </row>
        <row r="123">
          <cell r="A123" t="str">
            <v>Cây hồng ăn quả khác đường kính gốc 1cm ≤ Φ &lt; 2cm</v>
          </cell>
        </row>
        <row r="124">
          <cell r="A124" t="str">
            <v xml:space="preserve">Cây hồng ăn quả khác đường kính gốc 2cm ≤ Φ &lt; 5cm </v>
          </cell>
        </row>
        <row r="125">
          <cell r="A125" t="str">
            <v>Cây hồng ăn quả khác đường kính gốc 5cm ≤ Φ &lt; 7cm</v>
          </cell>
        </row>
        <row r="126">
          <cell r="A126" t="str">
            <v xml:space="preserve">Cây hồng ăn quả khác đường kính gốc 7cm ≤ Φ &lt; 9cm </v>
          </cell>
        </row>
        <row r="127">
          <cell r="A127" t="str">
            <v>Cây hồng ăn quả khác đường kính gốc 9cm ≤ Φ &lt; 12cm</v>
          </cell>
        </row>
        <row r="128">
          <cell r="A128" t="str">
            <v xml:space="preserve">Cây hồng ăn quả khác đường kính gốc 12cm ≤ Φ &lt; 15cm </v>
          </cell>
        </row>
        <row r="129">
          <cell r="A129" t="str">
            <v>Cây hồng ăn quả khác đường kính gốc 15cm ≤ Φ &lt; 20cm</v>
          </cell>
        </row>
        <row r="130">
          <cell r="A130" t="str">
            <v>Cây hồng ăn quả khác đường kính gốc 20cm ≤ Φ &lt; 25cm</v>
          </cell>
        </row>
        <row r="131">
          <cell r="A131" t="str">
            <v>Cây hồng ăn quả khác đường kính gốc 25cm ≤ Φ &lt; 30cm</v>
          </cell>
        </row>
        <row r="132">
          <cell r="A132" t="str">
            <v>Cây hồng ăn quả khác đường kính gốc 30cm ≤ Φ &lt; 35cm</v>
          </cell>
        </row>
        <row r="133">
          <cell r="A133" t="str">
            <v>Cây hồng ăn quả khác đường kính gốc Φ ≥ 35cm</v>
          </cell>
        </row>
        <row r="134">
          <cell r="A134" t="str">
            <v>Chanh, quýt, quất ăn quả (tính theo đường kính tán F)</v>
          </cell>
        </row>
        <row r="135">
          <cell r="A135" t="str">
            <v xml:space="preserve">Cây chanh giống đủ tiêu chuẩn mới trồng, chiều cao cây H ≥ 40cm </v>
          </cell>
        </row>
        <row r="136">
          <cell r="A136" t="str">
            <v>Cây chanh đường kính tán 0,7m ≤ Φ &lt; 1m</v>
          </cell>
        </row>
        <row r="137">
          <cell r="A137" t="str">
            <v>Cây chanh đường kính tán 1m ≤ Φ &lt; 1,5m</v>
          </cell>
        </row>
        <row r="138">
          <cell r="A138" t="str">
            <v>Cây chanh đường kính tán 1,5m ≤ Φ &lt; 2m</v>
          </cell>
        </row>
        <row r="139">
          <cell r="A139" t="str">
            <v>Cây chanh đường kính tán 2m ≤ Φ &lt; 3m</v>
          </cell>
        </row>
        <row r="140">
          <cell r="A140" t="str">
            <v>Cây chanh đường kính tán 3m ≤ Φ &lt; 4m</v>
          </cell>
        </row>
        <row r="141">
          <cell r="A141" t="str">
            <v>Cây chanh đường kính tán 4m ≤ Φ &lt; 5m</v>
          </cell>
        </row>
        <row r="142">
          <cell r="A142" t="str">
            <v>Cây chanh đường kính tán Φ ≥ 5m</v>
          </cell>
        </row>
        <row r="143">
          <cell r="A143" t="str">
            <v xml:space="preserve">Cây quýt giống đủ tiêu chuẩn mới trồng, chiều cao cây H ≥ 40cm </v>
          </cell>
        </row>
        <row r="144">
          <cell r="A144" t="str">
            <v>Cây quýt đường kính tán 0,7m ≤ Φ &lt; 1m</v>
          </cell>
        </row>
        <row r="145">
          <cell r="A145" t="str">
            <v>Cây quýt đường kính tán 1m ≤ Φ &lt; 1,5m</v>
          </cell>
        </row>
        <row r="146">
          <cell r="A146" t="str">
            <v>Cây quýt đường kính tán 1,5m ≤ Φ &lt; 2m</v>
          </cell>
        </row>
        <row r="147">
          <cell r="A147" t="str">
            <v>Cây quýt đường kính tán 2m ≤ Φ &lt; 3m</v>
          </cell>
        </row>
        <row r="148">
          <cell r="A148" t="str">
            <v>Cây quýt đường kính tán 3m ≤ Φ &lt; 4m</v>
          </cell>
        </row>
        <row r="149">
          <cell r="A149" t="str">
            <v>Cây quýt đường kính tán 4m ≤ Φ &lt; 5m</v>
          </cell>
        </row>
        <row r="150">
          <cell r="A150" t="str">
            <v>Cây quýt đường kính tán Φ ≥ 5m</v>
          </cell>
        </row>
        <row r="151">
          <cell r="A151" t="str">
            <v xml:space="preserve">Cây quất ăn quả giống đủ tiêu chuẩn mới trồng, chiều cao cây H ≥ 40cm </v>
          </cell>
        </row>
        <row r="152">
          <cell r="A152" t="str">
            <v>Cây quất ăn quả đường kính tán 0,7m ≤ Φ &lt; 1m</v>
          </cell>
        </row>
        <row r="153">
          <cell r="A153" t="str">
            <v>Cây quất ăn quả đường kính tán 1m ≤ Φ &lt; 1,5m</v>
          </cell>
        </row>
        <row r="154">
          <cell r="A154" t="str">
            <v>Cây quất ăn quả đường kính tán 1,5m ≤ Φ &lt; 2m</v>
          </cell>
        </row>
        <row r="155">
          <cell r="A155" t="str">
            <v>Cây quất ăn quả đường kính tán 2m ≤ Φ &lt; 3m</v>
          </cell>
        </row>
        <row r="156">
          <cell r="A156" t="str">
            <v>Cây quất ăn quả đường kính tán 3m ≤ Φ &lt; 4m</v>
          </cell>
        </row>
        <row r="157">
          <cell r="A157" t="str">
            <v>Cây quất ăn quả đường kính tán 4m ≤ Φ &lt; 5m</v>
          </cell>
        </row>
        <row r="158">
          <cell r="A158" t="str">
            <v>Cây quất ăn quả đường kính tán Φ ≥ 5m</v>
          </cell>
        </row>
        <row r="159">
          <cell r="A159" t="str">
            <v xml:space="preserve">Cam (tính theo đường kính tán lá F) </v>
          </cell>
        </row>
        <row r="160">
          <cell r="A160" t="str">
            <v>Cây giống đủ tiêu chuẩn mới trồng</v>
          </cell>
        </row>
        <row r="161">
          <cell r="A161" t="str">
            <v xml:space="preserve">Cây cam loại cây ghép có chiều cao cây 40cm ≤ Φ &lt; 1m  </v>
          </cell>
        </row>
        <row r="162">
          <cell r="A162" t="str">
            <v xml:space="preserve">Cây cam loại cây ghép có chiều cao cây  H ≥ 1m  </v>
          </cell>
        </row>
        <row r="163">
          <cell r="A163" t="str">
            <v xml:space="preserve">Cây cam loại cây chiết cành có chiều cao 40cm ≤ Φ &lt; 1m  </v>
          </cell>
        </row>
        <row r="164">
          <cell r="A164" t="str">
            <v xml:space="preserve">Cây cam loại cây chiết cành có chiều cao cây  H ≥ 1m  </v>
          </cell>
        </row>
        <row r="165">
          <cell r="A165" t="str">
            <v>Cây cam đường kính tán 0,7m ≤ Φ &lt; 1m</v>
          </cell>
        </row>
        <row r="166">
          <cell r="A166" t="str">
            <v>Cây cam đường kính tán 1m ≤ Φ &lt; 1,5m</v>
          </cell>
        </row>
        <row r="167">
          <cell r="A167" t="str">
            <v>Cây cam đường kính tán 1,5m ≤ Φ &lt; 2m</v>
          </cell>
        </row>
        <row r="168">
          <cell r="A168" t="str">
            <v>Cây cam đường kính tán 2m ≤ Φ &lt; 3m</v>
          </cell>
        </row>
        <row r="169">
          <cell r="A169" t="str">
            <v>Cây cam đường kính tán 3m ≤ Φ &lt; 4m</v>
          </cell>
        </row>
        <row r="170">
          <cell r="A170" t="str">
            <v>Cây cam đường kính tán 4m ≤ Φ &lt; 5m</v>
          </cell>
        </row>
        <row r="171">
          <cell r="A171" t="str">
            <v>Cây cam đường kính tán 5m ≤ Φ &lt; 6m</v>
          </cell>
        </row>
        <row r="172">
          <cell r="A172" t="str">
            <v>Cây cam đường kính tán Φ ≥ 6m</v>
          </cell>
        </row>
        <row r="173">
          <cell r="A173" t="str">
            <v>Bưởi (tính theo đường kính gốc F)</v>
          </cell>
        </row>
        <row r="174">
          <cell r="A174" t="str">
            <v>Cây giống đủ tiêu chuẩn mới trồng</v>
          </cell>
        </row>
        <row r="175">
          <cell r="A175" t="str">
            <v xml:space="preserve">Bưởi loại cây ghép có chiều cao cây 40cm ≤ H &lt; 1m  </v>
          </cell>
        </row>
        <row r="176">
          <cell r="A176" t="str">
            <v xml:space="preserve">Bưởi loại cây ghép có chiều cao cây  H ≥ 1m  </v>
          </cell>
        </row>
        <row r="177">
          <cell r="A177" t="str">
            <v xml:space="preserve">Bưởi loại cây chiết cành có chiều cao  40cm ≤ H &lt; 1m  </v>
          </cell>
        </row>
        <row r="178">
          <cell r="A178" t="str">
            <v xml:space="preserve">Bưởi loại cây chiết cành có chiều cao cây  H ≥ 1m  </v>
          </cell>
        </row>
        <row r="179">
          <cell r="A179" t="str">
            <v>Cây bưởi đường kính gốc 1cm ≤ Φ &lt; 2cm</v>
          </cell>
        </row>
        <row r="180">
          <cell r="A180" t="str">
            <v>Cây bưởi đường kính gốc 2cm ≤ Φ &lt; 5cm</v>
          </cell>
        </row>
        <row r="181">
          <cell r="A181" t="str">
            <v>Cây bưởi đường kính gốc 5cm ≤ Φ &lt; 7cm</v>
          </cell>
        </row>
        <row r="182">
          <cell r="A182" t="str">
            <v>Cây bưởi đường kính gốc 7cm ≤ Φ &lt; 9cm</v>
          </cell>
        </row>
        <row r="183">
          <cell r="A183" t="str">
            <v>Cây bưởi đường kính gốc 9cm ≤ Φ &lt; 12cm</v>
          </cell>
        </row>
        <row r="184">
          <cell r="A184" t="str">
            <v xml:space="preserve">Cây bưởi đường kính gốc 12cm ≤ Φ &lt; 15cm </v>
          </cell>
        </row>
        <row r="185">
          <cell r="A185" t="str">
            <v>Cây bưởi đường kính gốc 15cm ≤ Φ &lt; 20cm</v>
          </cell>
        </row>
        <row r="186">
          <cell r="A186" t="str">
            <v>Cây bưởi đường kính gốc 20cm ≤ Φ &lt; 25cm</v>
          </cell>
        </row>
        <row r="187">
          <cell r="A187" t="str">
            <v>Cây bưởi đường kính gốc Φ ≥ 25cm</v>
          </cell>
        </row>
        <row r="188">
          <cell r="A188" t="str">
            <v>Xoài, muỗm, quéo, thị (tính theo đường kính gốc F)</v>
          </cell>
        </row>
        <row r="189">
          <cell r="A189" t="str">
            <v>Cây xoài giống đủ tiêu chuẩn mới trồng, chiều cao cây H ≥ 40cm</v>
          </cell>
        </row>
        <row r="190">
          <cell r="A190" t="str">
            <v xml:space="preserve">Cây xoài đường kính gốc 1cm ≤ Φ &lt; 2cm </v>
          </cell>
        </row>
        <row r="191">
          <cell r="A191" t="str">
            <v>Cây xoài đường kính gốc 2cm ≤ Φ &lt; 5cm</v>
          </cell>
        </row>
        <row r="192">
          <cell r="A192" t="str">
            <v>Cây xoài đường kính gốc 5cm ≤ Φ &lt; 7cm</v>
          </cell>
        </row>
        <row r="193">
          <cell r="A193" t="str">
            <v>Cây xoài đường kính gốc 7cm ≤ Φ &lt; 9cm</v>
          </cell>
        </row>
        <row r="194">
          <cell r="A194" t="str">
            <v>Cây xoài đường kính gốc 9cm ≤ Φ &lt; 12cm</v>
          </cell>
        </row>
        <row r="195">
          <cell r="A195" t="str">
            <v xml:space="preserve">Cây xoài đường kính gốc 12cm ≤ Φ &lt; 15cm </v>
          </cell>
        </row>
        <row r="196">
          <cell r="A196" t="str">
            <v>Cây xoài đường kính gốc 15cm ≤ Φ &lt; 20cm</v>
          </cell>
        </row>
        <row r="197">
          <cell r="A197" t="str">
            <v>Cây xoài đường kính gốc 20cm ≤ Φ &lt; 25cm</v>
          </cell>
        </row>
        <row r="198">
          <cell r="A198" t="str">
            <v>Cây xoài đường kính gốc 25cm ≤ Φ &lt; 35cm</v>
          </cell>
        </row>
        <row r="199">
          <cell r="A199" t="str">
            <v>Cây xoài đường kính gốc 35cm ≤ Φ &lt; 50cm</v>
          </cell>
        </row>
        <row r="200">
          <cell r="A200" t="str">
            <v>Cây xoài đường kính gốc Φ ≥ 50cm</v>
          </cell>
        </row>
        <row r="201">
          <cell r="A201" t="str">
            <v>Cây muỗm giống đủ tiêu chuẩn mới trồng, chiều cao cây H ≥ 40cm</v>
          </cell>
        </row>
        <row r="202">
          <cell r="A202" t="str">
            <v xml:space="preserve">Cây muỗm đường kính gốc 1cm ≤ Φ &lt; 2cm </v>
          </cell>
        </row>
        <row r="203">
          <cell r="A203" t="str">
            <v>Cây muỗm đường kính gốc 2cm ≤ Φ &lt; 5cm</v>
          </cell>
        </row>
        <row r="204">
          <cell r="A204" t="str">
            <v>Cây muỗm đường kính gốc 5cm ≤ Φ &lt; 7cm</v>
          </cell>
        </row>
        <row r="205">
          <cell r="A205" t="str">
            <v>Cây muỗm đường kính gốc 7cm ≤ Φ &lt; 9cm</v>
          </cell>
        </row>
        <row r="206">
          <cell r="A206" t="str">
            <v>Cây muỗm đường kính gốc 9cm ≤ Φ &lt; 12cm</v>
          </cell>
        </row>
        <row r="207">
          <cell r="A207" t="str">
            <v xml:space="preserve">Cây muỗm đường kính gốc 12cm ≤ Φ &lt; 15cm </v>
          </cell>
        </row>
        <row r="208">
          <cell r="A208" t="str">
            <v>Cây muỗm đường kính gốc 15cm ≤ Φ &lt; 20cm</v>
          </cell>
        </row>
        <row r="209">
          <cell r="A209" t="str">
            <v>Cây muỗm đường kính gốc 20cm ≤ Φ &lt; 25cm</v>
          </cell>
        </row>
        <row r="210">
          <cell r="A210" t="str">
            <v>Cây muỗm đường kính gốc 25cm ≤ Φ &lt; 35cm</v>
          </cell>
        </row>
        <row r="211">
          <cell r="A211" t="str">
            <v>Cây muỗm đường kính gốc 35cm ≤ Φ &lt; 50cm</v>
          </cell>
        </row>
        <row r="212">
          <cell r="A212" t="str">
            <v>Cây muỗm đường kính gốc Φ ≥ 50cm</v>
          </cell>
        </row>
        <row r="213">
          <cell r="A213" t="str">
            <v>Cây quéo giống đủ tiêu chuẩn mới trồng, chiều cao cây H ≥ 40cm</v>
          </cell>
        </row>
        <row r="214">
          <cell r="A214" t="str">
            <v xml:space="preserve">Cây quéo đường kính gốc 1cm ≤ Φ &lt; 2cm </v>
          </cell>
        </row>
        <row r="215">
          <cell r="A215" t="str">
            <v>Cây quéo đường kính gốc 2cm ≤ Φ &lt; 5cm</v>
          </cell>
        </row>
        <row r="216">
          <cell r="A216" t="str">
            <v>Cây quéo đường kính gốc 5cm ≤ Φ &lt; 7cm</v>
          </cell>
        </row>
        <row r="217">
          <cell r="A217" t="str">
            <v>Cây quéo đường kính gốc 7cm ≤ Φ &lt; 9cm</v>
          </cell>
        </row>
        <row r="218">
          <cell r="A218" t="str">
            <v>Cây quéo đường kính gốc 9cm ≤ Φ &lt; 12cm</v>
          </cell>
        </row>
        <row r="219">
          <cell r="A219" t="str">
            <v xml:space="preserve">Cây quéo đường kính gốc 12cm ≤ Φ &lt; 15cm </v>
          </cell>
        </row>
        <row r="220">
          <cell r="A220" t="str">
            <v>Cây quéo đường kính gốc 15cm ≤ Φ &lt; 20cm</v>
          </cell>
        </row>
        <row r="221">
          <cell r="A221" t="str">
            <v>Cây quéo đường kính gốc 20cm ≤ Φ &lt; 25cm</v>
          </cell>
        </row>
        <row r="222">
          <cell r="A222" t="str">
            <v>Cây quéo đường kính gốc 25cm ≤ Φ &lt; 35cm</v>
          </cell>
        </row>
        <row r="223">
          <cell r="A223" t="str">
            <v>Cây quéo đường kính gốc 35cm ≤ Φ &lt; 50cm</v>
          </cell>
        </row>
        <row r="224">
          <cell r="A224" t="str">
            <v>Cây quéo đường kính gốc Φ ≥ 50cm</v>
          </cell>
        </row>
        <row r="225">
          <cell r="A225" t="str">
            <v>Cây thị giống đủ tiêu chuẩn mới trồng, chiều cao cây H ≥ 40cm</v>
          </cell>
        </row>
        <row r="226">
          <cell r="A226" t="str">
            <v xml:space="preserve">Cây thị đường kính gốc 1cm ≤ Φ &lt; 2cm </v>
          </cell>
        </row>
        <row r="227">
          <cell r="A227" t="str">
            <v>Cây thị đường kính gốc 2cm ≤ Φ &lt; 5cm</v>
          </cell>
        </row>
        <row r="228">
          <cell r="A228" t="str">
            <v>Cây thị đường kính gốc 5cm ≤ Φ &lt; 7cm</v>
          </cell>
        </row>
        <row r="229">
          <cell r="A229" t="str">
            <v>Cây thị đường kính gốc 7cm ≤ Φ &lt; 9cm</v>
          </cell>
        </row>
        <row r="230">
          <cell r="A230" t="str">
            <v>Cây thị đường kính gốc 9cm ≤ Φ &lt; 12cm</v>
          </cell>
        </row>
        <row r="231">
          <cell r="A231" t="str">
            <v xml:space="preserve">Cây thị đường kính gốc 12cm ≤ Φ &lt; 15cm </v>
          </cell>
        </row>
        <row r="232">
          <cell r="A232" t="str">
            <v>Cây thị đường kính gốc 15cm ≤ Φ &lt; 20cm</v>
          </cell>
        </row>
        <row r="233">
          <cell r="A233" t="str">
            <v>Cây thị đường kính gốc 20cm ≤ Φ &lt; 25cm</v>
          </cell>
        </row>
        <row r="234">
          <cell r="A234" t="str">
            <v>Cây thị đường kính gốc 25cm ≤ Φ &lt; 35cm</v>
          </cell>
        </row>
        <row r="235">
          <cell r="A235" t="str">
            <v>Cây thị đường kính gốc 35cm ≤ Φ &lt; 50cm</v>
          </cell>
        </row>
        <row r="236">
          <cell r="A236" t="str">
            <v>Cây thị đường kính gốc Φ ≥ 50cm</v>
          </cell>
        </row>
        <row r="237">
          <cell r="A237" t="str">
            <v>Dừa (tính theo đường kính gốc F)</v>
          </cell>
        </row>
        <row r="238">
          <cell r="A238" t="str">
            <v>Cây dừa giống đủ tiêu chuẩn mới trồng</v>
          </cell>
        </row>
        <row r="239">
          <cell r="A239" t="str">
            <v>Cây dừa đường kính gốc 7cm ≤ Φ &lt; 9cm</v>
          </cell>
        </row>
        <row r="240">
          <cell r="A240" t="str">
            <v>Cây dừa đường kính gốc 9cm ≤ Φ &lt; 12cm</v>
          </cell>
        </row>
        <row r="241">
          <cell r="A241" t="str">
            <v>Cây dừa đường kính gốc 12cm ≤ Φ &lt; 15cm</v>
          </cell>
        </row>
        <row r="242">
          <cell r="A242" t="str">
            <v>Cây dừa đường kính gốc 15cm ≤ Φ &lt; 20cm</v>
          </cell>
        </row>
        <row r="243">
          <cell r="A243" t="str">
            <v>Cây dừa đường kính gốc 20cm ≤ Φ &lt; 25cm</v>
          </cell>
        </row>
        <row r="244">
          <cell r="A244" t="str">
            <v>Cây dừa đường kính gốc 25cm ≤ Φ &lt; 30cm</v>
          </cell>
        </row>
        <row r="245">
          <cell r="A245" t="str">
            <v>Cây dừa đường kính gốc 30cm ≤ Φ &lt; 35cm</v>
          </cell>
        </row>
        <row r="246">
          <cell r="A246" t="str">
            <v>Cây dừa đường kính gốc 35cm ≤ Φ &lt; 50cm</v>
          </cell>
        </row>
        <row r="247">
          <cell r="A247" t="str">
            <v>Cây dừa đường kính gốc Φ ≥ 50cm</v>
          </cell>
        </row>
        <row r="248">
          <cell r="A248" t="str">
            <v>Na (tính theo đường kính gốc F)</v>
          </cell>
        </row>
        <row r="249">
          <cell r="A249" t="str">
            <v>Cây na giống đủ tiêu chuẩn mới trồng, chiều cao cây H ≥ 40cm</v>
          </cell>
        </row>
        <row r="250">
          <cell r="A250" t="str">
            <v>Cây na đường kính gốc 1cm ≤ Φ &lt; 2cm</v>
          </cell>
        </row>
        <row r="251">
          <cell r="A251" t="str">
            <v>Cây na đường kính gốc 2cm ≤ Φ &lt; 5cm</v>
          </cell>
        </row>
        <row r="252">
          <cell r="A252" t="str">
            <v>Cây na đường kính gốc 5cm ≤ Φ &lt; 7cm</v>
          </cell>
        </row>
        <row r="253">
          <cell r="A253" t="str">
            <v xml:space="preserve">Cây na đường kính gốc 7cm ≤ Φ &lt; 9cm </v>
          </cell>
        </row>
        <row r="254">
          <cell r="A254" t="str">
            <v>Cây na đường kính gốc 9cm ≤ Φ &lt; 12cm</v>
          </cell>
        </row>
        <row r="255">
          <cell r="A255" t="str">
            <v>Cây na đường kính gốc 12cm ≤ Φ &lt; 15cm</v>
          </cell>
        </row>
        <row r="256">
          <cell r="A256" t="str">
            <v>Cây na đường kính gốc Φ ≥ 15cm</v>
          </cell>
        </row>
        <row r="257">
          <cell r="A257" t="str">
            <v>Dâu da (tính theo đường kính gốc F)</v>
          </cell>
        </row>
        <row r="258">
          <cell r="A258" t="str">
            <v>Cây dâu da giống đủ tiêu chuẩn mới trồng, chiều cao cây H ≥ 40cm</v>
          </cell>
        </row>
        <row r="259">
          <cell r="A259" t="str">
            <v>Cây dâu da đường kính gốc 1cm ≤ Φ &lt; 2cm</v>
          </cell>
        </row>
        <row r="260">
          <cell r="A260" t="str">
            <v>Cây dâu da đường kính gốc 2cm ≤ Φ &lt; 5cm</v>
          </cell>
        </row>
        <row r="261">
          <cell r="A261" t="str">
            <v>Cây dâu da đường kính gốc 5cm ≤ Φ &lt; 7cm</v>
          </cell>
        </row>
        <row r="262">
          <cell r="A262" t="str">
            <v>Cây dâu da đường kính gốc 7cm ≤ Φ &lt; 9cm</v>
          </cell>
        </row>
        <row r="263">
          <cell r="A263" t="str">
            <v>Cây dâu da đường kính gốc 9cm ≤ Φ &lt; 12cm</v>
          </cell>
        </row>
        <row r="264">
          <cell r="A264" t="str">
            <v>Cây dâu da đường kính gốc 12cm ≤ Φ &lt; 15cm</v>
          </cell>
        </row>
        <row r="265">
          <cell r="A265" t="str">
            <v>Cây dâu da đường kính gốc 15cm ≤ Φ &lt; 20cm</v>
          </cell>
        </row>
        <row r="266">
          <cell r="A266" t="str">
            <v>Cây dâu da đường kính gốc 20cm ≤ Φ &lt; 25cm</v>
          </cell>
        </row>
        <row r="267">
          <cell r="A267" t="str">
            <v>Cây dâu da đường kính gốc 25cm ≤ Φ &lt; 35cm</v>
          </cell>
        </row>
        <row r="268">
          <cell r="A268" t="str">
            <v>Cây dâu da đường kính gốc 35cm ≤ Φ &lt; 50cm</v>
          </cell>
        </row>
        <row r="269">
          <cell r="A269" t="str">
            <v>Cây dâu da đường kính gốc Φ ≥ 50cm</v>
          </cell>
        </row>
        <row r="270">
          <cell r="A270" t="str">
            <v xml:space="preserve">Bồ kết (tính theo đường kính gốc F) </v>
          </cell>
        </row>
        <row r="271">
          <cell r="A271" t="str">
            <v>Cây bồ kết giống đủ tiêu chuẩn mới trồng, chiều cao cây H ≥ 40cm</v>
          </cell>
        </row>
        <row r="272">
          <cell r="A272" t="str">
            <v>Cây bồ kết đường kính gốc 1cm ≤ Φ &lt; 2cm</v>
          </cell>
        </row>
        <row r="273">
          <cell r="A273" t="str">
            <v>Cây bồ kết đường kính gốc 2cm ≤ Φ &lt; 5cm</v>
          </cell>
        </row>
        <row r="274">
          <cell r="A274" t="str">
            <v>Cây bồ kết đường kính gốc 5cm ≤ Φ &lt; 7cm</v>
          </cell>
        </row>
        <row r="275">
          <cell r="A275" t="str">
            <v>Cây bồ kết đường kính gốc 7cm ≤ Φ &lt; 9cm</v>
          </cell>
        </row>
        <row r="276">
          <cell r="A276" t="str">
            <v>Cây bồ kết đường kính gốc 9cm ≤ Φ &lt; 12cm</v>
          </cell>
        </row>
        <row r="277">
          <cell r="A277" t="str">
            <v>Cây bồ kết đường kính gốc 12cm ≤ Φ &lt; 15cm</v>
          </cell>
        </row>
        <row r="278">
          <cell r="A278" t="str">
            <v>Cây bồ kết đường kính gốc 15cm ≤ Φ &lt; 20cm</v>
          </cell>
        </row>
        <row r="279">
          <cell r="A279" t="str">
            <v>Cây bồ kết đường kính gốc 20cm ≤ Φ &lt; 25cm</v>
          </cell>
        </row>
        <row r="280">
          <cell r="A280" t="str">
            <v>Cây bồ kết đường kính gốc 25cm ≤ Φ &lt; 30cm</v>
          </cell>
        </row>
        <row r="281">
          <cell r="A281" t="str">
            <v>Cây bồ kết đường kính gốc 30cm ≤ Φ &lt; 35cm</v>
          </cell>
        </row>
        <row r="282">
          <cell r="A282" t="str">
            <v>Cây bồ kết đường kính gốc 35cm ≤ Φ &lt; 50cm</v>
          </cell>
        </row>
        <row r="283">
          <cell r="A283" t="str">
            <v>Cây bồ kết đường kính gốc Φ ≥ 50cm</v>
          </cell>
        </row>
        <row r="284">
          <cell r="A284" t="str">
            <v>Trứng gà (tính theo đường kính gốc F)</v>
          </cell>
        </row>
        <row r="285">
          <cell r="A285" t="str">
            <v>Cây trứng gà giống đủ tiêu chuẩn mới trồng, chiều cao cây H ≥ 40cm</v>
          </cell>
        </row>
        <row r="286">
          <cell r="A286" t="str">
            <v>Cây trứng gà đường kính gốc 1cm ≤ Φ &lt; 2cm</v>
          </cell>
        </row>
        <row r="287">
          <cell r="A287" t="str">
            <v>Cây trứng gà đường kính gốc 2cm ≤ Φ &lt; 5cm</v>
          </cell>
        </row>
        <row r="288">
          <cell r="A288" t="str">
            <v>Cây trứng gà đường kính gốc 5cm ≤ Φ &lt; 7cm</v>
          </cell>
        </row>
        <row r="289">
          <cell r="A289" t="str">
            <v>Cây trứng gà đường kính gốc 7cm ≤ Φ &lt; 9cm</v>
          </cell>
        </row>
        <row r="290">
          <cell r="A290" t="str">
            <v>Cây trứng gà đường kính gốc 9cm ≤ Φ &lt; 12cm</v>
          </cell>
        </row>
        <row r="291">
          <cell r="A291" t="str">
            <v>Cây trứng gà đường kính gốc 12cm ≤ Φ &lt; 15cm</v>
          </cell>
        </row>
        <row r="292">
          <cell r="A292" t="str">
            <v>Cây trứng gà đường kính gốc 15cm ≤ Φ &lt; 20cm</v>
          </cell>
        </row>
        <row r="293">
          <cell r="A293" t="str">
            <v>Cây trứng gà đường kính gốc 20cm ≤ Φ &lt; 25cm</v>
          </cell>
        </row>
        <row r="294">
          <cell r="A294" t="str">
            <v>Cây trứng gà đường kính gốc 25cm ≤ Φ &lt; 30cm</v>
          </cell>
        </row>
        <row r="295">
          <cell r="A295" t="str">
            <v>Cây trứng gà đường kính gốc 30cm ≤ Φ &lt; 35cm</v>
          </cell>
        </row>
        <row r="296">
          <cell r="A296" t="str">
            <v>Cây trứng gà đường kính gốc Φ ≥ 35cm</v>
          </cell>
        </row>
        <row r="297">
          <cell r="A297" t="str">
            <v>Táo (tính theo đường kính gốc F)</v>
          </cell>
        </row>
        <row r="298">
          <cell r="A298" t="str">
            <v>Cây giống đủ tiêu chuẩn mới trồng</v>
          </cell>
        </row>
        <row r="299">
          <cell r="A299" t="str">
            <v xml:space="preserve">Cây táo loại cây ghép có chiều cao cây 40cm ≤ H &lt; 1m  </v>
          </cell>
        </row>
        <row r="300">
          <cell r="A300" t="str">
            <v xml:space="preserve">Cây táo loại cây ghép có chiều cao cây  H ≥ 1m  </v>
          </cell>
        </row>
        <row r="301">
          <cell r="A301" t="str">
            <v>Cây táo đường kính gốc 1cm ≤ Φ &lt; 2cm</v>
          </cell>
        </row>
        <row r="302">
          <cell r="A302" t="str">
            <v>Cây táo đường kính gốc 2cm ≤ Φ &lt; 5cm</v>
          </cell>
        </row>
        <row r="303">
          <cell r="A303" t="str">
            <v>Cây táo đường kính gốc 5cm ≤ Φ &lt; 7cm</v>
          </cell>
        </row>
        <row r="304">
          <cell r="A304" t="str">
            <v>Cây táo đường kính gốc 7cm ≤ Φ &lt; 9cm</v>
          </cell>
        </row>
        <row r="305">
          <cell r="A305" t="str">
            <v>Cây táo đường kính gốc 9cm ≤ Φ &lt; 12cm</v>
          </cell>
        </row>
        <row r="306">
          <cell r="A306" t="str">
            <v>Cây táo đường kính gốc 12cm ≤ Φ &lt; 15cm</v>
          </cell>
        </row>
        <row r="307">
          <cell r="A307" t="str">
            <v>Cây táo đường kính gốc 15cm ≤ Φ &lt; 20cm</v>
          </cell>
        </row>
        <row r="308">
          <cell r="A308" t="str">
            <v>Cây táo đường kính gốc 20cm ≤ Φ &lt; 25cm</v>
          </cell>
        </row>
        <row r="309">
          <cell r="A309" t="str">
            <v>Cây táo đường kính gốc Φ ≥ 25cm</v>
          </cell>
        </row>
        <row r="310">
          <cell r="A310" t="str">
            <v>Ổi (tính theo đường kính gốc F)</v>
          </cell>
        </row>
        <row r="311">
          <cell r="A311" t="str">
            <v>Cây giống đủ tiêu chuẩn mới trồng</v>
          </cell>
        </row>
        <row r="312">
          <cell r="A312" t="str">
            <v xml:space="preserve">Cây ổi loại cây ghép có chiều cao cây 40cm ≤ H &lt; 1m </v>
          </cell>
        </row>
        <row r="313">
          <cell r="A313" t="str">
            <v xml:space="preserve">Cây ổi loại cây ghép có chiều cao cây  H ≥ 1m  </v>
          </cell>
        </row>
        <row r="314">
          <cell r="A314" t="str">
            <v xml:space="preserve">Cây ổi loại cây chiết có chiều cao cây 40cm ≤ H &lt; 1m  </v>
          </cell>
        </row>
        <row r="315">
          <cell r="A315" t="str">
            <v>Cây ổi đường kính gốc 1cm ≤ Φ &lt; 2cm</v>
          </cell>
        </row>
        <row r="316">
          <cell r="A316" t="str">
            <v>Cây ổi đường kính gốc 2cm ≤ Φ &lt; 5cm</v>
          </cell>
        </row>
        <row r="317">
          <cell r="A317" t="str">
            <v>Cây ổi đường kính gốc 5cm ≤ Φ &lt; 7cm</v>
          </cell>
        </row>
        <row r="318">
          <cell r="A318" t="str">
            <v>Cây ổi đường kính gốc 7cm ≤ Φ &lt; 9cm</v>
          </cell>
        </row>
        <row r="319">
          <cell r="A319" t="str">
            <v>Cây ổi đường kính gốc 9cm ≤ Φ &lt; 12cm</v>
          </cell>
        </row>
        <row r="320">
          <cell r="A320" t="str">
            <v>Cây ổi đường kính gốc 12cm ≤ Φ &lt; 15cm</v>
          </cell>
        </row>
        <row r="321">
          <cell r="A321" t="str">
            <v>Cây ổi đường kính gốc 15cm ≤ Φ &lt; 20cm</v>
          </cell>
        </row>
        <row r="322">
          <cell r="A322" t="str">
            <v>Cây ổi đường kính gốc 20cm ≤ Φ &lt; 25cm</v>
          </cell>
        </row>
        <row r="323">
          <cell r="A323" t="str">
            <v>Cây ổi đường kính gốc Φ ≥ 25cm</v>
          </cell>
        </row>
        <row r="324">
          <cell r="A324" t="str">
            <v>Chay (tính theo đường kính gốc F)</v>
          </cell>
        </row>
        <row r="325">
          <cell r="A325" t="str">
            <v>Cây chay giống đủ tiêu chuẩn mới trồng, chiều cao cây H ≥ 40cm</v>
          </cell>
        </row>
        <row r="326">
          <cell r="A326" t="str">
            <v>Cây chay đường kính gốc 1cm ≤ Φ &lt; 2cm</v>
          </cell>
        </row>
        <row r="327">
          <cell r="A327" t="str">
            <v>Cây chay đường kính gốc 2cm ≤ Φ &lt; 5cm</v>
          </cell>
        </row>
        <row r="328">
          <cell r="A328" t="str">
            <v>Cây chay đường kính gốc 5cm ≤ Φ &lt; 7cm</v>
          </cell>
        </row>
        <row r="329">
          <cell r="A329" t="str">
            <v>Cây chay đường kính gốc 7cm ≤ Φ &lt; 9cm</v>
          </cell>
        </row>
        <row r="330">
          <cell r="A330" t="str">
            <v>Cây chay đường kính gốc 9cm ≤ Φ &lt; 12cm</v>
          </cell>
        </row>
        <row r="331">
          <cell r="A331" t="str">
            <v>Cây chay đường kính gốc 12cm ≤ Φ &lt; 15cm</v>
          </cell>
        </row>
        <row r="332">
          <cell r="A332" t="str">
            <v>Cây chay đường kính gốc 15cm ≤ Φ &lt; 20cm</v>
          </cell>
        </row>
        <row r="333">
          <cell r="A333" t="str">
            <v>Cây chay đường kính gốc 20cm ≤ Φ &lt; 30cm</v>
          </cell>
        </row>
        <row r="334">
          <cell r="A334" t="str">
            <v>Cây chay đường kính gốc 30cm ≤ Φ &lt; 50cm</v>
          </cell>
        </row>
        <row r="335">
          <cell r="A335" t="str">
            <v>Cây chay đường kính gốc Φ ≥ 50cm</v>
          </cell>
        </row>
        <row r="336">
          <cell r="A336" t="str">
            <v xml:space="preserve">Khế (tính theo đường kính gốc F) </v>
          </cell>
        </row>
        <row r="337">
          <cell r="A337" t="str">
            <v>Cây giống đủ tiêu chuẩn mới trồng</v>
          </cell>
        </row>
        <row r="338">
          <cell r="A338" t="str">
            <v xml:space="preserve">Cây khế loại cây ghép có chiều cao cây 40cm ≤ H &lt; 1m  </v>
          </cell>
        </row>
        <row r="339">
          <cell r="A339" t="str">
            <v xml:space="preserve">Cây khế loại cây ghép có chiều cao cây  H ≥ 1m  </v>
          </cell>
        </row>
        <row r="340">
          <cell r="A340" t="str">
            <v>Cây khế đường kính gốc 1cm ≤ Φ &lt; 2cm</v>
          </cell>
        </row>
        <row r="341">
          <cell r="A341" t="str">
            <v>Cây khế đường kính gốc 2cm ≤ Φ &lt; 5cm</v>
          </cell>
        </row>
        <row r="342">
          <cell r="A342" t="str">
            <v>Cây khế đường kính gốc 5cm ≤ Φ &lt; 7cm</v>
          </cell>
        </row>
        <row r="343">
          <cell r="A343" t="str">
            <v>Cây khế đường kính gốc 7cm ≤ Φ &lt; 9cm</v>
          </cell>
        </row>
        <row r="344">
          <cell r="A344" t="str">
            <v>Cây khế đường kính gốc 9cm ≤ Φ &lt; 12cm</v>
          </cell>
        </row>
        <row r="345">
          <cell r="A345" t="str">
            <v>Cây khế đường kính gốc 12cm ≤ Φ &lt; 15cm</v>
          </cell>
        </row>
        <row r="346">
          <cell r="A346" t="str">
            <v>Cây khế đường kính gốc 15cm ≤ Φ &lt; 20cm</v>
          </cell>
        </row>
        <row r="347">
          <cell r="A347" t="str">
            <v>Cây khế đường kính gốc 20cm ≤ Φ &lt; 25cm</v>
          </cell>
        </row>
        <row r="348">
          <cell r="A348" t="str">
            <v>Cây khế đường kính gốc  Φ ≥ 25cm</v>
          </cell>
        </row>
        <row r="349">
          <cell r="A349" t="str">
            <v xml:space="preserve">Me (tính theo đường kính gốc F) </v>
          </cell>
        </row>
        <row r="350">
          <cell r="A350" t="str">
            <v xml:space="preserve">Cây me giống đủ tiêu chuẩn mới trồng, chiều cao cây H ≥ 40cm </v>
          </cell>
        </row>
        <row r="351">
          <cell r="A351" t="str">
            <v>Cây me đường kính gốc 1cm ≤ Φ &lt; 2cm</v>
          </cell>
        </row>
        <row r="352">
          <cell r="A352" t="str">
            <v>Cây me đường kính gốc 2cm ≤ Φ &lt; 5cm</v>
          </cell>
        </row>
        <row r="353">
          <cell r="A353" t="str">
            <v>Cây me đường kính gốc 5cm ≤ Φ &lt; 7cm</v>
          </cell>
        </row>
        <row r="354">
          <cell r="A354" t="str">
            <v>Cây me đường kính gốc 7cm ≤ Φ &lt; 9cm</v>
          </cell>
        </row>
        <row r="355">
          <cell r="A355" t="str">
            <v>Cây me đường kính gốc 9cm ≤ Φ &lt; 12cm</v>
          </cell>
        </row>
        <row r="356">
          <cell r="A356" t="str">
            <v>Cây me đường kính gốc 12cm ≤ Φ &lt; 15cm</v>
          </cell>
        </row>
        <row r="357">
          <cell r="A357" t="str">
            <v>Cây me đường kính gốc 15cm ≤ Φ &lt; 20cm</v>
          </cell>
        </row>
        <row r="358">
          <cell r="A358" t="str">
            <v>Cây me đường kính gốc 20cm ≤ Φ &lt; 25cm</v>
          </cell>
        </row>
        <row r="359">
          <cell r="A359" t="str">
            <v>Cây me đường kính gốc 25cm ≤ Φ &lt; 30cm</v>
          </cell>
        </row>
        <row r="360">
          <cell r="A360" t="str">
            <v>Cây me đường kính gốc 30cm ≤ Φ &lt; 35cm</v>
          </cell>
        </row>
        <row r="361">
          <cell r="A361" t="str">
            <v>Cây me đường kính gốc 35cm ≤ Φ &lt; 50cm</v>
          </cell>
        </row>
        <row r="362">
          <cell r="A362" t="str">
            <v>Cây me đường kính gốc Φ ≥ 50cm</v>
          </cell>
        </row>
        <row r="363">
          <cell r="A363" t="str">
            <v>Mơ, mận (tính theo đường kính gốc F)</v>
          </cell>
        </row>
        <row r="364">
          <cell r="A364" t="str">
            <v>Cây mơ, mận giống đủ tiêu chuẩn mới trồng, chiều cao cây H ≥ 40cm</v>
          </cell>
        </row>
        <row r="365">
          <cell r="A365" t="str">
            <v>Cây mơ, mận đường kính gốc 1cm ≤ Φ &lt; 2cm</v>
          </cell>
        </row>
        <row r="366">
          <cell r="A366" t="str">
            <v>Cây mơ, mận đường kính gốc 2cm ≤ Φ &lt; 5cm</v>
          </cell>
        </row>
        <row r="367">
          <cell r="A367" t="str">
            <v>Cây mơ, mận đường kính gốc 5cm ≤ Φ &lt; 7cm</v>
          </cell>
        </row>
        <row r="368">
          <cell r="A368" t="str">
            <v>Cây mơ, mận đường kính gốc 7cm ≤ Φ &lt; 9cm</v>
          </cell>
        </row>
        <row r="369">
          <cell r="A369" t="str">
            <v>Cây mơ, mận đường kính gốc 9cm ≤ Φ &lt; 12cm</v>
          </cell>
        </row>
        <row r="370">
          <cell r="A370" t="str">
            <v>Cây mơ, mận đường kính gốc 12cm ≤ Φ &lt; 15cm</v>
          </cell>
        </row>
        <row r="371">
          <cell r="A371" t="str">
            <v>Cây mơ, mận đường kính gốc 15cm ≤ Φ &lt; 20cm</v>
          </cell>
        </row>
        <row r="372">
          <cell r="A372" t="str">
            <v>Cây mơ, mận đường kính gốc 20cm ≤ Φ &lt; 25cm</v>
          </cell>
        </row>
        <row r="373">
          <cell r="A373" t="str">
            <v>Cây mơ, mận đường kính gốc Φ ≥ 25cm</v>
          </cell>
        </row>
        <row r="374">
          <cell r="A374" t="str">
            <v xml:space="preserve">Cau ăn quả (tính theo đường kính gốc F) </v>
          </cell>
        </row>
        <row r="375">
          <cell r="A375" t="str">
            <v>Cây cau giống đủ tiêu chuẩn mới trồng, chiều cao cây H ≥ 40cm</v>
          </cell>
        </row>
        <row r="376">
          <cell r="A376" t="str">
            <v>Cây cau đường kính gốc 1cm ≤ Φ &lt; 2cm</v>
          </cell>
        </row>
        <row r="377">
          <cell r="A377" t="str">
            <v>Cây cau đường kính gốc 2cm ≤ Φ &lt; 5cm</v>
          </cell>
        </row>
        <row r="378">
          <cell r="A378" t="str">
            <v>Cây cau đường kính gốc 5cm ≤ Φ &lt; 7cm</v>
          </cell>
        </row>
        <row r="379">
          <cell r="A379" t="str">
            <v>Cây cau đường kính gốc 7cm ≤ Φ &lt; 9cm</v>
          </cell>
        </row>
        <row r="380">
          <cell r="A380" t="str">
            <v>Cây cau đường kính gốc 9cm ≤ Φ &lt; 12cm</v>
          </cell>
        </row>
        <row r="381">
          <cell r="A381" t="str">
            <v>Cây cau đường kính gốc 12cm ≤ Φ &lt; 15cm</v>
          </cell>
        </row>
        <row r="382">
          <cell r="A382" t="str">
            <v>Cây cau đường kính gốc 15cm ≤ Φ &lt; 20cm</v>
          </cell>
        </row>
        <row r="383">
          <cell r="A383" t="str">
            <v>Cây cau đường kính gốc Φ ≥ 20cm</v>
          </cell>
        </row>
        <row r="384">
          <cell r="A384" t="str">
            <v xml:space="preserve">Vú sữa (tính theo đường kính gốc F) </v>
          </cell>
        </row>
        <row r="385">
          <cell r="A385" t="str">
            <v>Cây vú sữa giống đủ tiêu chuẩn mới trồng, chiều cao cây H ≥ 40cm</v>
          </cell>
        </row>
        <row r="386">
          <cell r="A386" t="str">
            <v>Cây vú sữa đường kính gốc 1cm ≤ Φ &lt; 2cm</v>
          </cell>
        </row>
        <row r="387">
          <cell r="A387" t="str">
            <v>Cây vú sữa đường kính gốc 2cm ≤ Φ &lt; 5cm</v>
          </cell>
        </row>
        <row r="388">
          <cell r="A388" t="str">
            <v>Cây vú sữa đường kính gốc 5cm ≤ Φ &lt; 7cm</v>
          </cell>
        </row>
        <row r="389">
          <cell r="A389" t="str">
            <v>Cây vú sữa đường kính gốc 7cm ≤ Φ &lt; 9cm</v>
          </cell>
        </row>
        <row r="390">
          <cell r="A390" t="str">
            <v>Cây vú sữa đường kính gốc 9cm ≤ Φ &lt; 12cm</v>
          </cell>
        </row>
        <row r="391">
          <cell r="A391" t="str">
            <v>Cây vú sữa đường kính gốc 12cm ≤ Φ &lt; 15cm</v>
          </cell>
        </row>
        <row r="392">
          <cell r="A392" t="str">
            <v>Cây vú sữa đường kính gốc 15cm ≤ Φ &lt; 20cm</v>
          </cell>
        </row>
        <row r="393">
          <cell r="A393" t="str">
            <v>Cây vú sữa đường kính gốc 20cm ≤ Φ &lt; 25cm</v>
          </cell>
        </row>
        <row r="394">
          <cell r="A394" t="str">
            <v>Cây vú sữa đường kính gốc 25cm ≤ Φ &lt; 30cm</v>
          </cell>
        </row>
        <row r="395">
          <cell r="A395" t="str">
            <v>Cây vú sữa đường kính gốc 30cm ≤ Φ &lt; 35cm</v>
          </cell>
        </row>
        <row r="396">
          <cell r="A396" t="str">
            <v>Cây vú sữa đường kính gốc 35cm ≤ Φ &lt; 50cm</v>
          </cell>
        </row>
        <row r="397">
          <cell r="A397" t="str">
            <v>Cây vú sữa đường kính gốc Φ ≥ 50cm</v>
          </cell>
        </row>
        <row r="398">
          <cell r="A398" t="str">
            <v>Đu đủ (tính theo đường kính gốc F)</v>
          </cell>
        </row>
        <row r="399">
          <cell r="A399" t="str">
            <v xml:space="preserve">Cây đu đủ giống đủ tiêu chuẩn mới trồng, chiều cao cây H ≥ 40cm </v>
          </cell>
        </row>
        <row r="400">
          <cell r="A400" t="str">
            <v>Cây đu đủ đường kính gốc 2cm ≤ Φ &lt; 5cm</v>
          </cell>
        </row>
        <row r="401">
          <cell r="A401" t="str">
            <v>Cây đu đủ đường kính gốc 5cm ≤ Φ &lt; 9cm</v>
          </cell>
        </row>
        <row r="402">
          <cell r="A402" t="str">
            <v>Cây đu đủ đường kính gốc 9cm ≤ Φ &lt; 12cm</v>
          </cell>
        </row>
        <row r="403">
          <cell r="A403" t="str">
            <v>Cây đu đủ đường kính gốc 12cm ≤ Φ &lt; 15cm</v>
          </cell>
        </row>
        <row r="404">
          <cell r="A404" t="str">
            <v>Cây đu đủ đường kính gốc 15cm ≤ Φ &lt; 20cm</v>
          </cell>
        </row>
        <row r="405">
          <cell r="A405" t="str">
            <v>Cây đu đủ đường kính gốc Φ ≥ 20cm</v>
          </cell>
        </row>
        <row r="406">
          <cell r="A406" t="str">
            <v xml:space="preserve">Roi (tính theo đường kính tán F) </v>
          </cell>
        </row>
        <row r="407">
          <cell r="A407" t="str">
            <v>Cây roi giống đủ tiêu chuẩn mới trồng</v>
          </cell>
        </row>
        <row r="408">
          <cell r="A408" t="str">
            <v>Cây roi đường kính tán 0,7m ≤ Φ &lt; 1m</v>
          </cell>
        </row>
        <row r="409">
          <cell r="A409" t="str">
            <v>Cây roi đường kính tán 1m ≤ Φ &lt; 1,5m</v>
          </cell>
        </row>
        <row r="410">
          <cell r="A410" t="str">
            <v>Cây roi đường kính tán 1,5m ≤ Φ &lt; 2m</v>
          </cell>
        </row>
        <row r="411">
          <cell r="A411" t="str">
            <v>Cây roi đường kính tán 2m ≤ Φ &lt; 3m</v>
          </cell>
        </row>
        <row r="412">
          <cell r="A412" t="str">
            <v>Cây roi đường kính tán 3m ≤ Φ &lt; 4m</v>
          </cell>
        </row>
        <row r="413">
          <cell r="A413" t="str">
            <v>Cây roi đường kính tán 4m ≤ Φ &lt; 5m</v>
          </cell>
        </row>
        <row r="414">
          <cell r="A414" t="str">
            <v>Cây roi đường kính tán 5m ≤ Φ &lt; 6m</v>
          </cell>
        </row>
        <row r="415">
          <cell r="A415" t="str">
            <v>Cây roi đường kính tán 6m ≤ Φ &lt; 7m</v>
          </cell>
        </row>
        <row r="416">
          <cell r="A416" t="str">
            <v>Cây roi đường kính tán 7m ≤ Φ &lt; 8m</v>
          </cell>
        </row>
        <row r="417">
          <cell r="A417" t="str">
            <v>Cây roi đường kính tán 8m ≤ Φ &lt; 9m</v>
          </cell>
        </row>
        <row r="418">
          <cell r="A418" t="str">
            <v>Cây roi đường kính tán 9m ≤ Φ &lt; 12m</v>
          </cell>
        </row>
        <row r="419">
          <cell r="A419" t="str">
            <v>Cây roi đường kính tán Φ ≥ 12m</v>
          </cell>
        </row>
        <row r="420">
          <cell r="A420" t="str">
            <v>Sấu (tính theo đường kính gốc F)</v>
          </cell>
        </row>
        <row r="421">
          <cell r="A421" t="str">
            <v>Cây sấu giống đủ tiêu chuẩn mới trồng, chiều cao cây H ≥ 40cm</v>
          </cell>
        </row>
        <row r="422">
          <cell r="A422" t="str">
            <v>Cây sấu đường kính gốc 1cm ≤ Φ &lt; 2cm</v>
          </cell>
        </row>
        <row r="423">
          <cell r="A423" t="str">
            <v>Cây sấu đường kính gốc 2cm ≤ Φ &lt; 5cm</v>
          </cell>
        </row>
        <row r="424">
          <cell r="A424" t="str">
            <v>Cây sấu đường kính gốc 5cm ≤ Φ &lt; 7cm</v>
          </cell>
        </row>
        <row r="425">
          <cell r="A425" t="str">
            <v>Cây sấu đường kính gốc 7cm ≤ Φ &lt; 9cm</v>
          </cell>
        </row>
        <row r="426">
          <cell r="A426" t="str">
            <v>Cây sấu đường kính gốc 9cm ≤ Φ &lt; 12cm</v>
          </cell>
        </row>
        <row r="427">
          <cell r="A427" t="str">
            <v>Cây sấu đường kính gốc 12cm ≤ Φ &lt; 15cm</v>
          </cell>
        </row>
        <row r="428">
          <cell r="A428" t="str">
            <v>Cây sấu đường kính gốc 15cm ≤ Φ &lt; 20cm</v>
          </cell>
        </row>
        <row r="429">
          <cell r="A429" t="str">
            <v>Cây sấu đường kính gốc 20cm ≤ Φ &lt; 25cm</v>
          </cell>
        </row>
        <row r="430">
          <cell r="A430" t="str">
            <v>Cây sấu đường kính gốc 25cm ≤ Φ &lt; 30cm</v>
          </cell>
        </row>
        <row r="431">
          <cell r="A431" t="str">
            <v>Cây sấu đường kính gốc 30cm ≤ Φ &lt; 35cm</v>
          </cell>
        </row>
        <row r="432">
          <cell r="A432" t="str">
            <v>Cây sấu đường kính gốc 35cm ≤ Φ &lt; 50cm</v>
          </cell>
        </row>
        <row r="433">
          <cell r="A433" t="str">
            <v>Cây sấu đường kính gốc Φ ≥ 50cm</v>
          </cell>
        </row>
        <row r="434">
          <cell r="A434" t="str">
            <v>Trứng cá (tính theo đường kính gốc F)</v>
          </cell>
        </row>
        <row r="435">
          <cell r="A435" t="str">
            <v>Cây trứng cá giống đủ tiêu chuẩn mới trồng, chiều cao cây H ≥ 40cm</v>
          </cell>
        </row>
        <row r="436">
          <cell r="A436" t="str">
            <v xml:space="preserve">Cây trứng cá đường kính gốc 1cm ≤ Φ &lt; 2cm </v>
          </cell>
        </row>
        <row r="437">
          <cell r="A437" t="str">
            <v>Cây trứng cá đường kính gốc 2cm ≤ Φ &lt; 5cm</v>
          </cell>
        </row>
        <row r="438">
          <cell r="A438" t="str">
            <v>Cây trứng cá đường kính gốc 5cm ≤ Φ &lt; 7cm</v>
          </cell>
        </row>
        <row r="439">
          <cell r="A439" t="str">
            <v>Cây trứng cá đường kính gốc 7cm ≤ Φ &lt; 9cm</v>
          </cell>
        </row>
        <row r="440">
          <cell r="A440" t="str">
            <v>Cây trứng cá đường kính gốc 9cm ≤ Φ &lt; 12cm</v>
          </cell>
        </row>
        <row r="441">
          <cell r="A441" t="str">
            <v>Cây trứng cá đường kính gốc 12cm ≤ Φ &lt; 15cm</v>
          </cell>
        </row>
        <row r="442">
          <cell r="A442" t="str">
            <v>Cây trứng cá đường kính gốc 15cm ≤ Φ &lt; 20cm</v>
          </cell>
        </row>
        <row r="443">
          <cell r="A443" t="str">
            <v>Cây trứng cá đường kính gốc 20cm ≤ Φ &lt; 25cm</v>
          </cell>
        </row>
        <row r="444">
          <cell r="A444" t="str">
            <v>Cây trứng cá đường kính gốc 25cm ≤ Φ &lt; 30cm</v>
          </cell>
        </row>
        <row r="445">
          <cell r="A445" t="str">
            <v>Cây trứng cá đường kính gốc 30cm ≤ Φ &lt; 35cm</v>
          </cell>
        </row>
        <row r="446">
          <cell r="A446" t="str">
            <v>Cây trứng cá đường kính gốc Φ ≥ 35cm</v>
          </cell>
        </row>
        <row r="447">
          <cell r="A447" t="str">
            <v>Sung (tính theo đường kính gốc F)</v>
          </cell>
        </row>
        <row r="448">
          <cell r="A448" t="str">
            <v xml:space="preserve">Cây sung giống đủ tiêu chuẩn mới trồng, chiều cao cây H ≥ 40cm  </v>
          </cell>
        </row>
        <row r="449">
          <cell r="A449" t="str">
            <v>Cây sung đường kính gốc 1cm ≤ Φ &lt; 5cm</v>
          </cell>
        </row>
        <row r="450">
          <cell r="A450" t="str">
            <v>Cây sung đường kính gốc 5cm ≤ Φ &lt; 10cm</v>
          </cell>
        </row>
        <row r="451">
          <cell r="A451" t="str">
            <v xml:space="preserve">Cây sung đường kính gốc 10cm ≤ Φ &lt; 15cm  </v>
          </cell>
        </row>
        <row r="452">
          <cell r="A452" t="str">
            <v>Cây sung đường kính gốc 15cm ≤ Φ &lt; 20cm</v>
          </cell>
        </row>
        <row r="453">
          <cell r="A453" t="str">
            <v>Cây sung đường kính gốc 20cm ≤ Φ &lt; 25cm</v>
          </cell>
        </row>
        <row r="454">
          <cell r="A454" t="str">
            <v>Cây sung đường kính gốc 25cm ≤ Φ &lt; 30cm</v>
          </cell>
        </row>
        <row r="455">
          <cell r="A455" t="str">
            <v>Cây sung đường kính gốc 30cm ≤ Φ &lt; 35cm</v>
          </cell>
        </row>
        <row r="456">
          <cell r="A456" t="str">
            <v>Cây sung đường kính gốc 35cm ≤ Φ &lt; 50cm</v>
          </cell>
        </row>
        <row r="457">
          <cell r="A457" t="str">
            <v>Cây sung đường kính gốc Φ ≥ 50cm</v>
          </cell>
        </row>
        <row r="458">
          <cell r="A458" t="str">
            <v>Vối (tính theo đường kính gốc F)</v>
          </cell>
        </row>
        <row r="459">
          <cell r="A459" t="str">
            <v>Cây vối giống đủ tiêu chuẩn mới trồng, chiều cao cây H ≥ 40cm</v>
          </cell>
        </row>
        <row r="460">
          <cell r="A460" t="str">
            <v>Cây vối đường kính gốc 1cm ≤ Φ &lt; 5cm</v>
          </cell>
        </row>
        <row r="461">
          <cell r="A461" t="str">
            <v>Cây vối đường kính gốc 5cm ≤ Φ &lt; 10cm</v>
          </cell>
        </row>
        <row r="462">
          <cell r="A462" t="str">
            <v>Cây vối đường kính gốc 10cm ≤ Φ &lt; 15cm</v>
          </cell>
        </row>
        <row r="463">
          <cell r="A463" t="str">
            <v>Cây vối đường kính gốc 15cm ≤ Φ &lt; 20cm</v>
          </cell>
        </row>
        <row r="464">
          <cell r="A464" t="str">
            <v>Cây vối đường kính gốc 20cm ≤ Φ &lt; 25cm</v>
          </cell>
        </row>
        <row r="465">
          <cell r="A465" t="str">
            <v>Cây vối đường kính gốc 25cm ≤ Φ &lt; 30cm</v>
          </cell>
        </row>
        <row r="466">
          <cell r="A466" t="str">
            <v>Cây vối đường kính gốc 30cm ≤ Φ &lt; 35cm</v>
          </cell>
        </row>
        <row r="467">
          <cell r="A467" t="str">
            <v>Cây vối đường kính gốc 35cm ≤ Φ &lt; 50cm</v>
          </cell>
        </row>
        <row r="468">
          <cell r="A468" t="str">
            <v>Cây vối đường kính gốc F ³ 50cm</v>
          </cell>
        </row>
        <row r="469">
          <cell r="A469" t="str">
            <v>Cây Mãng cầu</v>
          </cell>
        </row>
        <row r="470">
          <cell r="A470" t="str">
            <v>Cây mãng cầu mới trồng &lt; 01 năm (cây từ hạt)</v>
          </cell>
        </row>
        <row r="471">
          <cell r="A471" t="str">
            <v>Cây mãng cầu mới trồng &lt; 01 năm (cây ghép)</v>
          </cell>
        </row>
        <row r="472">
          <cell r="A472" t="str">
            <v>Cây mãng cầu trồng ≥ 01 năm, chiều cao thân cây &lt; 1m chưa có quả</v>
          </cell>
        </row>
        <row r="473">
          <cell r="A473" t="str">
            <v>Cây mãng cầu có chiều cao thân cây ≥ 1m chưa có quả</v>
          </cell>
        </row>
        <row r="474">
          <cell r="A474" t="str">
            <v>Cây mãng cầu đã có quả</v>
          </cell>
        </row>
        <row r="475">
          <cell r="A475" t="str">
            <v>Cây mãng cầu có quả kém, già cỗi (hỗ trợ công chặt)</v>
          </cell>
        </row>
        <row r="476">
          <cell r="A476" t="str">
            <v>Cây Bơ </v>
          </cell>
        </row>
        <row r="477">
          <cell r="A477" t="str">
            <v>Cây bơ mới trồng &lt; 01 năm (cây từ hạt)</v>
          </cell>
        </row>
        <row r="478">
          <cell r="A478" t="str">
            <v>Cây bơ mới trồng &lt; 01 năm (cây ghép)</v>
          </cell>
        </row>
        <row r="479">
          <cell r="A479" t="str">
            <v>Cây bơ trồng ≥ 01 năm, chiều cao thân cây &lt; 1m chưa có quả</v>
          </cell>
        </row>
        <row r="480">
          <cell r="A480" t="str">
            <v>Cây bơ có chiều cao thân cây ≥ 1m chưa có quả</v>
          </cell>
        </row>
        <row r="481">
          <cell r="A481" t="str">
            <v>Cây bơ có quả đường kính gốc &lt; 20cm</v>
          </cell>
        </row>
        <row r="482">
          <cell r="A482" t="str">
            <v>Cây bơ có quả tốt đường kính gốc từ 20cm đến 40cm</v>
          </cell>
        </row>
        <row r="483">
          <cell r="A483" t="str">
            <v>Cây bơ có quả đường kính gốc &gt; 40cm</v>
          </cell>
        </row>
        <row r="484">
          <cell r="A484" t="str">
            <v>Cây bơ có quả kém, già cỗi (hỗ trợ công chặt)</v>
          </cell>
        </row>
        <row r="485">
          <cell r="A485" t="str">
            <v>Cây Sầu riêng</v>
          </cell>
        </row>
        <row r="486">
          <cell r="A486" t="str">
            <v>Cây sầu riêng mới trồng &lt; 01 năm (cây từ hạt)</v>
          </cell>
        </row>
        <row r="487">
          <cell r="A487" t="str">
            <v>Cây sầu riêng mới trồng &lt; 01 năm (cây ghép)</v>
          </cell>
        </row>
        <row r="488">
          <cell r="A488" t="str">
            <v>Cây sầu riêng trồng ≥ 01 năm, chiều cao thân cây &lt; 1m chưa có quả</v>
          </cell>
        </row>
        <row r="489">
          <cell r="A489" t="str">
            <v>Cây sầu riêng trồng có chiều cao thân cây từ ≥ 1m chưa có quả</v>
          </cell>
        </row>
        <row r="490">
          <cell r="A490" t="str">
            <v>Cây sầu riêng có quả đường kính gốc &lt; 20cm</v>
          </cell>
        </row>
        <row r="491">
          <cell r="A491" t="str">
            <v>Cây sầu riêng có quả tốt đường kính gốc ≥ 20cm đến &lt; 45cm</v>
          </cell>
        </row>
        <row r="492">
          <cell r="A492" t="str">
            <v>Cây sầu riêng có quả thu hoạch tốt đường kính gốc ≥ 45cm</v>
          </cell>
        </row>
        <row r="493">
          <cell r="A493" t="str">
            <v>Dứa ăn quả</v>
          </cell>
        </row>
        <row r="494">
          <cell r="A494" t="str">
            <v>Dứa quả cây giống</v>
          </cell>
        </row>
        <row r="495">
          <cell r="A495" t="str">
            <v>Dứa cây chưa ra quả</v>
          </cell>
        </row>
        <row r="496">
          <cell r="A496" t="str">
            <v xml:space="preserve">Dứa đang ra quả </v>
          </cell>
        </row>
        <row r="497">
          <cell r="A497" t="str">
            <v>Dứa khóm (tính theo khóm) có từ 4 cây trở lên</v>
          </cell>
        </row>
        <row r="498">
          <cell r="A498" t="str">
            <v>Chuối (tính theo đường kính gốc Φ)</v>
          </cell>
        </row>
        <row r="499">
          <cell r="A499" t="str">
            <v>Cây chuối có đường kính gốc Φ &lt; 15cm</v>
          </cell>
        </row>
        <row r="500">
          <cell r="A500" t="str">
            <v>Cây chuối có đường kính gốc Φ ≥ 15cm (chưa có buồng)</v>
          </cell>
        </row>
        <row r="501">
          <cell r="A501" t="str">
            <v>Chuối có buồng non chưa thu hoạch</v>
          </cell>
        </row>
        <row r="502">
          <cell r="A502" t="str">
            <v>Nhót, nho</v>
          </cell>
        </row>
        <row r="503">
          <cell r="A503" t="str">
            <v>Cây nhót, nho giống</v>
          </cell>
        </row>
        <row r="504">
          <cell r="A504" t="str">
            <v>Cây nhót, nho đã phát triển (tính theo diện tích giàn)</v>
          </cell>
        </row>
        <row r="505">
          <cell r="A505" t="str">
            <v>Gấc</v>
          </cell>
        </row>
        <row r="506">
          <cell r="A506" t="str">
            <v xml:space="preserve">Gấc tính theo m2 giàn </v>
          </cell>
        </row>
        <row r="507">
          <cell r="A507" t="str">
            <v>Gấc tính theo khóm gốc</v>
          </cell>
        </row>
        <row r="508">
          <cell r="A508" t="str">
            <v xml:space="preserve">Cây gấc chiều dài dây leo L &lt; 3m </v>
          </cell>
        </row>
        <row r="509">
          <cell r="A509" t="str">
            <v xml:space="preserve">Cây gấc chiều dài dây leo 3m ≤ L &lt; 10m </v>
          </cell>
        </row>
        <row r="510">
          <cell r="A510" t="str">
            <v xml:space="preserve">Cây gấc chiều dài dây leo L ≥ 10m </v>
          </cell>
        </row>
        <row r="511">
          <cell r="A511" t="str">
            <v xml:space="preserve">Lựu (tính theo đường kính gốc F) </v>
          </cell>
        </row>
        <row r="512">
          <cell r="A512" t="str">
            <v>Cây lựu mới trồng, chiều cao cây  H ≥ 40cm</v>
          </cell>
        </row>
        <row r="513">
          <cell r="A513" t="str">
            <v>Cây lựu đường kính gốc 1cm ≤ Φ &lt; 2cm</v>
          </cell>
        </row>
        <row r="514">
          <cell r="A514" t="str">
            <v>Cây lựu đường kính gốc 2cm ≤ Φ &lt; 5cm</v>
          </cell>
        </row>
        <row r="515">
          <cell r="A515" t="str">
            <v>Cây lựu đường kính gốc 5cm ≤ Φ &lt; 7cm</v>
          </cell>
        </row>
        <row r="516">
          <cell r="A516" t="str">
            <v>Cây lựu đường kính gốc 7cm ≤ Φ &lt; 9cm</v>
          </cell>
        </row>
        <row r="517">
          <cell r="A517" t="str">
            <v>Cây lựu đường kính gốc 9cm ≤ Φ &lt; 12cm</v>
          </cell>
        </row>
        <row r="518">
          <cell r="A518" t="str">
            <v xml:space="preserve">Cây lựu đường kính gốc 12cm ≤ Φ &lt; 15cm </v>
          </cell>
        </row>
        <row r="519">
          <cell r="A519" t="str">
            <v xml:space="preserve">Cây lựu đường kính gốc 15cm ≤ Φ &lt; 20cm </v>
          </cell>
        </row>
        <row r="520">
          <cell r="A520" t="str">
            <v xml:space="preserve">Cây lựu đường kính gốc Φ ≥ 20cm </v>
          </cell>
        </row>
        <row r="521">
          <cell r="A521" t="str">
            <v>CÂY LẤY GỖ</v>
          </cell>
        </row>
        <row r="522">
          <cell r="A522" t="str">
            <v>Bạch đàn, phi lao, keo (tính theo đường kính gốc F)</v>
          </cell>
        </row>
        <row r="523">
          <cell r="A523" t="str">
            <v>Cây keo giống đủ tiêu chuẩn mới trồng, chiều cao cây H ≥ 40cm</v>
          </cell>
        </row>
        <row r="524">
          <cell r="A524" t="str">
            <v>Cây keo đường kính gốc 1cm ≤ Φ &lt; 2cm</v>
          </cell>
        </row>
        <row r="525">
          <cell r="A525" t="str">
            <v>Cây keo đường kính gốc 2cm ≤ Φ &lt; 5cm</v>
          </cell>
        </row>
        <row r="526">
          <cell r="A526" t="str">
            <v>Cây keo đường kính gốc 5cm ≤ Φ &lt; 10cm</v>
          </cell>
        </row>
        <row r="527">
          <cell r="A527" t="str">
            <v>Cây keo đường kính gốc 10cm ≤ Φ &lt; 15cm</v>
          </cell>
        </row>
        <row r="528">
          <cell r="A528" t="str">
            <v>Cây keo đường kính gốc 15cm ≤ Φ &lt; 20cm</v>
          </cell>
        </row>
        <row r="529">
          <cell r="A529" t="str">
            <v>Cây keo đường kính gốc 20cm ≤ Φ &lt; 25cm</v>
          </cell>
        </row>
        <row r="530">
          <cell r="A530" t="str">
            <v>Cây keo đường kính gốc 25cm ≤ Φ &lt; 30cm</v>
          </cell>
        </row>
        <row r="531">
          <cell r="A531" t="str">
            <v>Cây keo đường kính gốc 30cm ≤ Φ &lt; 35cm</v>
          </cell>
        </row>
        <row r="532">
          <cell r="A532" t="str">
            <v>Cây keo đường kính gốc 35cm ≤ Φ &lt; 50cm</v>
          </cell>
        </row>
        <row r="533">
          <cell r="A533" t="str">
            <v>Cây keo đường kính gốc Φ ≥ 50cm (chi phí chặt hạ)</v>
          </cell>
        </row>
        <row r="534">
          <cell r="A534" t="str">
            <v>Cây bạch đàn giống đủ tiêu chuẩn mới trồng, chiều cao cây H ≥ 40cm</v>
          </cell>
        </row>
        <row r="535">
          <cell r="A535" t="str">
            <v>Cây bạch đàn đường kính gốc 1cm ≤ Φ &lt; 2cm</v>
          </cell>
        </row>
        <row r="536">
          <cell r="A536" t="str">
            <v>Cây bạch đàn đường kính gốc 2cm ≤ Φ &lt; 5cm</v>
          </cell>
        </row>
        <row r="537">
          <cell r="A537" t="str">
            <v>Cây bạch đàn đường kính gốc 5cm ≤ Φ &lt; 10cm</v>
          </cell>
        </row>
        <row r="538">
          <cell r="A538" t="str">
            <v>Cây bạch đàn đường kính gốc 10cm ≤ Φ &lt; 15cm</v>
          </cell>
        </row>
        <row r="539">
          <cell r="A539" t="str">
            <v>Cây bạch đàn đường kính gốc 15cm ≤ Φ &lt; 20cm</v>
          </cell>
        </row>
        <row r="540">
          <cell r="A540" t="str">
            <v>Cây bạch đàn đường kính gốc 20cm ≤ Φ &lt; 25cm</v>
          </cell>
        </row>
        <row r="541">
          <cell r="A541" t="str">
            <v>Cây bạch đàn đường kính gốc 25cm ≤ Φ &lt; 30cm</v>
          </cell>
        </row>
        <row r="542">
          <cell r="A542" t="str">
            <v>Cây bạch đàn đường kính gốc 30cm ≤ Φ &lt; 35cm</v>
          </cell>
        </row>
        <row r="543">
          <cell r="A543" t="str">
            <v>Cây bạch đàn đường kính gốc 35cm ≤ Φ &lt; 50cm</v>
          </cell>
        </row>
        <row r="544">
          <cell r="A544" t="str">
            <v>Cây bạch đàn đường kính gốc Φ ≥ 50cm (chi phí chặt hạ)</v>
          </cell>
        </row>
        <row r="545">
          <cell r="A545" t="str">
            <v>Cây phi lao giống đủ tiêu chuẩn mới trồng, chiều cao cây H ≥ 40cm</v>
          </cell>
        </row>
        <row r="546">
          <cell r="A546" t="str">
            <v>Cây phi lao đường kính gốc 1cm ≤ Φ &lt; 2cm</v>
          </cell>
        </row>
        <row r="547">
          <cell r="A547" t="str">
            <v>Cây phi lao đường kính gốc 2cm ≤ Φ &lt; 5cm</v>
          </cell>
        </row>
        <row r="548">
          <cell r="A548" t="str">
            <v>Cây phi lao đường kính gốc 5cm ≤ Φ &lt; 10cm</v>
          </cell>
        </row>
        <row r="549">
          <cell r="A549" t="str">
            <v>Cây phi lao đường kính gốc 10cm ≤ Φ &lt; 15cm</v>
          </cell>
        </row>
        <row r="550">
          <cell r="A550" t="str">
            <v>Cây phi lao đường kính gốc 15cm ≤ Φ &lt; 20cm</v>
          </cell>
        </row>
        <row r="551">
          <cell r="A551" t="str">
            <v>Cây phi lao đường kính gốc 20cm ≤ Φ &lt; 25cm</v>
          </cell>
        </row>
        <row r="552">
          <cell r="A552" t="str">
            <v>Cây phi lao đường kính gốc 25cm ≤ Φ &lt; 30cm</v>
          </cell>
        </row>
        <row r="553">
          <cell r="A553" t="str">
            <v>Cây phi lao đường kính gốc 30cm ≤ Φ &lt; 35cm</v>
          </cell>
        </row>
        <row r="554">
          <cell r="A554" t="str">
            <v>Cây phi lao đường kính gốc 35cm ≤ Φ &lt; 50cm</v>
          </cell>
        </row>
        <row r="555">
          <cell r="A555" t="str">
            <v>Cây phi lao đường kính gốc Φ ≥ 50cm (chi phí chặt hạ)</v>
          </cell>
        </row>
        <row r="556">
          <cell r="A556" t="str">
            <v xml:space="preserve">Xà cừ, thông (tính theo đường kính gốc F) </v>
          </cell>
        </row>
        <row r="557">
          <cell r="A557" t="str">
            <v>Cây xà cừ giống đủ tiêu chuẩn mới trồng, chiều cao cây H ≥ 40cm</v>
          </cell>
        </row>
        <row r="558">
          <cell r="A558" t="str">
            <v>Cây xà cừ đường kính gốc 1cm ≤ Φ &lt;  2cm</v>
          </cell>
        </row>
        <row r="559">
          <cell r="A559" t="str">
            <v>Cây xà cừ đường kính gốc 2cm ≤ Φ &lt;  5cm</v>
          </cell>
        </row>
        <row r="560">
          <cell r="A560" t="str">
            <v>Cây xà cừ đường kính gốc 5cm ≤ Φ &lt;  10cm</v>
          </cell>
        </row>
        <row r="561">
          <cell r="A561" t="str">
            <v>Cây xà cừ đường kính gốc 10cm ≤ Φ &lt; 15cm</v>
          </cell>
        </row>
        <row r="562">
          <cell r="A562" t="str">
            <v>Cây xà cừ đường kính gốc 15cm ≤ Φ &lt;  20cm</v>
          </cell>
        </row>
        <row r="563">
          <cell r="A563" t="str">
            <v>Cây xà cừ đường kính gốc 20cm ≤ Φ &lt;  25cm</v>
          </cell>
        </row>
        <row r="564">
          <cell r="A564" t="str">
            <v>Cây xà cừ đường kính gốc 25cm ≤ Φ &lt;  30cm</v>
          </cell>
        </row>
        <row r="565">
          <cell r="A565" t="str">
            <v xml:space="preserve">Cây xà cừ đường kính gốc 30cm ≤ Φ &lt;  35cm </v>
          </cell>
        </row>
        <row r="566">
          <cell r="A566" t="str">
            <v xml:space="preserve">Cây xà cừ đường kính gốc 35cm ≤ Φ &lt;  50cm </v>
          </cell>
        </row>
        <row r="567">
          <cell r="A567" t="str">
            <v>Cây xà cừ đường kính gốc Φ ≥ 50cm (chi phí chặt hạ)</v>
          </cell>
        </row>
        <row r="568">
          <cell r="A568" t="str">
            <v>Cây thông giống đủ tiêu chuẩn mới trồng, chiều cao cây H ≥ 40cm</v>
          </cell>
        </row>
        <row r="569">
          <cell r="A569" t="str">
            <v>Cây thông đường kính gốc 1cm ≤ Φ &lt;  2cm</v>
          </cell>
        </row>
        <row r="570">
          <cell r="A570" t="str">
            <v>Cây thông đường kính gốc 2cm ≤ Φ &lt;  5cm</v>
          </cell>
        </row>
        <row r="571">
          <cell r="A571" t="str">
            <v>Cây thông đường kính gốc 5cm ≤ Φ &lt;  10cm</v>
          </cell>
        </row>
        <row r="572">
          <cell r="A572" t="str">
            <v>Cây thông đường kính gốc 10cm ≤ Φ &lt; 15cm</v>
          </cell>
        </row>
        <row r="573">
          <cell r="A573" t="str">
            <v>Cây thông đường kính gốc 15cm ≤ Φ &lt;  20cm</v>
          </cell>
        </row>
        <row r="574">
          <cell r="A574" t="str">
            <v>Cây thông đường kính gốc 20cm ≤ Φ &lt;  25cm</v>
          </cell>
        </row>
        <row r="575">
          <cell r="A575" t="str">
            <v>Cây thông đường kính gốc 25cm ≤ Φ &lt;  30cm</v>
          </cell>
        </row>
        <row r="576">
          <cell r="A576" t="str">
            <v xml:space="preserve">Cây thông đường kính gốc 30cm ≤ Φ &lt;  35cm </v>
          </cell>
        </row>
        <row r="577">
          <cell r="A577" t="str">
            <v xml:space="preserve">Cây thông đường kính gốc 35cm ≤ Φ &lt;  50cm </v>
          </cell>
        </row>
        <row r="578">
          <cell r="A578" t="str">
            <v>Cây thông đường kính gốc Φ ≥ 50cm (chi phí chặt hạ)</v>
          </cell>
        </row>
        <row r="579">
          <cell r="A579" t="str">
            <v>Bàng, hoa sữa, bằng lăng, gạo, đa, phượng vĩ và các cây tương tự (tính theo đường kính gốc F)</v>
          </cell>
        </row>
        <row r="580">
          <cell r="A580" t="str">
            <v>Cây bàng giống đủ tiêu chuẩn mới trồng, chiều cao H ≥ 40cm</v>
          </cell>
        </row>
        <row r="581">
          <cell r="A581" t="str">
            <v>Cây bàng đường kính gốc 1cm ≤ Φ &lt; 3cm</v>
          </cell>
        </row>
        <row r="582">
          <cell r="A582" t="str">
            <v>Cây bàng đường kính gốc 3cm ≤ Φ &lt; 5cm</v>
          </cell>
        </row>
        <row r="583">
          <cell r="A583" t="str">
            <v>Cây bàng đường kính gốc 5cm ≤ Φ &lt; 10cm</v>
          </cell>
        </row>
        <row r="584">
          <cell r="A584" t="str">
            <v>Cây bàng đường kính gốc 10cm ≤ Φ &lt; 15cm</v>
          </cell>
        </row>
        <row r="585">
          <cell r="A585" t="str">
            <v>Cây bàng đường kính gốc 15cm ≤ Φ &lt; 20cm</v>
          </cell>
        </row>
        <row r="586">
          <cell r="A586" t="str">
            <v>Cây bàng đường kính gốc 20cm ≤ Φ &lt; 25cm</v>
          </cell>
        </row>
        <row r="587">
          <cell r="A587" t="str">
            <v>Cây bàng đường kính gốc 25cm ≤ Φ &lt; 30cm</v>
          </cell>
        </row>
        <row r="588">
          <cell r="A588" t="str">
            <v>Cây bàng đường kính gốc 30cm ≤ Φ &lt; 35cm</v>
          </cell>
        </row>
        <row r="589">
          <cell r="A589" t="str">
            <v>Cây bàng đường kính gốc 35cm ≤ Φ &lt; 50cm</v>
          </cell>
        </row>
        <row r="590">
          <cell r="A590" t="str">
            <v>Cây bàng đường kính gốc Φ ≥ 50cm (chi phí chặt hạ)</v>
          </cell>
        </row>
        <row r="591">
          <cell r="A591" t="str">
            <v>Cây hoa sữa giống đủ tiêu chuẩn mới trồng, chiều cao H ≥ 40cm</v>
          </cell>
        </row>
        <row r="592">
          <cell r="A592" t="str">
            <v>Cây hoa sữa đường kính gốc 1cm ≤ Φ &lt; 3cm</v>
          </cell>
        </row>
        <row r="593">
          <cell r="A593" t="str">
            <v>Cây hoa sữa đường kính gốc 3cm ≤ Φ &lt; 5cm</v>
          </cell>
        </row>
        <row r="594">
          <cell r="A594" t="str">
            <v>Cây hoa sữa đường kính gốc 5cm ≤ Φ &lt; 10cm</v>
          </cell>
        </row>
        <row r="595">
          <cell r="A595" t="str">
            <v>Cây hoa sữa đường kính gốc 10cm ≤ Φ &lt; 15cm</v>
          </cell>
        </row>
        <row r="596">
          <cell r="A596" t="str">
            <v>Cây hoa sữa đường kính gốc 15cm ≤ Φ &lt; 20cm</v>
          </cell>
        </row>
        <row r="597">
          <cell r="A597" t="str">
            <v>Cây hoa sữa đường kính gốc 20cm ≤ Φ &lt; 25cm</v>
          </cell>
        </row>
        <row r="598">
          <cell r="A598" t="str">
            <v>Cây hoa sữa đường kính gốc 25cm ≤ Φ &lt; 30cm</v>
          </cell>
        </row>
        <row r="599">
          <cell r="A599" t="str">
            <v>Cây hoa sữa đường kính gốc 30cm ≤ Φ &lt; 35cm</v>
          </cell>
        </row>
        <row r="600">
          <cell r="A600" t="str">
            <v>Cây hoa sữa đường kính gốc 35cm ≤ Φ &lt; 50cm</v>
          </cell>
        </row>
        <row r="601">
          <cell r="A601" t="str">
            <v>Cây hoa sữa đường kính gốc Φ ≥ 50cm (chi phí chặt hạ)</v>
          </cell>
        </row>
        <row r="602">
          <cell r="A602" t="str">
            <v>Cây bằng lăng giống đủ tiêu chuẩn mới trồng, chiều cao H ≥ 40cm</v>
          </cell>
        </row>
        <row r="603">
          <cell r="A603" t="str">
            <v>Cây bằng lăng đường kính gốc 1cm ≤ Φ &lt; 3cm</v>
          </cell>
        </row>
        <row r="604">
          <cell r="A604" t="str">
            <v>Cây bằng lăng đường kính gốc 3cm ≤ Φ &lt; 5cm</v>
          </cell>
        </row>
        <row r="605">
          <cell r="A605" t="str">
            <v>Cây bằng lăng đường kính gốc 5cm ≤ Φ &lt; 10cm</v>
          </cell>
        </row>
        <row r="606">
          <cell r="A606" t="str">
            <v>Cây bằng lăng đường kính gốc 10cm ≤ Φ &lt; 15cm</v>
          </cell>
        </row>
        <row r="607">
          <cell r="A607" t="str">
            <v>Cây bằng lăng đường kính gốc 15cm ≤ Φ &lt; 20cm</v>
          </cell>
        </row>
        <row r="608">
          <cell r="A608" t="str">
            <v>Cây bằng lăng đường kính gốc 20cm ≤ Φ &lt; 25cm</v>
          </cell>
        </row>
        <row r="609">
          <cell r="A609" t="str">
            <v>Cây bằng lăng đường kính gốc 25cm ≤ Φ &lt; 30cm</v>
          </cell>
        </row>
        <row r="610">
          <cell r="A610" t="str">
            <v>Cây bằng lăng đường kính gốc 30cm ≤ Φ &lt; 35cm</v>
          </cell>
        </row>
        <row r="611">
          <cell r="A611" t="str">
            <v>Cây bằng lăng đường kính gốc 35cm ≤ Φ &lt; 50cm</v>
          </cell>
        </row>
        <row r="612">
          <cell r="A612" t="str">
            <v>Cây bằng lăng đường kính gốc Φ ≥ 50cm (chi phí chặt hạ)</v>
          </cell>
        </row>
        <row r="613">
          <cell r="A613" t="str">
            <v>Cây gạo giống đủ tiêu chuẩn mới trồng, chiều cao H ≥ 40cm</v>
          </cell>
        </row>
        <row r="614">
          <cell r="A614" t="str">
            <v>Cây gạo đường kính gốc 1cm ≤ Φ &lt; 3cm</v>
          </cell>
        </row>
        <row r="615">
          <cell r="A615" t="str">
            <v>Cây gạo đường kính gốc 3cm ≤ Φ &lt; 5cm</v>
          </cell>
        </row>
        <row r="616">
          <cell r="A616" t="str">
            <v>Cây gạo đường kính gốc 5cm ≤ Φ &lt; 10cm</v>
          </cell>
        </row>
        <row r="617">
          <cell r="A617" t="str">
            <v>Cây gạo đường kính gốc 10cm ≤ Φ &lt; 15cm</v>
          </cell>
        </row>
        <row r="618">
          <cell r="A618" t="str">
            <v>Cây gạo đường kính gốc 15cm ≤ Φ &lt; 20cm</v>
          </cell>
        </row>
        <row r="619">
          <cell r="A619" t="str">
            <v>Cây gạo đường kính gốc 20cm ≤ Φ &lt; 25cm</v>
          </cell>
        </row>
        <row r="620">
          <cell r="A620" t="str">
            <v>Cây gạo đường kính gốc 25cm ≤ Φ &lt; 30cm</v>
          </cell>
        </row>
        <row r="621">
          <cell r="A621" t="str">
            <v>Cây gạo đường kính gốc 30cm ≤ Φ &lt; 35cm</v>
          </cell>
        </row>
        <row r="622">
          <cell r="A622" t="str">
            <v>Cây gạo đường kính gốc 35cm ≤ Φ &lt; 50cm</v>
          </cell>
        </row>
        <row r="623">
          <cell r="A623" t="str">
            <v>Cây gạo đường kính gốc Φ ≥ 50cm (chi phí chặt hạ)</v>
          </cell>
        </row>
        <row r="624">
          <cell r="A624" t="str">
            <v>Cây đa giống đủ tiêu chuẩn mới trồng, chiều cao H ≥ 40cm</v>
          </cell>
        </row>
        <row r="625">
          <cell r="A625" t="str">
            <v>Cây đa đường kính gốc 1cm ≤ Φ &lt; 3cm</v>
          </cell>
        </row>
        <row r="626">
          <cell r="A626" t="str">
            <v>Cây đa đường kính gốc 3cm ≤ Φ &lt; 5cm</v>
          </cell>
        </row>
        <row r="627">
          <cell r="A627" t="str">
            <v>Cây đa đường kính gốc 5cm ≤ Φ &lt; 10cm</v>
          </cell>
        </row>
        <row r="628">
          <cell r="A628" t="str">
            <v>Cây đa đường kính gốc 10cm ≤ Φ &lt; 15cm</v>
          </cell>
        </row>
        <row r="629">
          <cell r="A629" t="str">
            <v>Cây đa đường kính gốc 15cm ≤ Φ &lt; 20cm</v>
          </cell>
        </row>
        <row r="630">
          <cell r="A630" t="str">
            <v>Cây đa đường kính gốc 20cm≤ Φ &lt; 25cm</v>
          </cell>
        </row>
        <row r="631">
          <cell r="A631" t="str">
            <v>Cây đa đường kính gốc 25cm ≤ Φ &lt; 30cm</v>
          </cell>
        </row>
        <row r="632">
          <cell r="A632" t="str">
            <v>Cây đa đường kính gốc 30cm ≤ Φ &lt; 35cm</v>
          </cell>
        </row>
        <row r="633">
          <cell r="A633" t="str">
            <v>Cây đa đường kính gốc 35cm ≤ Φ &lt; 50cm</v>
          </cell>
        </row>
        <row r="634">
          <cell r="A634" t="str">
            <v>Cây đa đường kính gốc Φ ≥ 50cm (chi phí chặt hạ)</v>
          </cell>
        </row>
        <row r="635">
          <cell r="A635" t="str">
            <v>Cây phượng vĩ giống đủ tiêu chuẩn mới trồng, chiều cao H ≥ 40cm</v>
          </cell>
        </row>
        <row r="636">
          <cell r="A636" t="str">
            <v>Cây phượng vĩ đường kính gốc 1cm ≤ Φ &lt; 3cm</v>
          </cell>
        </row>
        <row r="637">
          <cell r="A637" t="str">
            <v>Cây phượng vĩ đường kính gốc 3cm ≤ Φ &lt; 5cm</v>
          </cell>
        </row>
        <row r="638">
          <cell r="A638" t="str">
            <v>Cây phượng vĩ đường kính gốc 5cm ≤ Φ &lt; 10cm</v>
          </cell>
        </row>
        <row r="639">
          <cell r="A639" t="str">
            <v>Cây phượng vĩ đường kính gốc 10cm ≤ Φ &lt; 15cm</v>
          </cell>
        </row>
        <row r="640">
          <cell r="A640" t="str">
            <v>Cây phượng vĩ đường kính gốc 15cm ≤ Φ &lt; 20cm</v>
          </cell>
        </row>
        <row r="641">
          <cell r="A641" t="str">
            <v>Cây phượng vĩ đường kính gốc 20cm≤ Φ &lt; 25cm</v>
          </cell>
        </row>
        <row r="642">
          <cell r="A642" t="str">
            <v>Cây phượng vĩ đường kính gốc 25cm ≤ Φ &lt; 30cm</v>
          </cell>
        </row>
        <row r="643">
          <cell r="A643" t="str">
            <v>Cây phượng vĩ đường kính gốc 30cm ≤ Φ &lt; 35cm</v>
          </cell>
        </row>
        <row r="644">
          <cell r="A644" t="str">
            <v>Cây phượng vĩ đường kính gốc 35cm ≤ Φ &lt; 50cm</v>
          </cell>
        </row>
        <row r="645">
          <cell r="A645" t="str">
            <v>Cây phượng vĩ đường kính gốc Φ ≥ 50cm (chi phí chặt hạ)</v>
          </cell>
        </row>
        <row r="646">
          <cell r="A646" t="str">
            <v>Xoan nâu, xoan đào (tính theo đường kính gốc F)</v>
          </cell>
        </row>
        <row r="647">
          <cell r="A647" t="str">
            <v xml:space="preserve">Cây xoan giống đủ tiêu chuẩn, mới trồng, chiều cao cây H ≥ 40cm     </v>
          </cell>
        </row>
        <row r="648">
          <cell r="A648" t="str">
            <v>Cây xoan đường kính gốc 1cm ≤ Φ &lt; 2cm</v>
          </cell>
        </row>
        <row r="649">
          <cell r="A649" t="str">
            <v>Cây xoan đường kính gốc 2cm ≤ Φ &lt; 5cm</v>
          </cell>
        </row>
        <row r="650">
          <cell r="A650" t="str">
            <v>Cây xoan đường kính gốc 5cm ≤ Φ &lt; 9cm</v>
          </cell>
        </row>
        <row r="651">
          <cell r="A651" t="str">
            <v>Cây xoan đường kính gốc 9cm ≤ Φ &lt; 12cm</v>
          </cell>
        </row>
        <row r="652">
          <cell r="A652" t="str">
            <v>Cây xoan đường kính gốc 12cm ≤ Φ &lt; 15cm</v>
          </cell>
        </row>
        <row r="653">
          <cell r="A653" t="str">
            <v>Cây xoan đường kính gốc 15cm ≤ Φ &lt; 20cm</v>
          </cell>
        </row>
        <row r="654">
          <cell r="A654" t="str">
            <v>Cây xoan đường kính gốc 20cm ≤ Φ &lt; 25cm</v>
          </cell>
        </row>
        <row r="655">
          <cell r="A655" t="str">
            <v>Cây xoan đường kính gốc 25cm ≤ Φ &lt; 30cm</v>
          </cell>
        </row>
        <row r="656">
          <cell r="A656" t="str">
            <v>Cây xoan đường kính gốc 30cm ≤ Φ &lt; 35cm</v>
          </cell>
        </row>
        <row r="657">
          <cell r="A657" t="str">
            <v>Cây xoan đường kính gốc Φ ≥ 35cm (chi phí chặt hạ)</v>
          </cell>
        </row>
        <row r="658">
          <cell r="A658" t="str">
            <v xml:space="preserve">Tre, mai (tính theo đường kính gốc F) </v>
          </cell>
        </row>
        <row r="659">
          <cell r="A659" t="str">
            <v>Cây tre giống đủ tiêu chuẩn mới trồng</v>
          </cell>
        </row>
        <row r="660">
          <cell r="A660" t="str">
            <v>Cây tre đường kính gốc 2cm ≤ Φ &lt; 5cm</v>
          </cell>
        </row>
        <row r="661">
          <cell r="A661" t="str">
            <v>Cây tre đường kính gốc 5cm ≤ Φ &lt; 7cm</v>
          </cell>
        </row>
        <row r="662">
          <cell r="A662" t="str">
            <v>Cây tre đường kính gốc 7cm ≤ Φ &lt; 10cm</v>
          </cell>
        </row>
        <row r="663">
          <cell r="A663" t="str">
            <v>Cây tre đường kính gốc 10cm ≤ Φ &lt; 12cm</v>
          </cell>
        </row>
        <row r="664">
          <cell r="A664" t="str">
            <v>Cây tre đường kính gốc Φ ≥ 12cm (chi phí chặt hạ)</v>
          </cell>
        </row>
        <row r="665">
          <cell r="A665" t="str">
            <v>Long não  (tính theo đường kính gốc)</v>
          </cell>
        </row>
        <row r="666">
          <cell r="A666" t="str">
            <v xml:space="preserve">Cây long não giống đủ tiêu chuẩn mới trồng, chiều cao cây  H ≤40cm  </v>
          </cell>
        </row>
        <row r="667">
          <cell r="A667" t="str">
            <v>Cây long não đường kính gốc 1cm ≤ Φ &lt; 3cm</v>
          </cell>
        </row>
        <row r="668">
          <cell r="A668" t="str">
            <v>Cây long não đường kính gốc 3cm ≤ Φ &lt; 5cm</v>
          </cell>
        </row>
        <row r="669">
          <cell r="A669" t="str">
            <v>Cây long não đường kính gốc 5cm ≤ Φ &lt; 10cm</v>
          </cell>
        </row>
        <row r="670">
          <cell r="A670" t="str">
            <v>Cây long não đường kính gốc 10cm ≤ Φ &lt; 15cm</v>
          </cell>
        </row>
        <row r="671">
          <cell r="A671" t="str">
            <v>Cây long não đường kính gốc 15cm ≤ Φ &lt; 20cm</v>
          </cell>
        </row>
        <row r="672">
          <cell r="A672" t="str">
            <v xml:space="preserve">Cây long não đường kính gốc 20cm ≤ Φ &lt; 30cm </v>
          </cell>
        </row>
        <row r="673">
          <cell r="A673" t="str">
            <v xml:space="preserve">Cây long não đường kính gốc 30cm ≤ Φ &lt; 40cm </v>
          </cell>
        </row>
        <row r="674">
          <cell r="A674" t="str">
            <v xml:space="preserve">Cây long não đường kính gốc Φ ≥ 40cm </v>
          </cell>
        </row>
        <row r="675">
          <cell r="A675" t="str">
            <v xml:space="preserve">Cây Dẻ lấy quả </v>
          </cell>
        </row>
        <row r="676">
          <cell r="A676" t="str">
            <v>Cây dẻ lấy quả mới trồng, đường kính gốc &lt;5 cm</v>
          </cell>
        </row>
        <row r="677">
          <cell r="A677" t="str">
            <v>Cây dẻ lấy quả đường kính gốc từ 5 cm đến 10cm</v>
          </cell>
        </row>
        <row r="678">
          <cell r="A678" t="str">
            <v>Cây dẻ lấy quả đường kính gốc &gt;10 cm đến 20cm</v>
          </cell>
        </row>
        <row r="679">
          <cell r="A679" t="str">
            <v>Cây dẻ lấy quả đường kính gốc &gt; 20 cm đến 30cm</v>
          </cell>
        </row>
        <row r="680">
          <cell r="A680" t="str">
            <v>Cây dẻ lấy quả đường kính gốc &gt; 30cm</v>
          </cell>
        </row>
        <row r="681">
          <cell r="A681" t="str">
            <v>Cây Trám</v>
          </cell>
        </row>
        <row r="682">
          <cell r="A682" t="str">
            <v>Cây trám mới trồng, đường kính gốc &lt;2cm</v>
          </cell>
        </row>
        <row r="683">
          <cell r="A683" t="str">
            <v>Cây trám đường kính gốc từ 2cm đến 5cm</v>
          </cell>
        </row>
        <row r="684">
          <cell r="A684" t="str">
            <v>Cây trám đường kính gốc từ 5cm đến 10cm</v>
          </cell>
        </row>
        <row r="685">
          <cell r="A685" t="str">
            <v>Cây trám đường kính gốc &gt;10cm đến 15cm</v>
          </cell>
        </row>
        <row r="686">
          <cell r="A686" t="str">
            <v>Cây trám đường kính gốc &gt;15cm đến 20cm</v>
          </cell>
        </row>
        <row r="687">
          <cell r="A687" t="str">
            <v>Cây trám đường kính gốc &gt;20cm đến 25cm</v>
          </cell>
        </row>
        <row r="688">
          <cell r="A688" t="str">
            <v>Cây trám đường kính gốc &gt;25cm đến 30cm</v>
          </cell>
        </row>
        <row r="689">
          <cell r="A689" t="str">
            <v>Cây trám đường kính gốc &gt; 30cm</v>
          </cell>
        </row>
        <row r="690">
          <cell r="A690" t="str">
            <v xml:space="preserve">Cây Lát </v>
          </cell>
        </row>
        <row r="691">
          <cell r="A691" t="str">
            <v>Cây lát mới trồng, đường kính gốc &lt; 5cm</v>
          </cell>
        </row>
        <row r="692">
          <cell r="A692" t="str">
            <v>Cây lát đường kính gốc từ 5 cm đến 10cm</v>
          </cell>
        </row>
        <row r="693">
          <cell r="A693" t="str">
            <v>Cây lát đường kính gốc &gt; 10 cm đến 20cm</v>
          </cell>
        </row>
        <row r="694">
          <cell r="A694" t="str">
            <v>Cây lát đường kính gốc &gt; 20 cm đến 30cm</v>
          </cell>
        </row>
        <row r="695">
          <cell r="A695" t="str">
            <v>Cây lát đường kính gốc &gt; 30 cm</v>
          </cell>
        </row>
        <row r="696">
          <cell r="A696" t="str">
            <v xml:space="preserve">Cây Vông </v>
          </cell>
        </row>
        <row r="697">
          <cell r="A697" t="str">
            <v>Cây vông mới trồng, đường kính gốc &lt; 5cm</v>
          </cell>
        </row>
        <row r="698">
          <cell r="A698" t="str">
            <v>Cây vông đường kính gốc từ 5cm đến 10cm</v>
          </cell>
        </row>
        <row r="699">
          <cell r="A699" t="str">
            <v>Cây vông đường kính gốc &gt;10 cm đến 20cm</v>
          </cell>
        </row>
        <row r="700">
          <cell r="A700" t="str">
            <v>Cây vông đường kính gốc &gt; 20 cm đến 30 cm</v>
          </cell>
        </row>
        <row r="701">
          <cell r="A701" t="str">
            <v>Cây vông đường kính gốc &gt; 30 cm</v>
          </cell>
        </row>
        <row r="702">
          <cell r="A702" t="str">
            <v>CÂY TRỒNG KHÁC</v>
          </cell>
        </row>
        <row r="703">
          <cell r="A703" t="str">
            <v>Dâu trồng lấy lá nuôi tằm (tính theo thời gian trồng)</v>
          </cell>
        </row>
        <row r="704">
          <cell r="A704" t="str">
            <v>Cây dâu trồng lấy lá nuôi tằm giống đủ tiêu chuẩn mới trồng &lt; 3 tháng</v>
          </cell>
        </row>
        <row r="705">
          <cell r="A705" t="str">
            <v xml:space="preserve"> Cây dâu trồng lấy lá nuôi tằm 3 tháng £ thời gian trồng &lt; 1 năm</v>
          </cell>
        </row>
        <row r="706">
          <cell r="A706" t="str">
            <v>Cây dâu trồng lấy lá nuôi tằm 1 năm £ thời gian trồng &lt; 2 năm</v>
          </cell>
        </row>
        <row r="707">
          <cell r="A707" t="str">
            <v>Cây dâu trồng lấy lá nuôi tằm thời gian trồng ³ 2 năm</v>
          </cell>
        </row>
        <row r="708">
          <cell r="A708" t="str">
            <v>Dâu ăn quả</v>
          </cell>
        </row>
        <row r="709">
          <cell r="A709" t="str">
            <v xml:space="preserve">Cây dâu ăn quả giống đủ tiêu chuẩn mới trồng </v>
          </cell>
        </row>
        <row r="710">
          <cell r="A710" t="str">
            <v>Cây dâu ăn quả có đường kính 1cm £ F &lt; 2cm</v>
          </cell>
        </row>
        <row r="711">
          <cell r="A711" t="str">
            <v>Cây dâu ăn quả có đường kính 2cm £ F &lt; 4cm</v>
          </cell>
        </row>
        <row r="712">
          <cell r="A712" t="str">
            <v>Cây dâu ăn quả có đường kính 4cm £ F &lt; 6cm</v>
          </cell>
        </row>
        <row r="713">
          <cell r="A713" t="str">
            <v>Cây dâu ăn quả có đường kính 6cm £ F &lt; 10cm</v>
          </cell>
        </row>
        <row r="714">
          <cell r="A714" t="str">
            <v>Cây dâu ăn quả có đường kính  F ³ 10cm</v>
          </cell>
        </row>
        <row r="715">
          <cell r="A715" t="str">
            <v xml:space="preserve">Chè </v>
          </cell>
        </row>
        <row r="716">
          <cell r="A716" t="str">
            <v xml:space="preserve">Cây chè giống đủ tiêu chuẩn mới trồng  </v>
          </cell>
        </row>
        <row r="717">
          <cell r="A717" t="str">
            <v>Cây chè trồng theo luống, dảnh có thời gian &lt; 6 tháng</v>
          </cell>
        </row>
        <row r="718">
          <cell r="A718" t="str">
            <v>Cây chè trồng theo luống, dảnh có thời gian ≥ 6 tháng</v>
          </cell>
        </row>
        <row r="719">
          <cell r="A719" t="str">
            <v>Cây chè trồng đơn lẻ có đường kính tán lá Φ  &lt; 0,5m</v>
          </cell>
        </row>
        <row r="720">
          <cell r="A720" t="str">
            <v xml:space="preserve">Cây chè trồng đơn lẻ có đường kính tán lá 0,5m ≤ Φ &lt; 1m </v>
          </cell>
        </row>
        <row r="721">
          <cell r="A721" t="str">
            <v>Cây chè trồng đơn lẻ có đường kính tán lá 1m ≤ Φ &lt; 1,5m</v>
          </cell>
        </row>
        <row r="722">
          <cell r="A722" t="str">
            <v>Cây chè trồng đơn lẻ có đường kính tán lá 1,5m ≤ Φ &lt; 2m</v>
          </cell>
        </row>
        <row r="723">
          <cell r="A723" t="str">
            <v>Cây chè trồng đơn lẻ có đường kính tán lá Φ ≥ 2m</v>
          </cell>
        </row>
        <row r="724">
          <cell r="A724" t="str">
            <v>Mây</v>
          </cell>
        </row>
        <row r="725">
          <cell r="A725" t="str">
            <v xml:space="preserve">Cây mây giống đủ tiêu chuẩn mới trồng </v>
          </cell>
        </row>
        <row r="726">
          <cell r="A726" t="str">
            <v>Cây mây chưa đến kỳ thu hoạch (tính theo khóm)</v>
          </cell>
        </row>
        <row r="727">
          <cell r="A727" t="str">
            <v>Dâm bụt, găng, tre gai... trồng hàng rào</v>
          </cell>
        </row>
        <row r="728">
          <cell r="A728" t="str">
            <v>Lộc vừng, sanh, si (ươm, trồng dưới đất, tính theo đường kính tán F)</v>
          </cell>
        </row>
        <row r="729">
          <cell r="A729" t="str">
            <v xml:space="preserve">Cây sanh có đường kính tán 0,5m  ≤ Φ &lt; 0,7m </v>
          </cell>
        </row>
        <row r="730">
          <cell r="A730" t="str">
            <v xml:space="preserve">Cây sanh có đường kính tán 0,7m  ≤ Φ &lt; 1,0m </v>
          </cell>
        </row>
        <row r="731">
          <cell r="A731" t="str">
            <v>Cây sanh có đường kính tán 1,0m  ≤ Φ &lt; 1,5m</v>
          </cell>
        </row>
        <row r="732">
          <cell r="A732" t="str">
            <v>Cây sanh có đường kính tán 1,5m ≤ Φ &lt; 2,0m</v>
          </cell>
        </row>
        <row r="733">
          <cell r="A733" t="str">
            <v>Cây sanh có đường kính tán 2,0m  ≤ Φ &lt; 3,0m</v>
          </cell>
        </row>
        <row r="734">
          <cell r="A734" t="str">
            <v>Cây sanh có đường kính tán 3,0m ≤ Φ &lt; 4,0m</v>
          </cell>
        </row>
        <row r="735">
          <cell r="A735" t="str">
            <v>Cây sanh có đường kính tán Φ ≥  4,0m</v>
          </cell>
        </row>
        <row r="736">
          <cell r="A736" t="str">
            <v xml:space="preserve">Cây lộc vừng có đường kính tán 0,5m  ≤ Φ &lt; 0,7m </v>
          </cell>
        </row>
        <row r="737">
          <cell r="A737" t="str">
            <v xml:space="preserve">Cây lộc vừng có đường kính tán 0,7m  ≤ Φ &lt; 1,0m </v>
          </cell>
        </row>
        <row r="738">
          <cell r="A738" t="str">
            <v>Cây lộc vừng có đường kính tán 1,0m  ≤ Φ &lt; 1,5m</v>
          </cell>
        </row>
        <row r="739">
          <cell r="A739" t="str">
            <v>Cây lộc vừng có đường kính tán 1,5m ≤ Φ &lt; 2,0m</v>
          </cell>
        </row>
        <row r="740">
          <cell r="A740" t="str">
            <v>Cây lộc vừng có đường kính tán 2,0m  ≤ Φ &lt; 3,0m</v>
          </cell>
        </row>
        <row r="741">
          <cell r="A741" t="str">
            <v>Cây lộc vừng có đường kính tán 3,0m ≤ Φ &lt; 4,0m</v>
          </cell>
        </row>
        <row r="742">
          <cell r="A742" t="str">
            <v>Cây lộc vừng có đường kính tán Φ ≥  4,0m</v>
          </cell>
        </row>
        <row r="743">
          <cell r="A743" t="str">
            <v xml:space="preserve">Cây si có đường kính tán 0,5m  ≤ Φ &lt; 0,7m </v>
          </cell>
        </row>
        <row r="744">
          <cell r="A744" t="str">
            <v xml:space="preserve">Cây si có đường kính tán 0,7m  ≤ Φ &lt; 1,0m </v>
          </cell>
        </row>
        <row r="745">
          <cell r="A745" t="str">
            <v>Cây si có đường kính tán 1,0m  ≤ Φ &lt; 1,5m</v>
          </cell>
        </row>
        <row r="746">
          <cell r="A746" t="str">
            <v>Cây si có đường kính tán 1,5m ≤ Φ &lt; 2,0m</v>
          </cell>
        </row>
        <row r="747">
          <cell r="A747" t="str">
            <v>Cây si có đường kính tán 2,0m  ≤ Φ &lt; 3,0m</v>
          </cell>
        </row>
        <row r="748">
          <cell r="A748" t="str">
            <v>Cây si có đường kính tán 3,0m ≤ Φ &lt; 4,0m</v>
          </cell>
        </row>
        <row r="749">
          <cell r="A749" t="str">
            <v>Cây si có đường kính tán Φ ≥  4,0m</v>
          </cell>
        </row>
        <row r="750">
          <cell r="A750" t="str">
            <v xml:space="preserve">Cau vua, thiết mộc lan, hoa giấy (ươm, trồng dưới đất, chiều cao cây H ³  50cm, tính theo đường kính gốc F) </v>
          </cell>
        </row>
        <row r="751">
          <cell r="A751" t="str">
            <v xml:space="preserve">Cây cau vua có đường kính gốc 0,03m  ≤ Φ &lt; 0,05m </v>
          </cell>
        </row>
        <row r="752">
          <cell r="A752" t="str">
            <v xml:space="preserve">Cây cau vua có đường kính gốc 0,05m  ≤ Φ &lt; 0,10m </v>
          </cell>
        </row>
        <row r="753">
          <cell r="A753" t="str">
            <v>Cây cau vua có đường kính gốc 0,10m  ≤ Φ &lt; 0,15m</v>
          </cell>
        </row>
        <row r="754">
          <cell r="A754" t="str">
            <v>Cây cau vua có đường kính gốc 0,15m ≤ Φ &lt; 0,20m</v>
          </cell>
        </row>
        <row r="755">
          <cell r="A755" t="str">
            <v>Cây cau vua có đường kính gốc 0,20m  ≤ Φ &lt; 0,25m</v>
          </cell>
        </row>
        <row r="756">
          <cell r="A756" t="str">
            <v>Cây cau vua có đường kính gốc 0,25m ≤ Φ &lt; 0,30m</v>
          </cell>
        </row>
        <row r="757">
          <cell r="A757" t="str">
            <v>Cây cau vua có đường kính gốc 0,30m  ≤ Φ &lt; 0,35m</v>
          </cell>
        </row>
        <row r="758">
          <cell r="A758" t="str">
            <v>Cây cau vua có đường kính gốc Φ ≥  0,35m</v>
          </cell>
        </row>
        <row r="759">
          <cell r="A759" t="str">
            <v xml:space="preserve">Cây thiết mộc lan có đường kính gốc 0,03m  ≤ Φ &lt; 0,05m </v>
          </cell>
        </row>
        <row r="760">
          <cell r="A760" t="str">
            <v xml:space="preserve">Cây thiết mộc lan có đường kính gốc 0,05m  ≤ Φ &lt; 0,10m </v>
          </cell>
        </row>
        <row r="761">
          <cell r="A761" t="str">
            <v>Cây thiết mộc lan có đường kính gốc 0,10m  ≤ Φ &lt; 0,15m</v>
          </cell>
        </row>
        <row r="762">
          <cell r="A762" t="str">
            <v>Cây thiết mộc lan có đường kính gốc 0,15m ≤ Φ &lt; 0,20m</v>
          </cell>
        </row>
        <row r="763">
          <cell r="A763" t="str">
            <v>Cây thiết mộc lan có đường kính gốc 0,20m  ≤ Φ &lt; 0,25m</v>
          </cell>
        </row>
        <row r="764">
          <cell r="A764" t="str">
            <v>Cây thiết mộc lan có đường kính gốc 0,25m ≤ Φ &lt; 0,30m</v>
          </cell>
        </row>
        <row r="765">
          <cell r="A765" t="str">
            <v>Cây thiết mộc lan có đường kính gốc 0,30m  ≤ Φ &lt; 0,35m</v>
          </cell>
        </row>
        <row r="766">
          <cell r="A766" t="str">
            <v>Cây thiết mộc lan có đường kính gốc Φ ≥  0,35m</v>
          </cell>
        </row>
        <row r="767">
          <cell r="A767" t="str">
            <v xml:space="preserve">Cây hoa giấy có đường kính gốc 0,03m  ≤ Φ &lt; 0,05m </v>
          </cell>
        </row>
        <row r="768">
          <cell r="A768" t="str">
            <v xml:space="preserve">Cây hoa giấy có đường kính gốc 0,05m  ≤ Φ &lt; 0,10m </v>
          </cell>
        </row>
        <row r="769">
          <cell r="A769" t="str">
            <v>Cây hoa giấy có đường kính gốc 0,10m  ≤ Φ &lt; 0,15m</v>
          </cell>
        </row>
        <row r="770">
          <cell r="A770" t="str">
            <v>Cây hoa giấy có đường kính gốc 0,15m ≤ Φ &lt; 0,20m</v>
          </cell>
        </row>
        <row r="771">
          <cell r="A771" t="str">
            <v>Cây hoa giấy có đường kính gốc 0,20m  ≤ Φ &lt; 0,25m</v>
          </cell>
        </row>
        <row r="772">
          <cell r="A772" t="str">
            <v>Cây hoa giấy có đường kính gốc 0,25m ≤ Φ &lt; 0,30m</v>
          </cell>
        </row>
        <row r="773">
          <cell r="A773" t="str">
            <v>Cây hoa giấy có đường kính gốc 0,30m  ≤ Φ &lt; 0,35m</v>
          </cell>
        </row>
        <row r="774">
          <cell r="A774" t="str">
            <v>Cây hoa giấy có đường kính gốc Φ ≥  0,35m</v>
          </cell>
        </row>
        <row r="775">
          <cell r="A775" t="str">
            <v>Cau trắng, cau sâm banh, cau lợn cọ, cau Nhật liên, tùng la hán (ươm, trồng dưới đất, chiều cao cây H ³  50cm, tính theo đường kính gốc F)</v>
          </cell>
        </row>
        <row r="776">
          <cell r="A776" t="str">
            <v xml:space="preserve">Cây cau trắng có đường kính gốc 0,03m  ≤ Φ &lt; 0,05m </v>
          </cell>
        </row>
        <row r="777">
          <cell r="A777" t="str">
            <v xml:space="preserve">Cây cau trắng có đường kính gốc 0,05m  ≤ Φ &lt; 0,10m </v>
          </cell>
        </row>
        <row r="778">
          <cell r="A778" t="str">
            <v>Cây cau trắng có đường kính gốc 0,10m  ≤ Φ &lt; 0,15m</v>
          </cell>
        </row>
        <row r="779">
          <cell r="A779" t="str">
            <v>Cây cau trắng có đường kính gốc 0,15m ≤ Φ &lt; 0,20m</v>
          </cell>
        </row>
        <row r="780">
          <cell r="A780" t="str">
            <v>Cây cau trắng có đường kính gốc 0,20m  ≤ Φ &lt; 0,25m</v>
          </cell>
        </row>
        <row r="781">
          <cell r="A781" t="str">
            <v>Cây cau trắng có đường kính gốc 0,25m ≤ Φ &lt; 0,30m</v>
          </cell>
        </row>
        <row r="782">
          <cell r="A782" t="str">
            <v>Cây cau trắng có đường kính gốc 0,30m  ≤ Φ &lt; 0,35m</v>
          </cell>
        </row>
        <row r="783">
          <cell r="A783" t="str">
            <v>Cây cau trắng có đường kính gốc Φ ≥  0,35m</v>
          </cell>
        </row>
        <row r="784">
          <cell r="A784" t="str">
            <v xml:space="preserve">Cây cau sâm banh có đường kính gốc 0,03m  ≤ Φ &lt; 0,05m </v>
          </cell>
        </row>
        <row r="785">
          <cell r="A785" t="str">
            <v xml:space="preserve">Cây cau sâm banh có đường kính gốc 0,05m  ≤ Φ &lt; 0,10m </v>
          </cell>
        </row>
        <row r="786">
          <cell r="A786" t="str">
            <v>Cây cau sâm banh có đường kính gốc 0,10m  ≤ Φ &lt; 0,15m</v>
          </cell>
        </row>
        <row r="787">
          <cell r="A787" t="str">
            <v>Cây cau sâm banh có đường kính gốc 0,15m ≤ Φ &lt; 0,20m</v>
          </cell>
        </row>
        <row r="788">
          <cell r="A788" t="str">
            <v>Cây cau sâm banh có đường kính gốc 0,20m  ≤ Φ &lt; 0,25m</v>
          </cell>
        </row>
        <row r="789">
          <cell r="A789" t="str">
            <v>Cây cau sâm banh có đường kính gốc 0,25m ≤ Φ &lt; 0,30m</v>
          </cell>
        </row>
        <row r="790">
          <cell r="A790" t="str">
            <v>Cây cau sâm banh có đường kính gốc 0,30m  ≤ Φ &lt; 0,35m</v>
          </cell>
        </row>
        <row r="791">
          <cell r="A791" t="str">
            <v>Cây cau sâm banh có đường kính gốc Φ ≥  0,35m</v>
          </cell>
        </row>
        <row r="792">
          <cell r="A792" t="str">
            <v xml:space="preserve">Cây cau lợn cọ có đường kính gốc 0,03m  ≤ Φ &lt; 0,05m </v>
          </cell>
        </row>
        <row r="793">
          <cell r="A793" t="str">
            <v xml:space="preserve">Cây cau lợn cọ có đường kính gốc 0,05m  ≤ Φ &lt; 0,10m </v>
          </cell>
        </row>
        <row r="794">
          <cell r="A794" t="str">
            <v>Cây cau lợn cọ có đường kính gốc 0,10m  ≤ Φ &lt; 0,15m</v>
          </cell>
        </row>
        <row r="795">
          <cell r="A795" t="str">
            <v>Cây cau lợn cọ có đường kính gốc 0,15m ≤ Φ &lt; 0,20m</v>
          </cell>
        </row>
        <row r="796">
          <cell r="A796" t="str">
            <v>Cây cau lợn cọ có đường kính gốc 0,20m  ≤ Φ &lt; 0,25m</v>
          </cell>
        </row>
        <row r="797">
          <cell r="A797" t="str">
            <v>Cây cau lợn cọ có đường kính gốc 0,25m ≤ Φ &lt; 0,30m</v>
          </cell>
        </row>
        <row r="798">
          <cell r="A798" t="str">
            <v>Cây cau lợn cọ có đường kính gốc 0,30m  ≤ Φ &lt; 0,35m</v>
          </cell>
        </row>
        <row r="799">
          <cell r="A799" t="str">
            <v>Cây cau lợn cọ có đường kính gốc Φ ≥  0,35m</v>
          </cell>
        </row>
        <row r="800">
          <cell r="A800" t="str">
            <v xml:space="preserve">Cây tùng la hán có đường kính gốc 0,03m  ≤ Φ &lt; 0,05m </v>
          </cell>
        </row>
        <row r="801">
          <cell r="A801" t="str">
            <v xml:space="preserve">Cây tùng la hán có đường kính gốc 0,05m  ≤ Φ &lt; 0,10m </v>
          </cell>
        </row>
        <row r="802">
          <cell r="A802" t="str">
            <v>Cây tùng la hán có đường kính gốc 0,10m  ≤ Φ &lt; 0,15m</v>
          </cell>
        </row>
        <row r="803">
          <cell r="A803" t="str">
            <v>Cây tùng la hán có đường kính gốc 0,15m ≤ Φ &lt; 0,20m</v>
          </cell>
        </row>
        <row r="804">
          <cell r="A804" t="str">
            <v>Cây tùng la hán có đường kính gốc 0,20m  ≤ Φ &lt; 0,25m</v>
          </cell>
        </row>
        <row r="805">
          <cell r="A805" t="str">
            <v>Cây tùng la hán có đường kính gốc 0,25m ≤ Φ &lt; 0,30m</v>
          </cell>
        </row>
        <row r="806">
          <cell r="A806" t="str">
            <v>Cây tùng la hán có đường kính gốc 0,30m  ≤ Φ &lt; 0,35m</v>
          </cell>
        </row>
        <row r="807">
          <cell r="A807" t="str">
            <v>Cây tùng la hán có đường kính gốc Φ ≥  0,35m</v>
          </cell>
        </row>
        <row r="808">
          <cell r="A808" t="str">
            <v>Cau bụi, cau kiểng vàng (trồng khóm dưới đất, khóm cách khóm &gt; 3m, chiều cao khóm H ³  50cm, tính theo đường kính khóm F)</v>
          </cell>
        </row>
        <row r="809">
          <cell r="A809" t="str">
            <v>Cau bụi, cau kiểng vàng có đường kính khóm Φ ≤ 1,0m</v>
          </cell>
        </row>
        <row r="810">
          <cell r="A810" t="str">
            <v xml:space="preserve">Cau bụi, cau kiểng vàng có đường kính khóm 1,0m ≤ Φ &lt; 1,5m </v>
          </cell>
        </row>
        <row r="811">
          <cell r="A811" t="str">
            <v xml:space="preserve">Cau bụi, cau kiểng vàng có đường kính khóm 1,5m ≤ Φ &lt; 2,0m </v>
          </cell>
        </row>
        <row r="812">
          <cell r="A812" t="str">
            <v>Cau bụi, cau kiểng vàng có đường kính khóm 2,0m ≤ Φ &lt; 2,5m</v>
          </cell>
        </row>
        <row r="813">
          <cell r="A813" t="str">
            <v>Cau bụi, cau kiểng vàng có đường kính khóm Φ ≥  2,5m</v>
          </cell>
        </row>
        <row r="814">
          <cell r="A814" t="str">
            <v>Hoa ngọc lan, ngâu, hoa sứ, mai tứ quý (đã chiết ghép, trồng dưới đất, tính theo đường kính tán F)</v>
          </cell>
        </row>
        <row r="815">
          <cell r="A815" t="str">
            <v>Cây hoa ngọc lan giống đủ tiêu chuẩn mới trồng, chưa ra hoa</v>
          </cell>
        </row>
        <row r="816">
          <cell r="A816" t="str">
            <v xml:space="preserve">Cây hoa ngọc lan có đường kính tán Φ  &lt; 1,0m (đã có hoa) </v>
          </cell>
        </row>
        <row r="817">
          <cell r="A817" t="str">
            <v xml:space="preserve">Cây hoa ngọc lan có đường kính tán 1,0m  ≤ Φ &lt;2,0m (đã có hoa) </v>
          </cell>
        </row>
        <row r="818">
          <cell r="A818" t="str">
            <v xml:space="preserve">Cây hoa ngọc lan có đường kính tán 2,0m  ≤ Φ &lt; 3,0m (đã có hoa) </v>
          </cell>
        </row>
        <row r="819">
          <cell r="A819" t="str">
            <v xml:space="preserve">Cây hoa ngọc lan có đường kính tán 3,0m  ≤ Φ &lt;4,0m (đã có hoa) </v>
          </cell>
        </row>
        <row r="820">
          <cell r="A820" t="str">
            <v xml:space="preserve">Cây hoa ngọc lan có đường kính tán Φ ≥  4,0m </v>
          </cell>
        </row>
        <row r="821">
          <cell r="A821" t="str">
            <v>Cây ngâu giống đủ tiêu chuẩn mới trồng, chưa ra hoa</v>
          </cell>
        </row>
        <row r="822">
          <cell r="A822" t="str">
            <v xml:space="preserve">Cây ngâu có đường kính tán Φ  &lt; 1,0m (đã có hoa) </v>
          </cell>
        </row>
        <row r="823">
          <cell r="A823" t="str">
            <v xml:space="preserve">Cây ngâu có đường kính tán 1,0m  ≤ Φ &lt;2,0m (đã có hoa) </v>
          </cell>
        </row>
        <row r="824">
          <cell r="A824" t="str">
            <v xml:space="preserve">Cây ngâu có đường kính tán 2,0m  ≤ Φ &lt; 3,0m (đã có hoa) </v>
          </cell>
        </row>
        <row r="825">
          <cell r="A825" t="str">
            <v xml:space="preserve">Cây ngâu có đường kính tán 3,0m  ≤ Φ &lt;4,0m (đã có hoa) </v>
          </cell>
        </row>
        <row r="826">
          <cell r="A826" t="str">
            <v xml:space="preserve">Cây ngâu có đường kính tán Φ ≥  4,0m </v>
          </cell>
        </row>
        <row r="827">
          <cell r="A827" t="str">
            <v>Cây hoa sứ giống đủ tiêu chuẩn mới trồng, chưa ra hoa</v>
          </cell>
        </row>
        <row r="828">
          <cell r="A828" t="str">
            <v xml:space="preserve">Cây hoa sứ có đường kính tán Φ  &lt; 1,0m (đã có hoa) </v>
          </cell>
        </row>
        <row r="829">
          <cell r="A829" t="str">
            <v xml:space="preserve">Cây hoa sứ có đường kính tán 1,0m  ≤ Φ &lt;2,0m (đã có hoa) </v>
          </cell>
        </row>
        <row r="830">
          <cell r="A830" t="str">
            <v xml:space="preserve">Cây hoa sứ có đường kính tán 2,0m  ≤ Φ &lt; 3,0m (đã có hoa) </v>
          </cell>
        </row>
        <row r="831">
          <cell r="A831" t="str">
            <v xml:space="preserve">Cây hoa sứ có đường kính tán 3,0m  ≤ Φ &lt;4,0m (đã có hoa) </v>
          </cell>
        </row>
        <row r="832">
          <cell r="A832" t="str">
            <v xml:space="preserve">Cây hoa sứ có đường kính tán Φ ≥  4,0m </v>
          </cell>
        </row>
        <row r="833">
          <cell r="A833" t="str">
            <v>Cây mai tứ quý giống đủ tiêu chuẩn mới trồng, chưa ra hoa</v>
          </cell>
        </row>
        <row r="834">
          <cell r="A834" t="str">
            <v xml:space="preserve">Cây mai tứ quý có đường kính tán Φ  &lt; 1,0m (đã có hoa) </v>
          </cell>
        </row>
        <row r="835">
          <cell r="A835" t="str">
            <v xml:space="preserve">Cây mai tứ quý có đường kính tán 1,0m  ≤ Φ &lt;2,0m (đã có hoa) </v>
          </cell>
        </row>
        <row r="836">
          <cell r="A836" t="str">
            <v xml:space="preserve">Cây mai tứ quý có đường kính tán 2,0m  ≤ Φ &lt; 3,0m (đã có hoa) </v>
          </cell>
        </row>
        <row r="837">
          <cell r="A837" t="str">
            <v xml:space="preserve">Cây mai tứ quý có đường kính tán 3,0m  ≤ Φ &lt;4,0m (đã có hoa) </v>
          </cell>
        </row>
        <row r="838">
          <cell r="A838" t="str">
            <v xml:space="preserve">Cây mai tứ quý có đường kính tán Φ ≥  4,0m </v>
          </cell>
        </row>
        <row r="839">
          <cell r="A839" t="str">
            <v xml:space="preserve">Sưa (ươm, trồng dưới đất, tính theo đường kính gốc F) </v>
          </cell>
        </row>
        <row r="840">
          <cell r="A840" t="str">
            <v>Cây sưa giống đủ tiêu chuẩn, mới trồng, chiều cao cây H ≥ 30cm</v>
          </cell>
        </row>
        <row r="841">
          <cell r="A841" t="str">
            <v>Cây sưa có đường kính gốc 0,01m  ≤ Φ &lt; 0,05m, chiều cao cây H ≥  50cm</v>
          </cell>
        </row>
        <row r="842">
          <cell r="A842" t="str">
            <v>Cây sưa có đường kính gốc 0,05m  ≤ Φ &lt; 0,10m, chiều cao cây H ≥  50cm</v>
          </cell>
        </row>
        <row r="843">
          <cell r="A843" t="str">
            <v>Cây sưa có đường kính gốc 0,10m  ≤ Φ &lt; 0,15m, chiều cao cây H ≥  50cm</v>
          </cell>
        </row>
        <row r="844">
          <cell r="A844" t="str">
            <v>Cây sưa có đường kính gốc 0,15m ≤ Φ &lt; 0,20m, chiều cao cây H ≥  50cm</v>
          </cell>
        </row>
        <row r="845">
          <cell r="A845" t="str">
            <v>Cây sưa có đường kính gốc 0,20m  ≤ Φ &lt; 0,25m, chiều cao cây H ≥  50cm</v>
          </cell>
        </row>
        <row r="846">
          <cell r="A846" t="str">
            <v>Cây sưa có đường kính gốc 0,25m ≤ Φ &lt; 0,30m, chiều cao cây H ≥ 50cm</v>
          </cell>
        </row>
        <row r="847">
          <cell r="A847" t="str">
            <v>Cây sưa có đường kính gốc 0,30m  ≤ Φ &lt; 0,35m, chiều cao cây H ≥  50cm</v>
          </cell>
        </row>
        <row r="848">
          <cell r="A848" t="str">
            <v>Cây sưa có đường kính gốc Φ ≥ 0,35m</v>
          </cell>
        </row>
        <row r="849">
          <cell r="A849" t="str">
            <v>Cọ trồng làm cảnh (tính theo đường kính tán F)</v>
          </cell>
        </row>
        <row r="850">
          <cell r="A850" t="str">
            <v>Cây cọ trồng làm cảnh có đường kính tán 0,5m ≤ Φ &lt;0,7m</v>
          </cell>
        </row>
        <row r="851">
          <cell r="A851" t="str">
            <v>Cây cọ trồng làm cảnh có đường kính tán 0,7m ≤ Φ &lt; 1,0m</v>
          </cell>
        </row>
        <row r="852">
          <cell r="A852" t="str">
            <v>Cây cọ trồng làm cảnh có đường kính tán 1,0m ≤ Φ &lt; 1,5m</v>
          </cell>
        </row>
        <row r="853">
          <cell r="A853" t="str">
            <v xml:space="preserve">Cây cọ trồng làm cảnh có đường kính tán 1,5m ≤ Φ &lt; 2,0m </v>
          </cell>
        </row>
        <row r="854">
          <cell r="A854" t="str">
            <v xml:space="preserve">Cây cọ trồng làm cảnh có đường kính tán 2,0m ≤ Φ &lt; 3,0m      </v>
          </cell>
        </row>
        <row r="855">
          <cell r="A855" t="str">
            <v>Cây cọ trồng làm cảnh có đường kính tán 3,0m ≤ Φ &lt; 4,0m</v>
          </cell>
        </row>
        <row r="856">
          <cell r="A856" t="str">
            <v>Cây cọ trồng làm cảnh có đường kính tán Φ ≥ 4,0m</v>
          </cell>
        </row>
        <row r="857">
          <cell r="A857" t="str">
            <v xml:space="preserve">Mai vàng (trồng dưới đất, tính theo đường kính gốc F) </v>
          </cell>
        </row>
        <row r="858">
          <cell r="A858" t="str">
            <v>Cây mai vàng có đường kính gốc 0,5cm ≤ Φ &lt; 1cm</v>
          </cell>
        </row>
        <row r="859">
          <cell r="A859" t="str">
            <v>Cây mai vàng có đường kính gốc 1cm ≤ Φ &lt; 2cm</v>
          </cell>
        </row>
        <row r="860">
          <cell r="A860" t="str">
            <v>Cây mai vàng có đường kính gốc 2cm ≤ Φ &lt; 4cm</v>
          </cell>
        </row>
        <row r="861">
          <cell r="A861" t="str">
            <v>Cây mai vàng có đường kính gốc 4cm ≤ Φ &lt; 6cm</v>
          </cell>
        </row>
        <row r="862">
          <cell r="A862" t="str">
            <v xml:space="preserve">Cây mai vàng có đường kính gốc 6cm ≤ Φ &lt; 10cm </v>
          </cell>
        </row>
        <row r="863">
          <cell r="A863" t="str">
            <v xml:space="preserve">Cây mai vàng có đường kính gốc Φ ≥ 10cm </v>
          </cell>
        </row>
        <row r="864">
          <cell r="A864" t="str">
            <v>Cây Móc Mật (Mác Mật)</v>
          </cell>
        </row>
        <row r="865">
          <cell r="A865" t="str">
            <v>Cây móc mật (mác mật) mới trồng, đường kính gốc &lt; 2cm</v>
          </cell>
        </row>
        <row r="866">
          <cell r="A866" t="str">
            <v>Cây móc mật (mác mật) đường kính gốc từ 2 đến 5cm.</v>
          </cell>
        </row>
        <row r="867">
          <cell r="A867" t="str">
            <v>Cây móc mật (mác mật) đường kính gốc &gt; 5 đến 10 cm</v>
          </cell>
        </row>
        <row r="868">
          <cell r="A868" t="str">
            <v>Cây móc mật (mác mật) đường kính gốc &gt; 10 đến 15 cm</v>
          </cell>
        </row>
        <row r="869">
          <cell r="A869" t="str">
            <v>Cây móc mật (mác mật) đường kính gốc &gt; 15 đến 20 cm</v>
          </cell>
        </row>
        <row r="870">
          <cell r="A870" t="str">
            <v>Cây móc mật (mác mật) đường kính gốc &gt; 20cm</v>
          </cell>
        </row>
        <row r="871">
          <cell r="A871" t="str">
            <v xml:space="preserve">Đào tiên (tính theo đường kính gốc F) </v>
          </cell>
        </row>
        <row r="872">
          <cell r="A872" t="str">
            <v>Đào tiên giống đủ tiêu chuẩn mới trồng</v>
          </cell>
        </row>
        <row r="873">
          <cell r="A873" t="str">
            <v>Đào tiên loại cây ghép có chiều cao cây 40cm ≤ Φ &lt; 1m</v>
          </cell>
        </row>
        <row r="874">
          <cell r="A874" t="str">
            <v>Đào tiên loại cây ghép có chiều cao cây H ≥ 1m</v>
          </cell>
        </row>
        <row r="875">
          <cell r="A875" t="str">
            <v>Đào tiên loại cây chiết cành có chiều cao cây 40cm ≤ Φ &lt; 1m</v>
          </cell>
        </row>
        <row r="876">
          <cell r="A876" t="str">
            <v>Đào tiên loại cây chiết cành có chiều cao cây H ≥ 1m</v>
          </cell>
        </row>
        <row r="877">
          <cell r="A877" t="str">
            <v>Cây đào tiên đường kính gốc 1cm ≤ Φ &lt; 2cm</v>
          </cell>
        </row>
        <row r="878">
          <cell r="A878" t="str">
            <v>Cây đào tiên đường kính gốc 2cm ≤ Φ &lt; 5cm</v>
          </cell>
        </row>
        <row r="879">
          <cell r="A879" t="str">
            <v xml:space="preserve">Cây đào tiên đường kính gốc 5cm ≤ Φ &lt; 7cm </v>
          </cell>
        </row>
        <row r="880">
          <cell r="A880" t="str">
            <v xml:space="preserve">Cây đào tiên đường kính gốc 7cm ≤ Φ &lt; 9cm </v>
          </cell>
        </row>
        <row r="881">
          <cell r="A881" t="str">
            <v xml:space="preserve">Cây đào tiên đường kính gốc 9cm ≤ Φ &lt; 12cm </v>
          </cell>
        </row>
        <row r="882">
          <cell r="A882" t="str">
            <v xml:space="preserve">Cây đào tiên đường kính gốc 12cm ≤ Φ &lt; 15cm </v>
          </cell>
        </row>
        <row r="883">
          <cell r="A883" t="str">
            <v xml:space="preserve">Cây đào tiên đường kính gốc 15cm ≤ Φ &lt; 20cm </v>
          </cell>
        </row>
        <row r="884">
          <cell r="A884" t="str">
            <v>Cây đào tiên đường kính gốc 20cm ≤ Φ &lt; 25cm</v>
          </cell>
        </row>
        <row r="885">
          <cell r="A885" t="str">
            <v xml:space="preserve">Cây đào tiên đường kính gốc Φ ≥ 25cm </v>
          </cell>
        </row>
        <row r="886">
          <cell r="A886" t="str">
            <v xml:space="preserve">Gáo (tính theo đường kính gốc F) </v>
          </cell>
        </row>
        <row r="887">
          <cell r="A887" t="str">
            <v>Cây gáo giống đủ tiêu chuẩn mới trồng, chiều cao cây  H ≥ 40cm</v>
          </cell>
        </row>
        <row r="888">
          <cell r="A888" t="str">
            <v>Cây gáo có đường kính gốc 1cm ≤ Φ &lt; 3cm</v>
          </cell>
        </row>
        <row r="889">
          <cell r="A889" t="str">
            <v>Cây gáo có đường kính gốc 3cm ≤ Φ &lt; 5cm</v>
          </cell>
        </row>
        <row r="890">
          <cell r="A890" t="str">
            <v>Cây gáo có đường kính gốc 5cm ≤ Φ &lt; 10cm</v>
          </cell>
        </row>
        <row r="891">
          <cell r="A891" t="str">
            <v>Cây gáo có đường kính gốc 10cm ≤ Φ &lt; 15cm</v>
          </cell>
        </row>
        <row r="892">
          <cell r="A892" t="str">
            <v>Cây gáo có đường kính gốc 15cm ≤ Φ &lt; 20cm</v>
          </cell>
        </row>
        <row r="893">
          <cell r="A893" t="str">
            <v xml:space="preserve">Cây gáo có đường kính gốc 20cm ≤ Φ &lt; 30cm </v>
          </cell>
        </row>
        <row r="894">
          <cell r="A894" t="str">
            <v xml:space="preserve">Cây gáo có đường kính gốc 30cm ≤ Φ &lt; 40cm </v>
          </cell>
        </row>
        <row r="895">
          <cell r="A895" t="str">
            <v>Cây gáo có đường kính gốc Φ ≥ 40cm</v>
          </cell>
        </row>
        <row r="896">
          <cell r="A896" t="str">
            <v>Đinh Lăng</v>
          </cell>
        </row>
        <row r="897">
          <cell r="A897" t="str">
            <v>Cây đinh lăng có chiều cao cây H &lt; 50cm</v>
          </cell>
        </row>
        <row r="898">
          <cell r="A898" t="str">
            <v>Cây đinh lăng có chiều cao cây 50cm ≤ H &lt; 100cm</v>
          </cell>
        </row>
        <row r="899">
          <cell r="A899" t="str">
            <v>Cây đinh lăng có chiều cao cây H ≥ 100cm</v>
          </cell>
        </row>
        <row r="900">
          <cell r="A900" t="str">
            <v>Thiên lý (tính theo m2 giàn, không bao gồm chi phí cọc bê tông cốt thép dựng giàn)</v>
          </cell>
        </row>
        <row r="901">
          <cell r="A901" t="str">
            <v>Đối với cây ươm, gieo hoặc cây trồng hàng năm xen dưới tán lá cây lâu năm (tính bình quân trên diện tích cây trồng chiếm chỗ)</v>
          </cell>
        </row>
        <row r="902">
          <cell r="A902" t="str">
            <v>Đối với lâm sản phụ trồng trên diện tích nông nghiệp do Nhà nước giao cho hộ đình, cá nhân để trồng, khoanh, nuôi, bảo vệ, tái sinh rừng, mà khi giao là đất trống, đồi núi trọc... hộ gia đình, cá nhân tự bỏ vốn đầu tư trồng rừng (tính bình quân trên diện tích cây trồng chiếm chỗ)</v>
          </cell>
        </row>
        <row r="903">
          <cell r="A903" t="str">
            <v>Muồng hoàng yến - Osaka vàng (tính theo đường kính gốc)</v>
          </cell>
        </row>
        <row r="904">
          <cell r="A904" t="str">
            <v>Cây muồng hoàng yến - Osaka vàng giống đủ tiêu chuẩn mới trồng, chiều cao cây  H ≤ 40cm</v>
          </cell>
        </row>
        <row r="905">
          <cell r="A905" t="str">
            <v>Cây muồng hoàng yến - Osaka vàng có đường kính gốc 1cm ≤ Φ &lt; 3cm</v>
          </cell>
        </row>
        <row r="906">
          <cell r="A906" t="str">
            <v>Cây muồng hoàng yến - Osaka vàng có đường kính gốc 3cm ≤ Φ &lt; 5cm</v>
          </cell>
        </row>
        <row r="907">
          <cell r="A907" t="str">
            <v>Cây muồng hoàng yến - Osaka vàng có đường kính gốc 5cm ≤ Φ &lt;10cm</v>
          </cell>
        </row>
        <row r="908">
          <cell r="A908" t="str">
            <v>Cây muồng hoàng yến - Osaka vàng có đường kính gốc 10cm ≤ Φ &lt; 15cm</v>
          </cell>
        </row>
        <row r="909">
          <cell r="A909" t="str">
            <v>Cây muồng hoàng yến - Osaka vàng có đường kính gốc 15cm ≤ Φ &lt; 20cm</v>
          </cell>
        </row>
        <row r="910">
          <cell r="A910" t="str">
            <v xml:space="preserve">Cây muồng hoàng yến - Osaka vàng có đường kính gốc 20cm ≤ Φ &lt; 30cm </v>
          </cell>
        </row>
        <row r="911">
          <cell r="A911" t="str">
            <v xml:space="preserve">Cây muồng hoàng yến - Osaka vàng có đường kính gốc 30cm ≤ Φ &lt; 40cm </v>
          </cell>
        </row>
        <row r="912">
          <cell r="A912" t="str">
            <v xml:space="preserve">Cây muồng hoàng yến - Osaka vàng có đường kính gốc Φ  ≥ 40cm </v>
          </cell>
        </row>
        <row r="913">
          <cell r="A913" t="str">
            <v>Bàng Đài Loan (tính theo đường kính gốc )</v>
          </cell>
        </row>
        <row r="914">
          <cell r="A914" t="str">
            <v>Cây bàng Đài Loan giống đủ tiêu chuẩn mới trồng, chiều cao cây  H ≤40cm</v>
          </cell>
        </row>
        <row r="915">
          <cell r="A915" t="str">
            <v>Cây bàng Đài Loan có đường kính gốc 1cm ≤ Φ &lt; 3cm</v>
          </cell>
        </row>
        <row r="916">
          <cell r="A916" t="str">
            <v xml:space="preserve">Cây bàng Đài Loan có đường kính gốc 3cm ≤ Φ &lt; 5cm </v>
          </cell>
        </row>
        <row r="917">
          <cell r="A917" t="str">
            <v>Cây bàng Đài Loan có đường kính gốc 5cm ≤ Φ &lt; 10cm</v>
          </cell>
        </row>
        <row r="918">
          <cell r="A918" t="str">
            <v>Cây bàng Đài Loan có đường kính gốc 10cm ≤ Φ &lt; 15cm</v>
          </cell>
        </row>
        <row r="919">
          <cell r="A919" t="str">
            <v>Cây bàng Đài Loan có đường kính gốc 15cm ≤ Φ &lt; 20cm</v>
          </cell>
        </row>
        <row r="920">
          <cell r="A920" t="str">
            <v xml:space="preserve">Cây bàng Đài Loan có đường kính gốc 20cm ≤ Φ &lt; 25cm </v>
          </cell>
        </row>
        <row r="921">
          <cell r="A921" t="str">
            <v xml:space="preserve">Cây bàng Đài Loan có đường kính gốc 25cm ≤ Φ &lt; 30cm </v>
          </cell>
        </row>
        <row r="922">
          <cell r="A922" t="str">
            <v xml:space="preserve">Cây bàng Đài Loan có đường kính gốc Φ ≥ 30cm </v>
          </cell>
        </row>
        <row r="923">
          <cell r="A923" t="str">
            <v xml:space="preserve">Hoa mẫu đơn ta  </v>
          </cell>
        </row>
        <row r="924">
          <cell r="A924" t="str">
            <v>Cây hoa mẫu đơn ta giống đủ tiêu chuẩn mới trồng, chiều cao cây  H &lt; 40cm</v>
          </cell>
        </row>
        <row r="925">
          <cell r="A925" t="str">
            <v xml:space="preserve">Cây hoa mẫu đơn ta giống đủ tiêu chuẩn mới trồng, chiều cao cây  40cm ≤ H &lt; 100cm </v>
          </cell>
        </row>
        <row r="926">
          <cell r="A926" t="str">
            <v xml:space="preserve">Cây hoa mẫu đơn ta giống đủ tiêu chuẩn mới trồng, chiều cao cây  H ≥ 100cm       </v>
          </cell>
        </row>
        <row r="927">
          <cell r="A927" t="str">
            <v>Cây hoa mẫu đơn ta có đường kính tán &lt;1m, gốc có 5-7 nhánh</v>
          </cell>
        </row>
        <row r="928">
          <cell r="A928" t="str">
            <v>Cây hoa mẫu đơn ta có đường kính tán từ 1,0m đến 1,2m gốc có 5-7 nhánh</v>
          </cell>
        </row>
        <row r="929">
          <cell r="A929" t="str">
            <v>Cây hoa mẫu đơn ta có đường kính tán  1,0m đến 1,2m, gốc có 8-10 nhánh</v>
          </cell>
        </row>
        <row r="930">
          <cell r="A930" t="str">
            <v>Cây hoa mẫu đơn ta có đường kính tán  1,3m đến 1,5 m, gốc có 8-10 nhánh</v>
          </cell>
        </row>
        <row r="931">
          <cell r="A931" t="str">
            <v>Cây hoa mẫu đơn ta có đường kính tán 1,6m đến 2m, gốc có trên 10 nhánh</v>
          </cell>
        </row>
        <row r="932">
          <cell r="A932" t="str">
            <v>Cây hoa mẫu đơn ta có đường kính tán 2,0m đến 2,2 m, gốc có trên 10 nhánh</v>
          </cell>
        </row>
        <row r="933">
          <cell r="A933" t="str">
            <v>Cây hoa mẫu đơn ta có đường kính tán &gt;2,2m đến 2,5m, gốc có trên 10 nhánh</v>
          </cell>
        </row>
        <row r="934">
          <cell r="A934" t="str">
            <v>Cây hoa mẫu đơn ta có đường kính tán &gt;2,5 m, gốc có trên 10 nhánh</v>
          </cell>
        </row>
        <row r="935">
          <cell r="A935" t="str">
            <v>Cây hoa hòe (tính theo đường kính tán)</v>
          </cell>
        </row>
        <row r="936">
          <cell r="A936" t="str">
            <v>Cây hoa hòe giống đủ tiêu chuẩn  mới trồng</v>
          </cell>
        </row>
        <row r="937">
          <cell r="A937" t="str">
            <v>Cây hoa hòe có đường kính tán 0,1m ≤ Φ &lt; 0,5m</v>
          </cell>
        </row>
        <row r="938">
          <cell r="A938" t="str">
            <v>Cây hoa hòe có đường kính tán 0,5m ≤ Φ &lt; 1m</v>
          </cell>
        </row>
        <row r="939">
          <cell r="A939" t="str">
            <v>Cây hoa hòe có đường kính tán 1m ≤ Φ &lt; 1,5m</v>
          </cell>
        </row>
        <row r="940">
          <cell r="A940" t="str">
            <v>Cây hoa hòe có đường kính tán 1,5m ≤ Φ &lt;2m</v>
          </cell>
        </row>
        <row r="941">
          <cell r="A941" t="str">
            <v>Cây hoa hòe có đường kính tán 2m ≤ Φ &lt; 3m</v>
          </cell>
        </row>
        <row r="942">
          <cell r="A942" t="str">
            <v>Cây hoa hòe có đường kính tán 3m ≤ Φ &lt; 4m</v>
          </cell>
        </row>
        <row r="943">
          <cell r="A943" t="str">
            <v>Cây hoa hòe có đường kính tán 4m ≤ Φ &lt; 5m</v>
          </cell>
        </row>
        <row r="944">
          <cell r="A944" t="str">
            <v>Cây hoa hòe có đường kính tán 5m ≤ Φ &lt; 6m</v>
          </cell>
        </row>
        <row r="945">
          <cell r="A945" t="str">
            <v>Cây hoa hòe có đường kính tán 6m ≤ Φ &lt; 7m</v>
          </cell>
        </row>
        <row r="946">
          <cell r="A946" t="str">
            <v>Cây hoa hòe có đường kính tán 7m ≤ Φ &lt; 8m</v>
          </cell>
        </row>
        <row r="947">
          <cell r="A947" t="str">
            <v>Cây hoa hòe có đường kính tán 8m ≤ Φ &lt; 9m</v>
          </cell>
        </row>
        <row r="948">
          <cell r="A948" t="str">
            <v>Cây hoa hòe có đường kính tán 9m ≤ Φ &lt; 12m</v>
          </cell>
        </row>
        <row r="949">
          <cell r="A949" t="str">
            <v>Cây hoa hòe có đường kính tán Φ ≥ 12m</v>
          </cell>
        </row>
        <row r="950">
          <cell r="A950" t="str">
            <v>Cây túc (tính theo đường kính gốc)</v>
          </cell>
        </row>
        <row r="951">
          <cell r="A951" t="str">
            <v>Cây túc giống đủ tiêu chuẩn mới trồng, chiều cao cây H &lt; 40cm</v>
          </cell>
        </row>
        <row r="952">
          <cell r="A952" t="str">
            <v>Cây túc đường kính gốc 1cm ≤ Φ &lt; 5cm</v>
          </cell>
        </row>
        <row r="953">
          <cell r="A953" t="str">
            <v>Cây túc đường kính gốc 5cm ≤ Φ &lt; 10cm</v>
          </cell>
        </row>
        <row r="954">
          <cell r="A954" t="str">
            <v xml:space="preserve">Cây túc đường kính gốc 10cm ≤ Φ &lt; 15cm  </v>
          </cell>
        </row>
        <row r="955">
          <cell r="A955" t="str">
            <v>Cây túc đường kính gốc 15cm ≤ Φ &lt; 20cm</v>
          </cell>
        </row>
        <row r="956">
          <cell r="A956" t="str">
            <v>Cây túc đường kính gốc 20cm ≤ Φ &lt; 25cm</v>
          </cell>
        </row>
        <row r="957">
          <cell r="A957" t="str">
            <v>Cây túc đường kính gốc 25cm ≤ Φ &lt; 30cm</v>
          </cell>
        </row>
        <row r="958">
          <cell r="A958" t="str">
            <v>Cây túc đường kính gốc 30cm ≤ Φ &lt; 35cm</v>
          </cell>
        </row>
        <row r="959">
          <cell r="A959" t="str">
            <v>Cây túc đường kính gốc Φ ≥ 35cm</v>
          </cell>
        </row>
        <row r="960">
          <cell r="A960" t="str">
            <v>Tùng ấn độ  (tính theo đường kính gốc)</v>
          </cell>
        </row>
        <row r="961">
          <cell r="A961" t="str">
            <v>Cây tùng ấn độ giống đủ tiêu chuẩn mới trồng, chiều cao cây H &lt; 40cm</v>
          </cell>
        </row>
        <row r="962">
          <cell r="A962" t="str">
            <v>Cây tùng ấn độ có đường kính gốc 1cm ≤ Φ &lt; 3cm</v>
          </cell>
        </row>
        <row r="963">
          <cell r="A963" t="str">
            <v>Cây tùng ấn độ có đường kính gốc 3cm ≤ Φ &lt; 5cm</v>
          </cell>
        </row>
        <row r="964">
          <cell r="A964" t="str">
            <v>Cây tùng ấn độ có đường kính gốc 5cm ≤ Φ &lt; 10cm</v>
          </cell>
        </row>
        <row r="965">
          <cell r="A965" t="str">
            <v>Cây tùng ấn độ có đường kính gốc 10cm ≤ Φ &lt; 15cm</v>
          </cell>
        </row>
        <row r="966">
          <cell r="A966" t="str">
            <v>Cây tùng ấn độ có đường kính gốc Φ ≥ 15cm</v>
          </cell>
        </row>
        <row r="967">
          <cell r="A967" t="str">
            <v>Cây Xạ đen (tính theo đường kính tán)</v>
          </cell>
        </row>
        <row r="968">
          <cell r="A968" t="str">
            <v>Cây xạ đen giống đủ tiêu chuẩn  mới trồng</v>
          </cell>
        </row>
        <row r="969">
          <cell r="A969" t="str">
            <v>Cây xạ đen có đường kính tán 0,1 ≤ Φ &lt; 0,5m</v>
          </cell>
        </row>
        <row r="970">
          <cell r="A970" t="str">
            <v>Cây xạ đen có đường kính tán 0,5m ≤ Φ &lt; 1m</v>
          </cell>
        </row>
        <row r="971">
          <cell r="A971" t="str">
            <v>Cây xạ đen có đường kính tán 1m ≤ Φ &lt; 1,5m</v>
          </cell>
        </row>
        <row r="972">
          <cell r="A972" t="str">
            <v>Cây xạ đen có đường kính tán 1,5m ≤ Φ &lt; 2m</v>
          </cell>
        </row>
        <row r="973">
          <cell r="A973" t="str">
            <v>Cây xạ đen có đường kính tán 2m ≤ Φ &lt; 3m</v>
          </cell>
        </row>
        <row r="974">
          <cell r="A974" t="str">
            <v>Cây xạ đen có đường kính tán 3m ≤ Φ &lt; 4m</v>
          </cell>
        </row>
        <row r="975">
          <cell r="A975" t="str">
            <v>Cây xạ đen có đường kính tán Φ ≥ 4m</v>
          </cell>
        </row>
        <row r="976">
          <cell r="A976" t="str">
            <v>Cây Hải đường (tính theo đường kính gốc)</v>
          </cell>
        </row>
        <row r="977">
          <cell r="A977" t="str">
            <v>Cây hải đường giống đủ tiêu chuẩn mới trồng</v>
          </cell>
        </row>
        <row r="978">
          <cell r="A978" t="str">
            <v>Cây hải đường có đường kính gốc 1cm ≤ Φ &lt; 3cm</v>
          </cell>
        </row>
        <row r="979">
          <cell r="A979" t="str">
            <v>Cây hải đường có đường kính gốc 3cm ≤ Φ &lt; 5cm</v>
          </cell>
        </row>
        <row r="980">
          <cell r="A980" t="str">
            <v>Cây hải đường có đường kính gốc 5cm ≤ Φ &lt; 7cm</v>
          </cell>
        </row>
        <row r="981">
          <cell r="A981" t="str">
            <v>Cây hải đường có đường kính gốc 7cm ≤ Φ &lt; 9cm</v>
          </cell>
        </row>
        <row r="982">
          <cell r="A982" t="str">
            <v>Cây hải đường có đường kính gốc Φ ≥ 9cm</v>
          </cell>
        </row>
        <row r="983">
          <cell r="A983" t="str">
            <v>Cây cóc (tính theo đường kính gốc)</v>
          </cell>
        </row>
        <row r="984">
          <cell r="A984" t="str">
            <v>Cây cóc có đường kính gốc 1cm ≤ Φ &lt; 2cm</v>
          </cell>
        </row>
        <row r="985">
          <cell r="A985" t="str">
            <v>Cây cóc có đường kính gốc 2cm ≤ Φ &lt; 5cm</v>
          </cell>
        </row>
        <row r="986">
          <cell r="A986" t="str">
            <v>Cây cóc có đường kính gốc 5cm ≤ Φ &lt; 7cm</v>
          </cell>
        </row>
        <row r="987">
          <cell r="A987" t="str">
            <v>Cây cóc có đường kính gốc Φ ≥ 7cm</v>
          </cell>
        </row>
        <row r="988">
          <cell r="A988" t="str">
            <v>Cây tùng cối (tính theo đường kính gốc)</v>
          </cell>
        </row>
        <row r="989">
          <cell r="A989" t="str">
            <v>Cây tùng cối có đường kính gốc 1cm ≤ Φ &lt; 2cm</v>
          </cell>
        </row>
        <row r="990">
          <cell r="A990" t="str">
            <v>Cây tùng cối có đường kính gốc 2cm ≤ Φ &lt; 5cm</v>
          </cell>
        </row>
        <row r="991">
          <cell r="A991" t="str">
            <v>Cây tùng cối có đường kính gốc 5cm ≤ Φ &lt; 7cm</v>
          </cell>
        </row>
        <row r="992">
          <cell r="A992" t="str">
            <v>Cây tùng cối có đường kính gốc Φ ≥ 7cm</v>
          </cell>
        </row>
        <row r="993">
          <cell r="A993" t="str">
            <v>Cây vạn tuế (tính theo đường kính gốc)</v>
          </cell>
        </row>
        <row r="994">
          <cell r="A994" t="str">
            <v>Cây vạn tuế có đường kính gốc  Φ &lt; 10cm</v>
          </cell>
        </row>
        <row r="995">
          <cell r="A995" t="str">
            <v>Cây vạn tuế có đường kính gốc 10cm ≤ Φ &lt; 20cm</v>
          </cell>
        </row>
        <row r="996">
          <cell r="A996" t="str">
            <v>Cây vạn tuế có đường kính gốc 20cm ≤ Φ &lt; 30cm</v>
          </cell>
        </row>
        <row r="997">
          <cell r="A997" t="str">
            <v>Cây vạn tuế có đường kính gốc Φ ≥ 30cm</v>
          </cell>
        </row>
        <row r="998">
          <cell r="A998" t="str">
            <v>Cây cảnh trồng trong chậu (tính chi phí di chuyển cả cây và chậu)</v>
          </cell>
        </row>
        <row r="999">
          <cell r="A999" t="str">
            <v>Di chuyển chậu có đường kính &lt; 0,5m</v>
          </cell>
        </row>
        <row r="1000">
          <cell r="A1000" t="str">
            <v xml:space="preserve">Di chuyển chậu có đường kính 0,5m ≤ Φ &lt; 0,7m </v>
          </cell>
        </row>
        <row r="1001">
          <cell r="A1001" t="str">
            <v xml:space="preserve">Di chuyển chậu có đường kính 0,7m ≤ Φ &lt; 1m </v>
          </cell>
        </row>
        <row r="1002">
          <cell r="A1002" t="str">
            <v xml:space="preserve">Di chuyển chậu có đường kính 1m ≤ Φ &lt; 1,5m </v>
          </cell>
        </row>
        <row r="1003">
          <cell r="A1003" t="str">
            <v xml:space="preserve">Di chuyển chậu có đường kính ≥ 1,5m </v>
          </cell>
        </row>
        <row r="1004">
          <cell r="A1004" t="str">
            <v>Quất cảnh (tính theo đường kính tán lá Φ)</v>
          </cell>
        </row>
        <row r="1005">
          <cell r="A1005" t="str">
            <v>Cây giống đủ tiêu chuẩn mới trồng</v>
          </cell>
        </row>
        <row r="1006">
          <cell r="A1006" t="str">
            <v>Cây có đường kính tán 0,7m ≤ Φ &lt; 1m</v>
          </cell>
        </row>
        <row r="1007">
          <cell r="A1007" t="str">
            <v>Cây có đường kính tán 1m ≤ Φ &lt; 1,5m</v>
          </cell>
        </row>
        <row r="1008">
          <cell r="A1008" t="str">
            <v>Cây có đường kính tán 1,5m ≤ Φ &lt; 2m</v>
          </cell>
        </row>
        <row r="1009">
          <cell r="A1009" t="str">
            <v>Cây có đường kính tán Φ ≥ 2m</v>
          </cell>
        </row>
        <row r="1010">
          <cell r="A1010" t="str">
            <v>Cây cảnh làm giống</v>
          </cell>
        </row>
        <row r="1011">
          <cell r="A1011" t="str">
            <v xml:space="preserve">Cây giống đào, hoa cảnh </v>
          </cell>
        </row>
        <row r="1012">
          <cell r="A1012" t="str">
            <v>Gieo, ươm hạt thành luống chưa ghép</v>
          </cell>
        </row>
        <row r="1013">
          <cell r="A1013" t="str">
            <v xml:space="preserve">Gieo, ươm hạt thành luống đã ghép </v>
          </cell>
        </row>
        <row r="1014">
          <cell r="A1014" t="str">
            <v>Cây giống đào hoa cảnh đã ghép đủ tiêu chuẩn</v>
          </cell>
        </row>
        <row r="1015">
          <cell r="A1015" t="str">
            <v xml:space="preserve">Cây giống trồng từ đào mạ, không ghép trồng thành luống </v>
          </cell>
        </row>
        <row r="1016">
          <cell r="A1016" t="str">
            <v>Cây giống lộc vừng, sanh, si</v>
          </cell>
        </row>
        <row r="1017">
          <cell r="A1017" t="str">
            <v>Cây gieo ươm từ hạt</v>
          </cell>
        </row>
        <row r="1018">
          <cell r="A1018" t="str">
            <v>Giống ươm gieo hạt chiều cao cây H &lt; 20cm</v>
          </cell>
        </row>
        <row r="1019">
          <cell r="A1019" t="str">
            <v xml:space="preserve">Giống ươm gieo hạt chiều cao cây H ≥ 20cm </v>
          </cell>
        </row>
        <row r="1020">
          <cell r="A1020" t="str">
            <v>Từ cây ươm gieo hạt tách ra đựng trong bầu nilong hoặc trồng thành luống</v>
          </cell>
        </row>
        <row r="1021">
          <cell r="A1021" t="str">
            <v xml:space="preserve">Chiều cao cây 20cm  ≤ H &lt; 50cm </v>
          </cell>
        </row>
        <row r="1022">
          <cell r="A1022" t="str">
            <v>Chiều cao cây 50cm  ≤ H &lt; 70cm</v>
          </cell>
        </row>
        <row r="1023">
          <cell r="A1023" t="str">
            <v xml:space="preserve">Chiều cao cây 70cm  ≤ H &lt;100cm </v>
          </cell>
        </row>
        <row r="1024">
          <cell r="A1024" t="str">
            <v>Cây giống cau cảnh</v>
          </cell>
        </row>
        <row r="1025">
          <cell r="A1025" t="str">
            <v>Cây gieo ươm từ hạt</v>
          </cell>
        </row>
        <row r="1026">
          <cell r="A1026" t="str">
            <v>Giống ươm gieo hạt thành luống, vạt chiều cao cây H &lt; 20cm</v>
          </cell>
        </row>
        <row r="1027">
          <cell r="A1027" t="str">
            <v xml:space="preserve">Giống ươm gieo hạt thành luống, vạt chiều cao cây H ≥ 20cm </v>
          </cell>
        </row>
        <row r="1028">
          <cell r="A1028" t="str">
            <v>Từ cây ươm gieo hạt tách ra đựng trong bầu nilong hoặc trồng thành luống</v>
          </cell>
        </row>
        <row r="1029">
          <cell r="A1029" t="str">
            <v>Chiều cao cây H &lt; 20cm</v>
          </cell>
        </row>
        <row r="1030">
          <cell r="A1030" t="str">
            <v>Chiều cao cây 20cm  ≤ H &lt; 50cm</v>
          </cell>
        </row>
        <row r="1031">
          <cell r="A1031" t="str">
            <v xml:space="preserve">Chiều cao cây H ≥ 50cm </v>
          </cell>
        </row>
        <row r="1032">
          <cell r="A1032" t="str">
            <v>Đào tán (đào hoa cảnh có đặc điểm tán lá hình tròn, hình tháp, thân chính không uốn tạo thế phát triển tự nhiên, chỉ cắt tỉa cành nhỏ; trồng trên đất đã được chuyển mục đích theo quy định, bao gồm: Đào cây, các loại cây khác trồng xen canh, bể chứa nước, bể chứa phân…tính trên diện tích 1 sào =360m2).</v>
          </cell>
        </row>
        <row r="1033">
          <cell r="A1033" t="str">
            <v xml:space="preserve">Đào tán loại 1 (số cây có đường kính tán từ 0,8m đến 1m, cao từ 1m đến 1,5m chiếm trên 50% diện tích; quy đổi 1 cây/1,8m2) </v>
          </cell>
        </row>
        <row r="1034">
          <cell r="A1034" t="str">
            <v xml:space="preserve">Đào tán loại 2 (số cây có đường kính tán từ 0,8m đến 1m, cao từ 1m đến 1,5m chiếm từ 40% đến 50% diện tích; quy đổi 1 cây/1,8m2) </v>
          </cell>
        </row>
        <row r="1035">
          <cell r="A1035" t="str">
            <v xml:space="preserve">Đào tán loại 3 (số cây có đường kính tán từ 0,8m đến 1m, cao từ 1m đến 1,5m chiếm từ 30% đến 40% diện tích; quy đổi 1 cây/1,8m2) </v>
          </cell>
        </row>
        <row r="1036">
          <cell r="A1036" t="str">
            <v xml:space="preserve">Đào tán loại 4 (số cây có đường kính tán từ 0,8m đến 1m, cao từ 1m đến 1,5m chiếm dưới 30% diện tích; quy đổi 1 cây/1,2m2) </v>
          </cell>
        </row>
        <row r="1037">
          <cell r="A1037" t="str">
            <v>Đào thế (đào trồng trên đất đã được chuyển mục đích theo quy định, bao gồm: Đào cây, các loại cây khác trồng xen canh, bể chứa nước, bể chứa phân…tính trên diện tích 1 sào =360m2)</v>
          </cell>
        </row>
        <row r="1038">
          <cell r="A1038" t="str">
            <v xml:space="preserve">Đào thế loại 1 (số cây có chiều cao từ 1m đến 1,5m chiếm trên 50% diện tích; quy đổi 1 cây/1,8m2) </v>
          </cell>
        </row>
        <row r="1039">
          <cell r="A1039" t="str">
            <v xml:space="preserve">Đào thế loại 2 (số cây có chiều cao từ 1m đến 1,5m chiếm từ 40% đến 50% diện tích; quy đổi 1 cây/1,8m2) </v>
          </cell>
        </row>
        <row r="1040">
          <cell r="A1040" t="str">
            <v xml:space="preserve">Đào thế loại 3 (số cây có chiều cao từ 1m đến 1,5m chiếm dưới 40% diện tích; quy đổi 1 cây/1,2m2) </v>
          </cell>
        </row>
        <row r="1041">
          <cell r="A1041" t="str">
            <v>Cỏ cảnh lá tre, cỏ nhung (trồng dày đặc)</v>
          </cell>
        </row>
        <row r="1042">
          <cell r="A1042" t="str">
            <v>Hương nhu, lá ngải, lá nếp, lưỡi hổ, láng tía, ngũ gia bì</v>
          </cell>
        </row>
        <row r="1043">
          <cell r="A1043" t="str">
            <v>Trầu không</v>
          </cell>
        </row>
        <row r="1044">
          <cell r="A1044" t="str">
            <v>Hương bài</v>
          </cell>
        </row>
        <row r="1045">
          <cell r="A1045" t="str">
            <v>GIỐNG CÂY ĂN QUẢ</v>
          </cell>
        </row>
        <row r="1046">
          <cell r="A1046" t="str">
            <v>Thanh long</v>
          </cell>
        </row>
        <row r="1047">
          <cell r="A1047" t="str">
            <v>Cành thanh long mới ươm chưa ra rễ</v>
          </cell>
        </row>
        <row r="1048">
          <cell r="A1048" t="str">
            <v>Cây thanh long ươm đã ra rễ và mầm, thời gian trồng &lt;  01 tháng</v>
          </cell>
        </row>
        <row r="1049">
          <cell r="A1049" t="str">
            <v>Cây thanh long ươm đã ra rễ và mầm, từ 01 tháng đến &lt; 02 tháng</v>
          </cell>
        </row>
        <row r="1050">
          <cell r="A1050" t="str">
            <v>Cây thanh long ươm đã ra rễ và mầm, thời gian trồng ≥ 02 tháng</v>
          </cell>
        </row>
        <row r="1051">
          <cell r="A1051" t="str">
            <v>Cây thanh long có chiều cao thân ≥ 0,7m (chưa ra quả)</v>
          </cell>
        </row>
        <row r="1052">
          <cell r="A1052" t="str">
            <v>Cây thanh long có chiều cao thân ≥ 0,7m (đã có quả)</v>
          </cell>
        </row>
        <row r="1053">
          <cell r="A1053" t="str">
            <v>Cây giống cây ăn quả</v>
          </cell>
        </row>
        <row r="1054">
          <cell r="A1054" t="str">
            <v>Loại ươm gieo hạt (thành luống, dảnh)</v>
          </cell>
        </row>
        <row r="1055">
          <cell r="A1055" t="str">
            <v xml:space="preserve">Chiều cao cây H &lt; 20cm </v>
          </cell>
        </row>
        <row r="1056">
          <cell r="A1056" t="str">
            <v>Chiều cao cây H ≥ 20cm</v>
          </cell>
        </row>
        <row r="1057">
          <cell r="A1057" t="str">
            <v>Cây giống vải, nhãn, doi, bưởi, thị, na, xoài, muỗm, quéo, trứng gà, sấu, táo, ổi, chay, me, khế, mận, mơ (từ cây ươm gieo hạt, đựng trong bầu nilon hoặc trồng thành luống chưa ghép)</v>
          </cell>
        </row>
        <row r="1058">
          <cell r="A1058" t="str">
            <v>Chiều cao cây H &lt; 40cm</v>
          </cell>
        </row>
        <row r="1059">
          <cell r="A1059" t="str">
            <v>Chiều cao cây 40cm ≤ H &lt; 100cm</v>
          </cell>
        </row>
        <row r="1060">
          <cell r="A1060" t="str">
            <v xml:space="preserve">Chiều cao cây H ≥ 100cm </v>
          </cell>
        </row>
        <row r="1061">
          <cell r="A1061" t="str">
            <v>Cây giống vải, nhãn, cam, bưởi, táo, ổi, khế (gieo hạt ươm thành luống đã ghép)</v>
          </cell>
        </row>
        <row r="1062">
          <cell r="A1062" t="str">
            <v>Chiều cao cây H &lt; 40cm</v>
          </cell>
        </row>
        <row r="1063">
          <cell r="A1063" t="str">
            <v>Chiều cao cây 40cm  ≤ H &lt; 100cm</v>
          </cell>
        </row>
        <row r="1064">
          <cell r="A1064" t="str">
            <v>Chiều cao cây H ≥ 100cm</v>
          </cell>
        </row>
        <row r="1065">
          <cell r="A1065" t="str">
            <v>Cây giống vải, nhãn, cam, bưởi, doi, hồng xiêm ... đang chiết cành (đã có rễ) chưa đem trồng</v>
          </cell>
        </row>
        <row r="1066">
          <cell r="A1066" t="str">
            <v>Giống Vải, Nhãn đã chiết cành, đã đem dâm ra vườn</v>
          </cell>
        </row>
        <row r="1067">
          <cell r="A1067" t="str">
            <v>Chiều cao cây H &lt; 40cm</v>
          </cell>
        </row>
        <row r="1068">
          <cell r="A1068" t="str">
            <v>Chiều cao cây 40cm  ≤ H &lt; 1,0m</v>
          </cell>
        </row>
        <row r="1069">
          <cell r="A1069" t="str">
            <v xml:space="preserve">Chiều cao cây H ≥ 1,0m </v>
          </cell>
        </row>
        <row r="1070">
          <cell r="A1070" t="str">
            <v>Cây giống cam, bưởi, doi, hồng xiêm đã chiết cành dâm ra vườn</v>
          </cell>
        </row>
        <row r="1071">
          <cell r="A1071" t="str">
            <v>Cây giống cây lấy gỗ, cây lấy lá…ươm gieo hạt thành luống, vạt</v>
          </cell>
        </row>
        <row r="1072">
          <cell r="A1072" t="str">
            <v xml:space="preserve">Chiều cao cây H &lt; 20cm </v>
          </cell>
        </row>
        <row r="1073">
          <cell r="A1073" t="str">
            <v xml:space="preserve">Chiều cao cây H ≥ 20cm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XXXXXXXX"/>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BA"/>
      <sheetName val="Netbook"/>
      <sheetName val="DZ"/>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10000000"/>
      <sheetName val="km248"/>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Sheet6"/>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tb1"/>
      <sheetName val="Song trai"/>
      <sheetName val="Dinh+ha nha"/>
      <sheetName val="PTLK"/>
      <sheetName val="NG k"/>
      <sheetName val="THcong"/>
      <sheetName val="BHXH"/>
      <sheetName val="BHXH12"/>
      <sheetName val="Sheet8"/>
      <sheetName val="Sheet9"/>
      <sheetName val="Congty"/>
      <sheetName val="VPPN"/>
      <sheetName val="XN74"/>
      <sheetName val="XN54"/>
      <sheetName val="XN33"/>
      <sheetName val="NK96"/>
      <sheetName val="XL4Test5"/>
      <sheetName val="THVDT"/>
      <sheetName val="NCLD"/>
      <sheetName val="MMTB"/>
      <sheetName val="CFSX"/>
      <sheetName val="KQ"/>
      <sheetName val="DTSL"/>
      <sheetName val="XDCBK"/>
      <sheetName val="KHTSCD"/>
      <sheetName val="XDCB"/>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KM"/>
      <sheetName val="KHOANMUC"/>
      <sheetName val="QTNC"/>
      <sheetName val="CPQL"/>
      <sheetName val="SANLUONG"/>
      <sheetName val="SSCP-SL"/>
      <sheetName val="CPSX"/>
      <sheetName val="CDSL (2)"/>
      <sheetName val="F ThanhTri"/>
      <sheetName val="F Gialam"/>
      <sheetName val="DG"/>
      <sheetName val="TH dam"/>
      <sheetName val="SX dam"/>
      <sheetName val="LD dam"/>
      <sheetName val="Bang gia VL"/>
      <sheetName val="Gia NC"/>
      <sheetName val="Gia may"/>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phan tich DG"/>
      <sheetName val="gia vat lieu"/>
      <sheetName val="gia xe may"/>
      <sheetName val="gia nhan cong"/>
      <sheetName val="Trich Ngang"/>
      <sheetName val="Danh sach Rieng"/>
      <sheetName val="Dia Diem Thuc Tap"/>
      <sheetName val="De Tai Thuc Tap"/>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XXXXXX_xda24_X"/>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ocai2003-6tc"/>
      <sheetName val="SCT Cong trinh"/>
      <sheetName val="06-2003 (2)"/>
      <sheetName val="CDPS 6tc"/>
      <sheetName val="SCT Nha thau"/>
      <sheetName val="socai2003 (6tc)dp"/>
      <sheetName val="socai2003 (6tc)"/>
      <sheetName val="CDPS 6tc (2)"/>
      <sheetName val="20000000"/>
      <sheetName val="Thau"/>
      <sheetName val="CT-BT"/>
      <sheetName val="Xa"/>
      <sheetName val="TH du toan "/>
      <sheetName val="Du toan "/>
      <sheetName val="C.Tinh"/>
      <sheetName val="TK_cap"/>
      <sheetName val="Tonghop"/>
      <sheetName val="Sheet7"/>
      <sheetName val="D1"/>
      <sheetName val="D2"/>
      <sheetName val="D3"/>
      <sheetName val="D4"/>
      <sheetName val="D5"/>
      <sheetName val="D6"/>
      <sheetName val="Tay ninh"/>
      <sheetName val="A.Duc"/>
      <sheetName val="TH"/>
      <sheetName val="TH2003"/>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HHVt "/>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n"/>
      <sheetName val="ct"/>
      <sheetName val="Nc"/>
      <sheetName val="pt"/>
      <sheetName val="ql"/>
      <sheetName val="ql (2)"/>
      <sheetName val="4"/>
      <sheetName val="Sheet13"/>
      <sheetName val="Sheet14"/>
      <sheetName val="Sheet15"/>
      <sheetName val="Sheet16"/>
      <sheetName val="Co~g hop 1,5x1,5"/>
      <sheetName val="Sheet10"/>
      <sheetName val="Heso 3-2004 (3)"/>
      <sheetName val="Luong (2)"/>
      <sheetName val="heso T3"/>
      <sheetName val="heso T4"/>
      <sheetName val="heso T5"/>
      <sheetName val="Heso T6"/>
      <sheetName val="Heso T7"/>
      <sheetName val="Heso T8"/>
      <sheetName val="Heso T9"/>
      <sheetName val="Heso 2-2004"/>
      <sheetName val="Heso 3-2004"/>
      <sheetName val="chamcong"/>
      <sheetName val="Baocao"/>
      <sheetName val="Heso 3-2004 (2)"/>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IBASE2.XLSѝTNHNoi"/>
      <sheetName val="GIA NUOC"/>
      <sheetName val="GIA DIEN THOAI"/>
      <sheetName val="GIA DIEN"/>
      <sheetName val="chiet tinh XD"/>
      <sheetName val="Triet T"/>
      <sheetName val="Phan tich gia"/>
      <sheetName val="pHAN CONG"/>
      <sheetName val="GIA XD"/>
      <sheetName val="T.K H.T.T5"/>
      <sheetName val="T.K T7"/>
      <sheetName val="TK T6"/>
      <sheetName val="T.K T5"/>
      <sheetName val="Bang thong ke hang ton"/>
      <sheetName val="thong ke "/>
      <sheetName val="T.KT04"/>
      <sheetName val="CamPha"/>
      <sheetName val="MongCai"/>
      <sheetName val="30000000"/>
      <sheetName val="40000000"/>
      <sheetName val="50000000"/>
      <sheetName val="60000000"/>
      <sheetName val="70000000"/>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 KQTH quy hoach 135"/>
      <sheetName val="Bao cao KQTH quy hoach 135"/>
      <sheetName val="CT 03"/>
      <sheetName val="TH 03"/>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T8-9)"/>
      <sheetName val="Nhap lieu"/>
      <sheetName val="PGT"/>
      <sheetName val="Tien dien"/>
      <sheetName val="Thue GTGT"/>
      <sheetName val="HD1"/>
      <sheetName val="HD4"/>
      <sheetName val="HD3"/>
      <sheetName val="HD5"/>
      <sheetName val="HD7"/>
      <sheetName val="HD6"/>
      <sheetName val="HD2"/>
      <sheetName val="CV di trong  dong"/>
      <sheetName val="TH_BQ"/>
      <sheetName val="Thi_sinh"/>
      <sheetName val="Luong"/>
      <sheetName val="HethongDebai"/>
      <sheetName val="TH131"/>
      <sheetName val="TH155&amp;156"/>
      <sheetName val="TH152"/>
      <sheetName val="TH153"/>
      <sheetName val="TH331"/>
      <sheetName val="KhoDL"/>
      <sheetName val="THSPHH"/>
      <sheetName val="THVL"/>
      <sheetName val="DMTK"/>
      <sheetName val="DMKH"/>
      <sheetName val="DMNB"/>
      <sheetName val="DMNV"/>
      <sheetName val=""/>
      <sheetName val=".tuanM"/>
      <sheetName val="20+590"/>
      <sheetName val="20+1218"/>
      <sheetName val="22+456"/>
      <sheetName val="23+200"/>
      <sheetName val="23+327"/>
      <sheetName val="23+468"/>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Cone"/>
      <sheetName val="Sheed5"/>
      <sheetName val="TL"/>
      <sheetName val="GK"/>
      <sheetName val="CB"/>
      <sheetName val="VP"/>
      <sheetName val="Km274-Km274"/>
      <sheetName val="Coc 6"/>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t="str">
            <v>4340(U-400)</v>
          </cell>
          <cell r="AK71" t="str">
            <v>SP34(VA-51)</v>
          </cell>
          <cell r="AL71">
            <v>406</v>
          </cell>
          <cell r="AM71">
            <v>406</v>
          </cell>
          <cell r="AN71">
            <v>406</v>
          </cell>
          <cell r="AO71">
            <v>406</v>
          </cell>
          <cell r="AP71">
            <v>406</v>
          </cell>
          <cell r="AQ71">
            <v>406</v>
          </cell>
          <cell r="AR71">
            <v>406</v>
          </cell>
          <cell r="AS71">
            <v>406</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sheetData sheetId="303"/>
      <sheetData sheetId="304"/>
      <sheetData sheetId="305"/>
      <sheetData sheetId="306"/>
      <sheetData sheetId="307"/>
      <sheetData sheetId="308"/>
      <sheetData sheetId="309" refreshError="1"/>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efreshError="1"/>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refreshError="1"/>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sheetData sheetId="658"/>
      <sheetData sheetId="659"/>
      <sheetData sheetId="660"/>
      <sheetData sheetId="661" refreshError="1"/>
      <sheetData sheetId="662" refreshError="1"/>
      <sheetData sheetId="663" refreshError="1"/>
      <sheetData sheetId="664" refreshError="1"/>
      <sheetData sheetId="665" refreshError="1"/>
      <sheetData sheetId="666"/>
      <sheetData sheetId="667"/>
      <sheetData sheetId="668" refreshError="1"/>
      <sheetData sheetId="669" refreshError="1"/>
      <sheetData sheetId="670" refreshError="1"/>
      <sheetData sheetId="671" refreshError="1"/>
      <sheetData sheetId="672" refreshError="1"/>
      <sheetData sheetId="673" refreshError="1"/>
      <sheetData sheetId="674"/>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DTOAN"/>
      <sheetName val="THOP-KL"/>
      <sheetName val="CPHI KKS"/>
      <sheetName val="DG-KSAT"/>
      <sheetName val="TMDAUTU"/>
      <sheetName val="GTXLCHINH"/>
      <sheetName val="CPHI-TT"/>
      <sheetName val="CPHIBUVL"/>
      <sheetName val="CHENH VLCHINH"/>
      <sheetName val="GVLHT"/>
      <sheetName val="DGCT-QCH2"/>
      <sheetName val="XL4Poppy"/>
      <sheetName val="Gia VL"/>
      <sheetName val="Bang gia ca may"/>
      <sheetName val="Bang luong CB"/>
      <sheetName val="Bang P.tich CT"/>
      <sheetName val="D.toan chi tiet"/>
      <sheetName val="Bang TH Dtoan"/>
      <sheetName val="XXXXXXXX"/>
      <sheetName val="VL"/>
      <sheetName val="NHAN CONG"/>
      <sheetName val="MAY"/>
      <sheetName val="VUA"/>
      <sheetName val="DG CAU"/>
      <sheetName val="THOP CAU"/>
      <sheetName val="TLP CAU"/>
      <sheetName val="DAKT1"/>
      <sheetName val="Sheet3"/>
      <sheetName val="XL4Test5"/>
      <sheetName val="XL4Poppy (2)"/>
      <sheetName val="Bthkl"/>
      <sheetName val="KM247"/>
      <sheetName val="km248"/>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00000000"/>
      <sheetName val="Congty"/>
      <sheetName val="VPPN"/>
      <sheetName val="XN74"/>
      <sheetName val="XN54"/>
      <sheetName val="XN33"/>
      <sheetName val="NK96"/>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tong hop"/>
      <sheetName val="phan tich DG"/>
      <sheetName val="gia vat lieu"/>
      <sheetName val="gia xe may"/>
      <sheetName val="gia nhan cong"/>
      <sheetName val="Quang Tri"/>
      <sheetName val="TTHue"/>
      <sheetName val="Da Nang"/>
      <sheetName val="Quang Nam"/>
      <sheetName val="Quang Ngai"/>
      <sheetName val="TH DH-QN"/>
      <sheetName val="KP HD"/>
      <sheetName val="DB HD"/>
      <sheetName val="Chart1"/>
      <sheetName val="Du an nut So"/>
      <sheetName val="Du an nut vong"/>
      <sheetName val="Du an nut Nam cau Tlong"/>
      <sheetName val="Duong kim lien 0 cho dua"/>
      <sheetName val="Du an KTDC Nam trung yen"/>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caodothietke"/>
      <sheetName val="DI_ESTI"/>
      <sheetName val="TK331A"/>
      <sheetName val="TK131B"/>
      <sheetName val="TK131A"/>
      <sheetName val="TK 331c1"/>
      <sheetName val="TK331C"/>
      <sheetName val="CT331-2003"/>
      <sheetName val="CT 331"/>
      <sheetName val="CT131-2003"/>
      <sheetName val="CT 131"/>
      <sheetName val="TK331B"/>
      <sheetName val="Nhap"/>
      <sheetName val="Thang 8"/>
      <sheetName val="DTCT"/>
      <sheetName val="PTVT"/>
      <sheetName val="THDT"/>
      <sheetName val="THVT"/>
      <sheetName val="THGT"/>
      <sheetName val="Macro1"/>
      <sheetName val="Macro2"/>
      <sheetName val="Macro3"/>
      <sheetName val="THANG 09"/>
      <sheetName val="THANG 10"/>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uong con' vu hcm (8)"/>
      <sheetName val="C47-456"/>
      <sheetName val="C46"/>
      <sheetName val="C47-PII"/>
      <sheetName val="ESTI_"/>
      <sheetName val="Qheet3"/>
      <sheetName val="TRUC TIEP"/>
      <sheetName val="GIAN TIEP"/>
      <sheetName val="HOP DONG"/>
      <sheetName val="CON LINH"/>
      <sheetName val="tienluong"/>
      <sheetName val="giamay"/>
      <sheetName val="Bang 聧ia ca may"/>
      <sheetName val="[RPT.xlsၝCmay"/>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0000000"/>
      <sheetName val="20000000"/>
      <sheetName val="[RPT.x"/>
      <sheetName val="km346+00-km346_x000b_240 (2)"/>
      <sheetName val="km342+297._x0015_8-km342+376.41"/>
      <sheetName val="km341+1077 -km34_x0011_+1177.61"/>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
      <sheetName val=" quy I-2005"/>
      <sheetName val="Quy 2- 2005 "/>
      <sheetName val="Quy III- 2005 "/>
      <sheetName val="Quy 4- 2005"/>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RPT"/>
      <sheetName val="Duong cong vu hcm (8;) (:)"/>
      <sheetName val="Duofg cong vu hcm (7;) (2)"/>
      <sheetName val="Duïng cong vu hcm (13;) (2)"/>
      <sheetName val="gVL"/>
      <sheetName val="pt0-1"/>
      <sheetName val="kp0-1"/>
      <sheetName val="0-1"/>
      <sheetName val="pt2-3"/>
      <sheetName val="thkp2-3"/>
      <sheetName val="clvl"/>
      <sheetName val="2-3"/>
      <sheetName val="cl1-2"/>
      <sheetName val="thkp1-2"/>
      <sheetName val="clvl1-2"/>
      <sheetName val="1-2"/>
      <sheetName val="N_x0008_AN CONG"/>
      <sheetName val="K251 _x0001_C"/>
      <sheetName val="?? MTL"/>
      <sheetName val="?? DI"/>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km337+533î60-km3ó4 (2)"/>
      <sheetName val="Ë261"/>
      <sheetName val="K261_x0000_Base"/>
      <sheetName val="K2_x0016_1 AC"/>
      <sheetName val="HDKT"/>
      <sheetName val="PIPERACK"/>
      <sheetName val="MONG T,V,E"/>
      <sheetName val="tk12A-B&amp;13A-B"/>
      <sheetName val="TAM-tk12A-B&amp;13A-B"/>
      <sheetName val="tk15&amp;11A-B"/>
      <sheetName val="TAM-tk15&amp;11A-B"/>
      <sheetName val="V31"/>
      <sheetName val="T-V31"/>
      <sheetName val="V51"/>
      <sheetName val="T-V51"/>
      <sheetName val="V11"/>
      <sheetName val="v12"/>
      <sheetName val="V13"/>
      <sheetName val="v22"/>
      <sheetName val="V23"/>
      <sheetName val="v24"/>
      <sheetName val="V25"/>
      <sheetName val="V52"/>
      <sheetName val="V61"/>
      <sheetName val="E-01"/>
      <sheetName val="E-02"/>
      <sheetName val="C-01"/>
      <sheetName val="pr-B"/>
      <sheetName val="pr-C"/>
      <sheetName val="pr-D"/>
      <sheetName val="pr-E"/>
      <sheetName val="S-SA"/>
      <sheetName val="S-SB"/>
      <sheetName val="S-SC1"/>
      <sheetName val="S-SC2"/>
      <sheetName val="S-SD1"/>
      <sheetName val="S-SD2"/>
      <sheetName val="S-SD3"/>
      <sheetName val="S-SE1"/>
      <sheetName val="S-SE2"/>
      <sheetName val="sum-sl"/>
      <sheetName val="sum-steel"/>
      <sheetName val="sum-T"/>
      <sheetName val="sum-E"/>
      <sheetName val="sum-pr"/>
      <sheetName val="REPORT"/>
      <sheetName val="Daily"/>
      <sheetName val="Data-input"/>
      <sheetName val="Data"/>
      <sheetName val="TK12"/>
      <sheetName val="Visual inspection record-07"/>
      <sheetName val="Fitup inspection record-06"/>
      <sheetName val="WELD MONITORING"/>
      <sheetName val="CHECK LIST"/>
      <sheetName val="MATERIAL B"/>
      <sheetName val="MATERIAL"/>
      <sheetName val="BENDING REPORT"/>
      <sheetName val="INPS RELEASE"/>
      <sheetName val="PAINTING REPORT"/>
      <sheetName val="hydro test"/>
      <sheetName val="MTL$-INTER"/>
      <sheetName val="Duong cong vu hcm (¶)"/>
      <sheetName val="刃割 MTL"/>
      <sheetName val="CON(LINH"/>
      <sheetName val="Bang ?ia ca may"/>
      <sheetName val="[RPT.xls?Cmay"/>
      <sheetName val="Km346+60_x0010_-km346+820 (2)"/>
      <sheetName val="km346+00-km3_x0014_6+240 (_x0012_)"/>
      <sheetName val="km345+6_x0016_1-km345+000"/>
      <sheetName val="km342+_x0013_76.41- km342+520.29"/>
      <sheetName val="km342+29_x0017_.58-km3_x0014_2+376.41"/>
      <sheetName val="Mau so 04 TFDN"/>
      <sheetName val="切割 II"/>
      <sheetName val="CHEKe VLCHINH"/>
      <sheetName val="km345+400-km345ÿÿ00 (6)"/>
      <sheetName val="km338+00-km33Oé100(2)"/>
      <sheetName val="km342+520-km342+690 (2 "/>
      <sheetName val="XL²_x0000__x0000_t5"/>
      <sheetName val="m361 Base"/>
      <sheetName val="GTXLC@INH"/>
      <sheetName val="K219 Subbase"/>
      <sheetName val="Duong cojg vu hcm (13;) (2)"/>
      <sheetName val="K_x0000_5_x0001_ @9_x0008_"/>
      <sheetName val="Thuc thanh"/>
      <sheetName val="Con'ty"/>
      <sheetName val="切割 MၔL"/>
      <sheetName val="k-337+533.60-km338 (2)"/>
      <sheetName val="km341+275-km341)350"/>
      <sheetName val="Ho=Ðdong giao khoan"/>
      <sheetName val="959 K98"/>
      <sheetName val="May no"/>
      <sheetName val="Sua chua "/>
      <sheetName val="BC luan chuyen"/>
      <sheetName val="_x0010_p_x0000_Ё"/>
      <sheetName val="K259†Base "/>
      <sheetName val="Duong co_x0000_g vu hcm (4)"/>
      <sheetName val="thang6"/>
      <sheetName val="Sheet4"/>
      <sheetName val="Sheet5"/>
      <sheetName val="Sheet6"/>
      <sheetName val="soktmay"/>
      <sheetName val="K2_x0015_1 AC"/>
      <sheetName val="C²_x0000__x0000_iet TK131"/>
      <sheetName val="TKDC"/>
      <sheetName val="Mau01t1"/>
      <sheetName val="HD DAU VAO THANG 2"/>
      <sheetName val="HHBRT2"/>
      <sheetName val="Mau 01T2"/>
      <sheetName val="HD DAU VAO T2"/>
      <sheetName val="tkaidc"/>
      <sheetName val="Mau 01T3"/>
      <sheetName val="HHBRT3"/>
      <sheetName val="HD DAU VAO T3"/>
      <sheetName val="HHBRT4"/>
      <sheetName val="Mau01t4"/>
      <sheetName val="HD DAU VAO T4"/>
      <sheetName val="TKDChinh"/>
      <sheetName val="HHBR5"/>
      <sheetName val="Mau01T5"/>
      <sheetName val="HDDAUVAOT5"/>
      <sheetName val="Mau01T6"/>
      <sheetName val="HDBRT6"/>
      <sheetName val="HDDAUVAOT6"/>
      <sheetName val="Mau01T7"/>
      <sheetName val="HDDAUVAOT7"/>
      <sheetName val="TTNDNQuiIII"/>
      <sheetName val="HHBRT7"/>
      <sheetName val="Mau01T8"/>
      <sheetName val="HDDAUVAOT8"/>
      <sheetName val="HDBRT8"/>
      <sheetName val="Mau01t9"/>
      <sheetName val="BKmuakoâc HD"/>
      <sheetName val="HDBRT9"/>
      <sheetName val="HDBHT9"/>
      <sheetName val="HDDAUVAOT9"/>
      <sheetName val="Mau01t10"/>
      <sheetName val="HDBHT10"/>
      <sheetName val="HDAUVAOT10"/>
      <sheetName val="Mau01t11"/>
      <sheetName val="HDBRT10"/>
      <sheetName val="bangGT tokhai thue t10"/>
      <sheetName val="HDBR11"/>
      <sheetName val="HDAUVAOT11"/>
      <sheetName val="HDBR"/>
      <sheetName val="HDBRT12"/>
      <sheetName val="HDAU VAOT11"/>
      <sheetName val="bkTHUE"/>
      <sheetName val="HDBHT11"/>
      <sheetName val="HDAUVAOT12"/>
      <sheetName val="Bang GTtokhai thue11"/>
      <sheetName val="TKthuemobai"/>
      <sheetName val="HDBHT12"/>
      <sheetName val="Mau T11"/>
      <sheetName val="Mau01t12"/>
      <sheetName val="bcsd hd 2007"/>
      <sheetName val="bcsdhd  12 thang"/>
      <sheetName val="thanh qtoan sdhd"/>
      <sheetName val="bang giai trinh khai thue GTGT"/>
      <sheetName val="Bang phb thue gtgt"/>
      <sheetName val="Bang ke khai dchinh thue gtgt"/>
      <sheetName val="Sheet04"/>
      <sheetName val="cot_xa"/>
      <sheetName val="Quet rac"/>
      <sheetName val="DG1kSAT"/>
      <sheetName val="T1"/>
      <sheetName val="T2"/>
      <sheetName val="T3"/>
      <sheetName val="T4"/>
      <sheetName val="_x0010_p?Ё"/>
      <sheetName val="_x0010_p_x0000_?"/>
      <sheetName val="K259Base "/>
      <sheetName val="_x0010_p??"/>
      <sheetName val="chi tiet z"/>
      <sheetName val="Don gia"/>
      <sheetName val="IBASE"/>
      <sheetName val="_RPT.xlsၝCmay"/>
      <sheetName val="TRUC TI"/>
      <sheetName val="Ў`"/>
      <sheetName val="?"/>
      <sheetName val="km337+136-km33×¶350"/>
      <sheetName val="K251 K)8"/>
      <sheetName val="chitiet"/>
      <sheetName val="Thang_x0000__x0000_"/>
      <sheetName val="TSO_CHUNG"/>
      <sheetName val="Bang ke T.toan`"/>
      <sheetName val="000000000000"/>
      <sheetName val="100000000000"/>
      <sheetName val="200000000000"/>
      <sheetName val="300000000000"/>
      <sheetName val="400000000000"/>
      <sheetName val="K261?Base"/>
      <sheetName val="K?5_x0001_ @9_x0008_"/>
      <sheetName val="Thang??"/>
      <sheetName val="tohop"/>
      <sheetName val="Phu luc XL2"/>
      <sheetName val="NN Tang Giam"/>
      <sheetName val="Phu luc XL1"/>
      <sheetName val="__ MTL"/>
      <sheetName val="__ DI"/>
      <sheetName val="CAN DOI"/>
      <sheetName val="GIA TRI"/>
      <sheetName val="NO-DIEN"/>
      <sheetName val="NO-KHUONG"/>
      <sheetName val="NO-DUNG"/>
      <sheetName val="NO-DU"/>
      <sheetName val="TC NV"/>
      <sheetName val="khuong"/>
      <sheetName val="du"/>
      <sheetName val="dien"/>
      <sheetName val="dung"/>
      <sheetName val="NO-BANG"/>
      <sheetName val="ton kho"/>
      <sheetName val="bang"/>
      <sheetName val="예적금"/>
      <sheetName val="WE'T"/>
      <sheetName val="BASE"/>
      <sheetName val="Final(1)summary"/>
      <sheetName val="Contents"/>
      <sheetName val="V-VESSEL (WITH DEMISTER)"/>
      <sheetName val="Piping Design Data"/>
      <sheetName val="D-3"/>
      <sheetName val="BATCH"/>
      <sheetName val="General Data"/>
      <sheetName val="ASME B 36.10 M"/>
      <sheetName val="Building List for reference"/>
      <sheetName val="노임단가"/>
      <sheetName val="steam table"/>
      <sheetName val="예산M12A"/>
      <sheetName val="BM "/>
      <sheetName val="DWG LIST"/>
      <sheetName val="Dieuchinh"/>
      <sheetName val="REDUCER"/>
      <sheetName val="VAE264_VALVES"/>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30000000"/>
      <sheetName val="40000000"/>
      <sheetName val="50000000"/>
      <sheetName val="60000000"/>
      <sheetName val="XXXXXXX0"/>
      <sheetName val="MAU_A"/>
      <sheetName val="MAU_B"/>
      <sheetName val="MAU_C"/>
      <sheetName val="MAU E -XCD"/>
      <sheetName val="MAU E -TDS1"/>
      <sheetName val="MAU E- NDH"/>
      <sheetName val="Giao"/>
      <sheetName val="CHIET TINH"/>
      <sheetName val="Bang Gia VL"/>
      <sheetName val="Tong Hop KP"/>
      <sheetName val=" DON GIA"/>
      <sheetName val="CHIET TINH THEO KH.SAT"/>
      <sheetName val="cham cong XL (2)"/>
      <sheetName val="cham cong XL"/>
      <sheetName val="chamcong"/>
      <sheetName val="Luong XD"/>
      <sheetName val="L.KHOAN 2 "/>
      <sheetName val="L.KHOAN 2"/>
      <sheetName val="CONGTRINHNHD"/>
      <sheetName val="L. KHOAN"/>
      <sheetName val="Luong XL"/>
      <sheetName val="PHANBOXL"/>
      <sheetName val="PHAN BO"/>
      <sheetName val="Luong XD thang 3"/>
      <sheetName val="CONGTRINHNHD thang3"/>
      <sheetName val="luong QL"/>
      <sheetName val="CONGDOAN "/>
      <sheetName val="CTACPHI"/>
      <sheetName val="TH9"/>
      <sheetName val="TH12"/>
      <sheetName val="BT-DSPK"/>
      <sheetName val="작성방법"/>
      <sheetName val="thang 1"/>
      <sheetName val="thang2"/>
      <sheetName val="Thang 3"/>
      <sheetName val="thang5"/>
      <sheetName val="thang4"/>
      <sheetName val="00000001"/>
      <sheetName val="CTP"/>
      <sheetName val="LUONG"/>
      <sheetName val="lphi"/>
      <sheetName val="PLTT"/>
      <sheetName val="KTPLVP"/>
      <sheetName val="KTPL2"/>
      <sheetName val="KHKPHT7-02"/>
      <sheetName val="KHKPHT9-02"/>
      <sheetName val="KHKPHT8-02"/>
      <sheetName val="KHKPHT10-02 "/>
      <sheetName val="lptinh"/>
      <sheetName val="UHNN"/>
      <sheetName val="BHYT02"/>
      <sheetName val="TLL"/>
      <sheetName val="TLL (2)"/>
      <sheetName val="TLLhuyen"/>
      <sheetName val="Dsach"/>
      <sheetName val="TCONG"/>
      <sheetName val="KHKPHT1-02"/>
      <sheetName val="ththdt"/>
      <sheetName val="CPTHU"/>
      <sheetName val="THKPCHD"/>
      <sheetName val="QD100"/>
      <sheetName val="KHKPHT-T6-02"/>
      <sheetName val="giao nv TH chong qua tai dot 3"/>
      <sheetName val="ton tai cac tram dong dien"/>
      <sheetName val="chong qua tai dot 3"/>
      <sheetName val="cac du an"/>
      <sheetName val="Chong qua tai dot 3 moi"/>
      <sheetName val="H.so tram chong qua tai dot 3"/>
      <sheetName val="cac tram dong dien"/>
      <sheetName val="Bieu ngang"/>
      <sheetName val="T.van gs"/>
      <sheetName val="23 tram von WB"/>
      <sheetName val="Chi phi den bu A"/>
      <sheetName val="HE SO"/>
      <sheetName val="K2=9 Subbase"/>
      <sheetName val="TINHNEN"/>
      <sheetName val="Nen VN"/>
      <sheetName val="canh (2)"/>
      <sheetName val="canh"/>
      <sheetName val="Bang Don gia II"/>
      <sheetName val="Chart2"/>
      <sheetName val="TCT DIEN LUC (EVN)"/>
      <sheetName val="특외대"/>
      <sheetName val="lienbao1"/>
      <sheetName val="bangrap"/>
      <sheetName val="Lie Bao2"/>
      <sheetName val="lien bao"/>
      <sheetName val="duong BR"/>
      <sheetName val="nhakhoBR"/>
      <sheetName val="trung 5"/>
      <sheetName val="QLoi"/>
      <sheetName val="PTHT"/>
      <sheetName val="Yenlac"/>
      <sheetName val="telo"/>
      <sheetName val="km337+136-km337ý350"/>
      <sheetName val="THAYCTO "/>
    </sheetNames>
    <sheetDataSet>
      <sheetData sheetId="0" refreshError="1"/>
      <sheetData sheetId="1" refreshError="1"/>
      <sheetData sheetId="2">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7">
          <cell r="A7">
            <v>2</v>
          </cell>
          <cell r="B7">
            <v>0.75</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row>
        <row r="8">
          <cell r="A8">
            <v>3</v>
          </cell>
          <cell r="B8">
            <v>1</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row>
        <row r="9">
          <cell r="A9">
            <v>4</v>
          </cell>
          <cell r="B9">
            <v>1.5</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row>
        <row r="10">
          <cell r="A10">
            <v>5</v>
          </cell>
          <cell r="B10">
            <v>2</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row>
        <row r="11">
          <cell r="A11">
            <v>6</v>
          </cell>
          <cell r="B11">
            <v>2.5</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v>7</v>
          </cell>
          <cell r="B12">
            <v>3</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A13">
            <v>8</v>
          </cell>
          <cell r="B13">
            <v>4</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A14">
            <v>9</v>
          </cell>
          <cell r="B14">
            <v>5</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A15">
            <v>10</v>
          </cell>
          <cell r="B15">
            <v>6</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A16">
            <v>11</v>
          </cell>
          <cell r="B16">
            <v>8</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v>12</v>
          </cell>
          <cell r="B17">
            <v>10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row>
        <row r="18">
          <cell r="A18">
            <v>13</v>
          </cell>
          <cell r="B18">
            <v>12</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row>
        <row r="19">
          <cell r="A19">
            <v>14</v>
          </cell>
          <cell r="B19">
            <v>14</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row>
        <row r="20">
          <cell r="A20">
            <v>15</v>
          </cell>
          <cell r="B20">
            <v>16</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row>
        <row r="21">
          <cell r="A21">
            <v>16</v>
          </cell>
          <cell r="B21">
            <v>18</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row>
        <row r="22">
          <cell r="A22">
            <v>17</v>
          </cell>
          <cell r="B22">
            <v>20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row>
        <row r="23">
          <cell r="A23">
            <v>18</v>
          </cell>
          <cell r="B23">
            <v>22</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row>
        <row r="24">
          <cell r="A24">
            <v>19</v>
          </cell>
          <cell r="B24">
            <v>24</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row>
        <row r="25">
          <cell r="A25">
            <v>20</v>
          </cell>
          <cell r="B25">
            <v>26</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row>
        <row r="26">
          <cell r="A26">
            <v>21</v>
          </cell>
          <cell r="B26">
            <v>28</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row>
        <row r="27">
          <cell r="A27">
            <v>22</v>
          </cell>
          <cell r="B27">
            <v>30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row>
        <row r="28">
          <cell r="A28">
            <v>23</v>
          </cell>
          <cell r="B28">
            <v>32</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row>
        <row r="29">
          <cell r="A29">
            <v>24</v>
          </cell>
          <cell r="B29">
            <v>34</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row>
        <row r="30">
          <cell r="A30">
            <v>25</v>
          </cell>
          <cell r="B30">
            <v>36</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row>
        <row r="31">
          <cell r="A31">
            <v>26</v>
          </cell>
          <cell r="B31">
            <v>38</v>
          </cell>
          <cell r="C31">
            <v>6</v>
          </cell>
          <cell r="D31">
            <v>2.77</v>
          </cell>
          <cell r="E31">
            <v>0</v>
          </cell>
          <cell r="F31">
            <v>0</v>
          </cell>
          <cell r="G31">
            <v>0</v>
          </cell>
          <cell r="H31">
            <v>0</v>
          </cell>
          <cell r="I31">
            <v>0</v>
          </cell>
          <cell r="J31">
            <v>0</v>
          </cell>
          <cell r="K31">
            <v>0.45</v>
          </cell>
          <cell r="L31">
            <v>0</v>
          </cell>
          <cell r="M31">
            <v>0</v>
          </cell>
          <cell r="N31">
            <v>0</v>
          </cell>
          <cell r="O31">
            <v>0</v>
          </cell>
          <cell r="P31">
            <v>0</v>
          </cell>
          <cell r="Q31">
            <v>0</v>
          </cell>
          <cell r="R31">
            <v>0</v>
          </cell>
          <cell r="S31">
            <v>0</v>
          </cell>
          <cell r="T31">
            <v>0</v>
          </cell>
          <cell r="U31">
            <v>0</v>
          </cell>
        </row>
        <row r="32">
          <cell r="A32">
            <v>27</v>
          </cell>
          <cell r="B32">
            <v>40</v>
          </cell>
          <cell r="C32">
            <v>8</v>
          </cell>
          <cell r="D32">
            <v>2.77</v>
          </cell>
          <cell r="E32">
            <v>0</v>
          </cell>
          <cell r="F32">
            <v>0</v>
          </cell>
          <cell r="G32">
            <v>0</v>
          </cell>
          <cell r="H32">
            <v>0</v>
          </cell>
          <cell r="I32">
            <v>0</v>
          </cell>
          <cell r="J32">
            <v>0</v>
          </cell>
          <cell r="K32">
            <v>0.45</v>
          </cell>
          <cell r="L32">
            <v>0</v>
          </cell>
          <cell r="M32">
            <v>0</v>
          </cell>
          <cell r="N32">
            <v>0</v>
          </cell>
          <cell r="O32">
            <v>0</v>
          </cell>
          <cell r="P32">
            <v>0</v>
          </cell>
          <cell r="Q32">
            <v>0</v>
          </cell>
          <cell r="R32">
            <v>0</v>
          </cell>
          <cell r="S32">
            <v>0</v>
          </cell>
          <cell r="T32">
            <v>0</v>
          </cell>
          <cell r="U32">
            <v>0</v>
          </cell>
        </row>
        <row r="33">
          <cell r="A33">
            <v>28</v>
          </cell>
          <cell r="B33">
            <v>42</v>
          </cell>
          <cell r="C33">
            <v>10</v>
          </cell>
          <cell r="D33">
            <v>3.4</v>
          </cell>
          <cell r="E33">
            <v>0</v>
          </cell>
          <cell r="F33">
            <v>0</v>
          </cell>
          <cell r="G33">
            <v>0</v>
          </cell>
          <cell r="H33">
            <v>0</v>
          </cell>
          <cell r="I33">
            <v>0</v>
          </cell>
          <cell r="J33">
            <v>0</v>
          </cell>
          <cell r="K33">
            <v>0.9</v>
          </cell>
          <cell r="L33">
            <v>0</v>
          </cell>
          <cell r="M33">
            <v>0</v>
          </cell>
          <cell r="N33">
            <v>0</v>
          </cell>
          <cell r="O33">
            <v>0</v>
          </cell>
          <cell r="P33">
            <v>0</v>
          </cell>
          <cell r="Q33">
            <v>0</v>
          </cell>
          <cell r="R33">
            <v>0</v>
          </cell>
          <cell r="S33">
            <v>0</v>
          </cell>
          <cell r="T33">
            <v>0</v>
          </cell>
          <cell r="U33">
            <v>0</v>
          </cell>
        </row>
        <row r="34">
          <cell r="A34">
            <v>29</v>
          </cell>
          <cell r="B34">
            <v>44</v>
          </cell>
          <cell r="C34">
            <v>12</v>
          </cell>
          <cell r="D34">
            <v>3.96</v>
          </cell>
          <cell r="E34">
            <v>0</v>
          </cell>
          <cell r="F34">
            <v>0</v>
          </cell>
          <cell r="G34">
            <v>0</v>
          </cell>
          <cell r="H34">
            <v>0</v>
          </cell>
          <cell r="I34">
            <v>0</v>
          </cell>
          <cell r="J34">
            <v>0</v>
          </cell>
          <cell r="K34">
            <v>1.2</v>
          </cell>
          <cell r="L34">
            <v>0</v>
          </cell>
          <cell r="M34">
            <v>0</v>
          </cell>
          <cell r="N34">
            <v>0</v>
          </cell>
          <cell r="O34">
            <v>0</v>
          </cell>
          <cell r="P34">
            <v>0</v>
          </cell>
          <cell r="Q34">
            <v>0</v>
          </cell>
          <cell r="R34">
            <v>0</v>
          </cell>
          <cell r="S34">
            <v>0</v>
          </cell>
          <cell r="T34">
            <v>0</v>
          </cell>
          <cell r="U34">
            <v>0</v>
          </cell>
        </row>
        <row r="35">
          <cell r="A35">
            <v>30</v>
          </cell>
          <cell r="B35">
            <v>46</v>
          </cell>
          <cell r="C35">
            <v>14</v>
          </cell>
          <cell r="D35">
            <v>3.96</v>
          </cell>
          <cell r="E35">
            <v>0</v>
          </cell>
          <cell r="F35">
            <v>0</v>
          </cell>
          <cell r="G35">
            <v>0</v>
          </cell>
          <cell r="H35">
            <v>0</v>
          </cell>
          <cell r="I35">
            <v>0</v>
          </cell>
          <cell r="J35">
            <v>0</v>
          </cell>
          <cell r="K35">
            <v>1.34</v>
          </cell>
          <cell r="L35">
            <v>0</v>
          </cell>
          <cell r="M35">
            <v>0</v>
          </cell>
          <cell r="N35">
            <v>0</v>
          </cell>
          <cell r="O35">
            <v>0</v>
          </cell>
          <cell r="P35">
            <v>0</v>
          </cell>
          <cell r="Q35">
            <v>0</v>
          </cell>
          <cell r="R35">
            <v>0</v>
          </cell>
          <cell r="S35">
            <v>0</v>
          </cell>
          <cell r="T35">
            <v>0</v>
          </cell>
          <cell r="U35">
            <v>0</v>
          </cell>
        </row>
        <row r="36">
          <cell r="A36">
            <v>31</v>
          </cell>
          <cell r="B36">
            <v>48</v>
          </cell>
          <cell r="C36">
            <v>16</v>
          </cell>
          <cell r="D36">
            <v>4.1900000000000004</v>
          </cell>
          <cell r="E36">
            <v>0</v>
          </cell>
          <cell r="F36">
            <v>0</v>
          </cell>
          <cell r="G36">
            <v>0</v>
          </cell>
          <cell r="H36">
            <v>0</v>
          </cell>
          <cell r="I36">
            <v>0</v>
          </cell>
          <cell r="J36">
            <v>0</v>
          </cell>
          <cell r="K36">
            <v>1.65</v>
          </cell>
          <cell r="L36">
            <v>0</v>
          </cell>
          <cell r="M36">
            <v>0</v>
          </cell>
          <cell r="N36">
            <v>0</v>
          </cell>
          <cell r="O36">
            <v>0</v>
          </cell>
          <cell r="P36">
            <v>0</v>
          </cell>
          <cell r="Q36">
            <v>0</v>
          </cell>
          <cell r="R36">
            <v>0</v>
          </cell>
          <cell r="S36">
            <v>0</v>
          </cell>
          <cell r="T36">
            <v>0</v>
          </cell>
          <cell r="U36">
            <v>0</v>
          </cell>
        </row>
        <row r="37">
          <cell r="A37">
            <v>32</v>
          </cell>
          <cell r="B37">
            <v>52</v>
          </cell>
          <cell r="C37">
            <v>18</v>
          </cell>
          <cell r="D37">
            <v>4.1900000000000004</v>
          </cell>
          <cell r="E37">
            <v>0</v>
          </cell>
          <cell r="F37">
            <v>0</v>
          </cell>
          <cell r="G37">
            <v>0</v>
          </cell>
          <cell r="H37">
            <v>0</v>
          </cell>
          <cell r="I37">
            <v>0</v>
          </cell>
          <cell r="J37">
            <v>0</v>
          </cell>
          <cell r="K37">
            <v>1.8</v>
          </cell>
          <cell r="L37">
            <v>0</v>
          </cell>
          <cell r="M37">
            <v>0</v>
          </cell>
          <cell r="N37">
            <v>0</v>
          </cell>
          <cell r="O37">
            <v>0</v>
          </cell>
          <cell r="P37">
            <v>0</v>
          </cell>
          <cell r="Q37">
            <v>0</v>
          </cell>
          <cell r="R37">
            <v>0</v>
          </cell>
          <cell r="S37">
            <v>0</v>
          </cell>
          <cell r="T37">
            <v>0</v>
          </cell>
          <cell r="U37">
            <v>0</v>
          </cell>
        </row>
        <row r="38">
          <cell r="A38">
            <v>33</v>
          </cell>
          <cell r="B38">
            <v>56</v>
          </cell>
          <cell r="C38">
            <v>20</v>
          </cell>
          <cell r="D38">
            <v>4.78</v>
          </cell>
          <cell r="E38">
            <v>0</v>
          </cell>
          <cell r="F38">
            <v>0</v>
          </cell>
          <cell r="G38">
            <v>0</v>
          </cell>
          <cell r="H38">
            <v>0</v>
          </cell>
          <cell r="I38">
            <v>0</v>
          </cell>
          <cell r="J38">
            <v>0</v>
          </cell>
          <cell r="K38">
            <v>2.54</v>
          </cell>
          <cell r="L38">
            <v>0</v>
          </cell>
          <cell r="M38">
            <v>0</v>
          </cell>
          <cell r="N38">
            <v>0</v>
          </cell>
          <cell r="O38">
            <v>0</v>
          </cell>
          <cell r="P38">
            <v>0</v>
          </cell>
          <cell r="Q38">
            <v>0</v>
          </cell>
          <cell r="R38">
            <v>0</v>
          </cell>
          <cell r="S38">
            <v>0</v>
          </cell>
          <cell r="T38">
            <v>0</v>
          </cell>
          <cell r="U38">
            <v>0</v>
          </cell>
        </row>
        <row r="39">
          <cell r="A39">
            <v>34</v>
          </cell>
          <cell r="B39">
            <v>60</v>
          </cell>
          <cell r="C39">
            <v>22</v>
          </cell>
          <cell r="D39">
            <v>4.78</v>
          </cell>
          <cell r="E39">
            <v>0</v>
          </cell>
          <cell r="F39">
            <v>0</v>
          </cell>
          <cell r="G39">
            <v>0</v>
          </cell>
          <cell r="H39">
            <v>0</v>
          </cell>
          <cell r="I39">
            <v>0</v>
          </cell>
          <cell r="J39">
            <v>0</v>
          </cell>
          <cell r="K39">
            <v>2.69</v>
          </cell>
          <cell r="L39">
            <v>0</v>
          </cell>
          <cell r="M39">
            <v>0</v>
          </cell>
          <cell r="N39">
            <v>0</v>
          </cell>
          <cell r="O39">
            <v>0</v>
          </cell>
          <cell r="P39">
            <v>0</v>
          </cell>
          <cell r="Q39">
            <v>0</v>
          </cell>
          <cell r="R39">
            <v>0</v>
          </cell>
          <cell r="S39">
            <v>0</v>
          </cell>
          <cell r="T39">
            <v>0</v>
          </cell>
          <cell r="U39">
            <v>0</v>
          </cell>
        </row>
        <row r="40">
          <cell r="A40">
            <v>35</v>
          </cell>
          <cell r="B40">
            <v>64</v>
          </cell>
          <cell r="C40">
            <v>24</v>
          </cell>
          <cell r="D40">
            <v>5.54</v>
          </cell>
          <cell r="E40">
            <v>0</v>
          </cell>
          <cell r="F40">
            <v>0</v>
          </cell>
          <cell r="G40">
            <v>0</v>
          </cell>
          <cell r="H40">
            <v>0</v>
          </cell>
          <cell r="I40">
            <v>0</v>
          </cell>
          <cell r="J40">
            <v>0</v>
          </cell>
          <cell r="K40">
            <v>3.9000000000000004</v>
          </cell>
          <cell r="L40">
            <v>0</v>
          </cell>
          <cell r="M40">
            <v>0</v>
          </cell>
          <cell r="N40">
            <v>0</v>
          </cell>
          <cell r="O40">
            <v>0</v>
          </cell>
          <cell r="P40">
            <v>0</v>
          </cell>
          <cell r="Q40">
            <v>0</v>
          </cell>
          <cell r="R40">
            <v>0</v>
          </cell>
          <cell r="S40">
            <v>0</v>
          </cell>
          <cell r="T40">
            <v>0</v>
          </cell>
          <cell r="U40">
            <v>0</v>
          </cell>
        </row>
        <row r="41">
          <cell r="A41">
            <v>36</v>
          </cell>
          <cell r="B41">
            <v>68</v>
          </cell>
          <cell r="C41">
            <v>30</v>
          </cell>
          <cell r="D41">
            <v>6.35</v>
          </cell>
          <cell r="E41">
            <v>0</v>
          </cell>
          <cell r="F41">
            <v>0</v>
          </cell>
          <cell r="G41">
            <v>0</v>
          </cell>
          <cell r="H41">
            <v>0</v>
          </cell>
          <cell r="I41">
            <v>0</v>
          </cell>
          <cell r="J41">
            <v>0</v>
          </cell>
          <cell r="K41">
            <v>6.15</v>
          </cell>
          <cell r="L41">
            <v>0</v>
          </cell>
          <cell r="M41">
            <v>0</v>
          </cell>
          <cell r="N41">
            <v>0</v>
          </cell>
          <cell r="O41">
            <v>0</v>
          </cell>
          <cell r="P41">
            <v>0</v>
          </cell>
          <cell r="Q41">
            <v>0</v>
          </cell>
          <cell r="R41">
            <v>0</v>
          </cell>
          <cell r="S41">
            <v>0</v>
          </cell>
          <cell r="T41">
            <v>0</v>
          </cell>
          <cell r="U41">
            <v>0</v>
          </cell>
        </row>
        <row r="42">
          <cell r="A42">
            <v>37</v>
          </cell>
          <cell r="B42">
            <v>72</v>
          </cell>
          <cell r="C42">
            <v>14</v>
          </cell>
          <cell r="D42">
            <v>6.35</v>
          </cell>
          <cell r="E42">
            <v>0</v>
          </cell>
          <cell r="F42">
            <v>0</v>
          </cell>
          <cell r="G42">
            <v>0</v>
          </cell>
          <cell r="H42">
            <v>0</v>
          </cell>
          <cell r="I42">
            <v>0</v>
          </cell>
          <cell r="J42">
            <v>0</v>
          </cell>
          <cell r="K42">
            <v>2.69</v>
          </cell>
          <cell r="L42">
            <v>0</v>
          </cell>
          <cell r="M42">
            <v>0</v>
          </cell>
          <cell r="N42">
            <v>0</v>
          </cell>
          <cell r="O42">
            <v>0</v>
          </cell>
          <cell r="P42">
            <v>0</v>
          </cell>
          <cell r="Q42">
            <v>0</v>
          </cell>
          <cell r="R42">
            <v>0</v>
          </cell>
          <cell r="S42">
            <v>0</v>
          </cell>
          <cell r="T42">
            <v>0</v>
          </cell>
          <cell r="U42">
            <v>0</v>
          </cell>
        </row>
        <row r="43">
          <cell r="A43">
            <v>38</v>
          </cell>
          <cell r="B43">
            <v>76</v>
          </cell>
          <cell r="C43">
            <v>16</v>
          </cell>
          <cell r="D43">
            <v>6.35</v>
          </cell>
          <cell r="E43">
            <v>0</v>
          </cell>
          <cell r="F43">
            <v>0</v>
          </cell>
          <cell r="G43">
            <v>0</v>
          </cell>
          <cell r="H43">
            <v>0</v>
          </cell>
          <cell r="I43">
            <v>0</v>
          </cell>
          <cell r="J43">
            <v>0</v>
          </cell>
          <cell r="K43">
            <v>3</v>
          </cell>
          <cell r="L43">
            <v>0</v>
          </cell>
          <cell r="M43">
            <v>0</v>
          </cell>
          <cell r="N43">
            <v>0</v>
          </cell>
          <cell r="O43">
            <v>0</v>
          </cell>
          <cell r="P43">
            <v>0</v>
          </cell>
          <cell r="Q43">
            <v>0</v>
          </cell>
          <cell r="R43">
            <v>0</v>
          </cell>
          <cell r="S43">
            <v>0</v>
          </cell>
          <cell r="T43">
            <v>0</v>
          </cell>
          <cell r="U43">
            <v>0</v>
          </cell>
        </row>
        <row r="44">
          <cell r="A44">
            <v>39</v>
          </cell>
          <cell r="B44">
            <v>80</v>
          </cell>
          <cell r="C44">
            <v>18</v>
          </cell>
          <cell r="D44">
            <v>6.35</v>
          </cell>
          <cell r="E44">
            <v>0</v>
          </cell>
          <cell r="F44">
            <v>0</v>
          </cell>
          <cell r="G44">
            <v>0</v>
          </cell>
          <cell r="H44">
            <v>0</v>
          </cell>
          <cell r="I44">
            <v>0</v>
          </cell>
          <cell r="J44">
            <v>0</v>
          </cell>
          <cell r="K44">
            <v>3.3</v>
          </cell>
          <cell r="L44">
            <v>0</v>
          </cell>
          <cell r="M44">
            <v>0</v>
          </cell>
          <cell r="N44">
            <v>0</v>
          </cell>
          <cell r="O44">
            <v>0</v>
          </cell>
          <cell r="P44">
            <v>0</v>
          </cell>
          <cell r="Q44">
            <v>0</v>
          </cell>
          <cell r="R44">
            <v>0</v>
          </cell>
          <cell r="S44">
            <v>0</v>
          </cell>
          <cell r="T44">
            <v>0</v>
          </cell>
          <cell r="U44">
            <v>0</v>
          </cell>
        </row>
        <row r="45">
          <cell r="A45" t="str">
            <v>AVE.</v>
          </cell>
          <cell r="B45">
            <v>0</v>
          </cell>
          <cell r="C45">
            <v>20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row>
        <row r="46">
          <cell r="B46">
            <v>10</v>
          </cell>
          <cell r="C46">
            <v>22</v>
          </cell>
          <cell r="D46">
            <v>6.35</v>
          </cell>
          <cell r="E46">
            <v>1</v>
          </cell>
          <cell r="I46">
            <v>2.23</v>
          </cell>
          <cell r="J46">
            <v>2.27</v>
          </cell>
          <cell r="K46">
            <v>4.5</v>
          </cell>
          <cell r="P46">
            <v>8</v>
          </cell>
        </row>
        <row r="47">
          <cell r="A47" t="str">
            <v>*** Reference Paper : Predict Fittings For Piping Systems ***</v>
          </cell>
          <cell r="B47">
            <v>10</v>
          </cell>
          <cell r="C47">
            <v>24</v>
          </cell>
          <cell r="D47">
            <v>6.35</v>
          </cell>
          <cell r="E47">
            <v>1</v>
          </cell>
          <cell r="I47">
            <v>2.4300000000000002</v>
          </cell>
          <cell r="J47">
            <v>2.0699999999999998</v>
          </cell>
          <cell r="K47" t="str">
            <v>Fc = 0.25  Utility Supply Lines, OSBL</v>
          </cell>
          <cell r="P47">
            <v>8</v>
          </cell>
          <cell r="R47" t="str">
            <v>Fc = 2.00  Manifold Type Piping</v>
          </cell>
        </row>
        <row r="48">
          <cell r="B48">
            <v>10</v>
          </cell>
          <cell r="C48">
            <v>26</v>
          </cell>
          <cell r="D48" t="str">
            <v xml:space="preserve">   By William B. Hooper , Monsanto Co.</v>
          </cell>
          <cell r="E48">
            <v>1</v>
          </cell>
          <cell r="I48">
            <v>2.64</v>
          </cell>
          <cell r="J48">
            <v>4.8600000000000003</v>
          </cell>
          <cell r="K48" t="str">
            <v xml:space="preserve">        (PIPE JOINT FACTOR Fp = 100%)</v>
          </cell>
          <cell r="P48">
            <v>9</v>
          </cell>
          <cell r="R48" t="str">
            <v xml:space="preserve">        (PIPE JOINT FACTOR Fp = 0%)</v>
          </cell>
        </row>
        <row r="49">
          <cell r="B49">
            <v>10</v>
          </cell>
          <cell r="C49">
            <v>28</v>
          </cell>
          <cell r="D49">
            <v>7.92</v>
          </cell>
          <cell r="E49">
            <v>1</v>
          </cell>
          <cell r="I49">
            <v>2.84</v>
          </cell>
          <cell r="J49">
            <v>5.26</v>
          </cell>
          <cell r="K49" t="str">
            <v>Fc = 0.50  Long, Straight Piping Run</v>
          </cell>
          <cell r="P49">
            <v>9</v>
          </cell>
          <cell r="R49" t="str">
            <v>Fc = 4.00  Very Complex Manifolds</v>
          </cell>
        </row>
        <row r="50">
          <cell r="A50" t="str">
            <v>The number and types of pipe fittings can be estimated by this method</v>
          </cell>
          <cell r="B50">
            <v>10</v>
          </cell>
          <cell r="C50">
            <v>30</v>
          </cell>
          <cell r="D50">
            <v>7.92</v>
          </cell>
          <cell r="E50">
            <v>1</v>
          </cell>
          <cell r="I50">
            <v>3.04</v>
          </cell>
          <cell r="J50">
            <v>5.66</v>
          </cell>
          <cell r="K50" t="str">
            <v xml:space="preserve">        (PIPE JOINT FACTOR Fp = 100%)</v>
          </cell>
          <cell r="P50">
            <v>10</v>
          </cell>
          <cell r="R50" t="str">
            <v xml:space="preserve">        (PIPE JOINT FACTOR Fp = 0%)</v>
          </cell>
        </row>
        <row r="51">
          <cell r="A51" t="str">
            <v>long before the piping isometrics are done. Pipe size and a general idea</v>
          </cell>
          <cell r="B51">
            <v>10</v>
          </cell>
          <cell r="C51">
            <v>32</v>
          </cell>
          <cell r="D51">
            <v>7.92</v>
          </cell>
          <cell r="E51">
            <v>1</v>
          </cell>
          <cell r="I51">
            <v>3.24</v>
          </cell>
          <cell r="J51">
            <v>6.06</v>
          </cell>
          <cell r="K51" t="str">
            <v>Fc = 1.00  Normal Piping</v>
          </cell>
          <cell r="P51">
            <v>11</v>
          </cell>
        </row>
        <row r="52">
          <cell r="A52" t="str">
            <v>of the system's complexity are all that is needed.</v>
          </cell>
          <cell r="B52">
            <v>10</v>
          </cell>
          <cell r="C52">
            <v>34</v>
          </cell>
          <cell r="D52">
            <v>7.92</v>
          </cell>
          <cell r="E52">
            <v>1</v>
          </cell>
          <cell r="I52">
            <v>3.45</v>
          </cell>
          <cell r="J52">
            <v>6.44</v>
          </cell>
          <cell r="K52" t="str">
            <v xml:space="preserve">        (PIPE JOINT FACTOR Fp = 10%)</v>
          </cell>
          <cell r="P52">
            <v>12</v>
          </cell>
        </row>
      </sheetData>
      <sheetData sheetId="3" refreshError="1">
        <row r="8">
          <cell r="B8" t="str">
            <v>5S</v>
          </cell>
          <cell r="C8">
            <v>0.5</v>
          </cell>
          <cell r="D8">
            <v>1.65</v>
          </cell>
          <cell r="E8">
            <v>1</v>
          </cell>
          <cell r="F8">
            <v>0</v>
          </cell>
          <cell r="G8">
            <v>0</v>
          </cell>
          <cell r="H8">
            <v>0</v>
          </cell>
          <cell r="I8">
            <v>7.0000000000000007E-2</v>
          </cell>
          <cell r="J8">
            <v>0</v>
          </cell>
          <cell r="K8">
            <v>7.0000000000000007E-2</v>
          </cell>
          <cell r="L8">
            <v>0</v>
          </cell>
          <cell r="M8">
            <v>0</v>
          </cell>
          <cell r="N8">
            <v>0</v>
          </cell>
          <cell r="O8">
            <v>0</v>
          </cell>
          <cell r="P8">
            <v>2</v>
          </cell>
        </row>
        <row r="9">
          <cell r="B9" t="str">
            <v>5S</v>
          </cell>
          <cell r="C9">
            <v>0.5</v>
          </cell>
          <cell r="D9">
            <v>1.65</v>
          </cell>
          <cell r="E9">
            <v>1</v>
          </cell>
          <cell r="F9">
            <v>0</v>
          </cell>
          <cell r="G9">
            <v>0</v>
          </cell>
          <cell r="H9">
            <v>0</v>
          </cell>
          <cell r="I9">
            <v>7.0000000000000007E-2</v>
          </cell>
          <cell r="J9">
            <v>0</v>
          </cell>
          <cell r="K9">
            <v>7.0000000000000007E-2</v>
          </cell>
          <cell r="L9">
            <v>0</v>
          </cell>
          <cell r="M9">
            <v>0</v>
          </cell>
          <cell r="N9">
            <v>0</v>
          </cell>
          <cell r="O9">
            <v>0</v>
          </cell>
          <cell r="P9">
            <v>2</v>
          </cell>
        </row>
        <row r="10">
          <cell r="A10" t="str">
            <v>5S</v>
          </cell>
          <cell r="B10" t="str">
            <v>5S</v>
          </cell>
          <cell r="C10">
            <v>0.5</v>
          </cell>
          <cell r="D10">
            <v>1.65</v>
          </cell>
          <cell r="E10">
            <v>1</v>
          </cell>
          <cell r="F10">
            <v>0</v>
          </cell>
          <cell r="G10">
            <v>0</v>
          </cell>
          <cell r="H10">
            <v>0</v>
          </cell>
          <cell r="I10">
            <v>7.0000000000000007E-2</v>
          </cell>
          <cell r="J10">
            <v>0</v>
          </cell>
          <cell r="K10">
            <v>7.0000000000000007E-2</v>
          </cell>
          <cell r="L10">
            <v>0</v>
          </cell>
          <cell r="M10">
            <v>0</v>
          </cell>
          <cell r="N10">
            <v>0</v>
          </cell>
          <cell r="O10">
            <v>0</v>
          </cell>
          <cell r="P10">
            <v>2</v>
          </cell>
        </row>
        <row r="11">
          <cell r="B11" t="str">
            <v>5S</v>
          </cell>
          <cell r="C11">
            <v>0.75</v>
          </cell>
          <cell r="D11">
            <v>1.65</v>
          </cell>
          <cell r="E11">
            <v>1</v>
          </cell>
          <cell r="F11">
            <v>0</v>
          </cell>
          <cell r="G11">
            <v>0</v>
          </cell>
          <cell r="H11">
            <v>0</v>
          </cell>
          <cell r="I11">
            <v>7.0000000000000007E-2</v>
          </cell>
          <cell r="J11">
            <v>0</v>
          </cell>
          <cell r="K11">
            <v>7.0000000000000007E-2</v>
          </cell>
          <cell r="L11">
            <v>0</v>
          </cell>
          <cell r="M11">
            <v>0</v>
          </cell>
          <cell r="N11">
            <v>0</v>
          </cell>
          <cell r="O11">
            <v>0</v>
          </cell>
          <cell r="P11">
            <v>2</v>
          </cell>
        </row>
        <row r="12">
          <cell r="B12" t="str">
            <v>5S</v>
          </cell>
          <cell r="C12">
            <v>0.75</v>
          </cell>
          <cell r="D12">
            <v>1.65</v>
          </cell>
          <cell r="E12">
            <v>1</v>
          </cell>
          <cell r="F12">
            <v>0</v>
          </cell>
          <cell r="G12">
            <v>0</v>
          </cell>
          <cell r="H12">
            <v>0</v>
          </cell>
          <cell r="I12">
            <v>7.0000000000000007E-2</v>
          </cell>
          <cell r="J12">
            <v>0</v>
          </cell>
          <cell r="K12">
            <v>7.0000000000000007E-2</v>
          </cell>
          <cell r="L12">
            <v>0</v>
          </cell>
          <cell r="M12">
            <v>0</v>
          </cell>
          <cell r="N12">
            <v>0</v>
          </cell>
          <cell r="O12">
            <v>0</v>
          </cell>
          <cell r="P12">
            <v>2</v>
          </cell>
        </row>
        <row r="13">
          <cell r="B13" t="str">
            <v>5S</v>
          </cell>
          <cell r="C13">
            <v>0.75</v>
          </cell>
          <cell r="D13">
            <v>1.65</v>
          </cell>
          <cell r="E13">
            <v>1</v>
          </cell>
          <cell r="F13">
            <v>0</v>
          </cell>
          <cell r="G13">
            <v>0</v>
          </cell>
          <cell r="H13">
            <v>0</v>
          </cell>
          <cell r="I13">
            <v>7.0000000000000007E-2</v>
          </cell>
          <cell r="J13">
            <v>0</v>
          </cell>
          <cell r="K13">
            <v>7.0000000000000007E-2</v>
          </cell>
          <cell r="L13">
            <v>0</v>
          </cell>
          <cell r="M13">
            <v>0</v>
          </cell>
          <cell r="N13">
            <v>0</v>
          </cell>
          <cell r="O13">
            <v>0</v>
          </cell>
          <cell r="P13">
            <v>2</v>
          </cell>
        </row>
        <row r="14">
          <cell r="B14" t="str">
            <v>5S</v>
          </cell>
          <cell r="C14">
            <v>1</v>
          </cell>
          <cell r="D14">
            <v>1.65</v>
          </cell>
          <cell r="E14">
            <v>1</v>
          </cell>
          <cell r="F14">
            <v>0</v>
          </cell>
          <cell r="G14">
            <v>0</v>
          </cell>
          <cell r="H14">
            <v>0</v>
          </cell>
          <cell r="I14">
            <v>0.12</v>
          </cell>
          <cell r="J14">
            <v>0</v>
          </cell>
          <cell r="K14">
            <v>0.12</v>
          </cell>
          <cell r="L14">
            <v>0</v>
          </cell>
          <cell r="M14">
            <v>0</v>
          </cell>
          <cell r="N14">
            <v>0</v>
          </cell>
          <cell r="O14">
            <v>0</v>
          </cell>
          <cell r="P14">
            <v>2</v>
          </cell>
        </row>
        <row r="15">
          <cell r="B15" t="str">
            <v>5S</v>
          </cell>
          <cell r="C15">
            <v>1</v>
          </cell>
          <cell r="D15">
            <v>1.65</v>
          </cell>
          <cell r="E15">
            <v>1</v>
          </cell>
          <cell r="F15">
            <v>0</v>
          </cell>
          <cell r="G15">
            <v>0</v>
          </cell>
          <cell r="H15">
            <v>0</v>
          </cell>
          <cell r="I15">
            <v>0.12</v>
          </cell>
          <cell r="J15">
            <v>0</v>
          </cell>
          <cell r="K15">
            <v>0.12</v>
          </cell>
          <cell r="L15">
            <v>0</v>
          </cell>
          <cell r="M15">
            <v>0</v>
          </cell>
          <cell r="N15">
            <v>0</v>
          </cell>
          <cell r="O15">
            <v>0</v>
          </cell>
          <cell r="P15">
            <v>2</v>
          </cell>
        </row>
        <row r="16">
          <cell r="B16" t="str">
            <v>5S</v>
          </cell>
          <cell r="C16">
            <v>1</v>
          </cell>
          <cell r="D16">
            <v>1.65</v>
          </cell>
          <cell r="E16">
            <v>1</v>
          </cell>
          <cell r="F16">
            <v>0</v>
          </cell>
          <cell r="G16">
            <v>0</v>
          </cell>
          <cell r="H16">
            <v>0</v>
          </cell>
          <cell r="I16">
            <v>0.12</v>
          </cell>
          <cell r="J16">
            <v>0</v>
          </cell>
          <cell r="K16">
            <v>0.12</v>
          </cell>
          <cell r="L16">
            <v>0</v>
          </cell>
          <cell r="M16">
            <v>0</v>
          </cell>
          <cell r="N16">
            <v>0</v>
          </cell>
          <cell r="O16">
            <v>0</v>
          </cell>
          <cell r="P16">
            <v>2</v>
          </cell>
        </row>
        <row r="17">
          <cell r="B17" t="str">
            <v>5S</v>
          </cell>
          <cell r="C17">
            <v>1.25</v>
          </cell>
          <cell r="D17">
            <v>1.65</v>
          </cell>
          <cell r="E17">
            <v>1</v>
          </cell>
          <cell r="F17">
            <v>0</v>
          </cell>
          <cell r="G17">
            <v>0</v>
          </cell>
          <cell r="H17">
            <v>0</v>
          </cell>
          <cell r="I17">
            <v>0.15</v>
          </cell>
          <cell r="J17">
            <v>0</v>
          </cell>
          <cell r="K17">
            <v>0.15</v>
          </cell>
          <cell r="L17">
            <v>0</v>
          </cell>
          <cell r="M17">
            <v>0</v>
          </cell>
          <cell r="N17">
            <v>0</v>
          </cell>
          <cell r="O17">
            <v>0</v>
          </cell>
          <cell r="P17">
            <v>2</v>
          </cell>
        </row>
        <row r="18">
          <cell r="B18" t="str">
            <v>5S</v>
          </cell>
          <cell r="C18">
            <v>1.25</v>
          </cell>
          <cell r="D18">
            <v>1.65</v>
          </cell>
          <cell r="E18">
            <v>1</v>
          </cell>
          <cell r="F18">
            <v>0</v>
          </cell>
          <cell r="G18">
            <v>0</v>
          </cell>
          <cell r="H18">
            <v>0</v>
          </cell>
          <cell r="I18">
            <v>0.15</v>
          </cell>
          <cell r="J18">
            <v>0</v>
          </cell>
          <cell r="K18">
            <v>0.15</v>
          </cell>
          <cell r="L18">
            <v>0</v>
          </cell>
          <cell r="M18">
            <v>0</v>
          </cell>
          <cell r="N18">
            <v>0</v>
          </cell>
          <cell r="O18">
            <v>0</v>
          </cell>
          <cell r="P18">
            <v>2</v>
          </cell>
        </row>
        <row r="19">
          <cell r="B19" t="str">
            <v>5S</v>
          </cell>
          <cell r="C19">
            <v>1.25</v>
          </cell>
          <cell r="D19">
            <v>1.65</v>
          </cell>
          <cell r="E19">
            <v>1</v>
          </cell>
          <cell r="F19">
            <v>0</v>
          </cell>
          <cell r="G19">
            <v>0</v>
          </cell>
          <cell r="H19">
            <v>0</v>
          </cell>
          <cell r="I19">
            <v>0.15</v>
          </cell>
          <cell r="J19">
            <v>0</v>
          </cell>
          <cell r="K19">
            <v>0.15</v>
          </cell>
          <cell r="L19">
            <v>0</v>
          </cell>
          <cell r="M19">
            <v>0</v>
          </cell>
          <cell r="N19">
            <v>0</v>
          </cell>
          <cell r="O19">
            <v>0</v>
          </cell>
          <cell r="P19">
            <v>2</v>
          </cell>
        </row>
        <row r="20">
          <cell r="B20" t="str">
            <v>5S</v>
          </cell>
          <cell r="C20">
            <v>1.5</v>
          </cell>
          <cell r="D20">
            <v>1.65</v>
          </cell>
          <cell r="E20">
            <v>1</v>
          </cell>
          <cell r="F20">
            <v>0</v>
          </cell>
          <cell r="G20">
            <v>0</v>
          </cell>
          <cell r="H20">
            <v>0</v>
          </cell>
          <cell r="I20">
            <v>0.15</v>
          </cell>
          <cell r="J20">
            <v>0</v>
          </cell>
          <cell r="K20">
            <v>0.15</v>
          </cell>
          <cell r="L20">
            <v>0</v>
          </cell>
          <cell r="M20">
            <v>0</v>
          </cell>
          <cell r="N20">
            <v>0</v>
          </cell>
          <cell r="O20">
            <v>0</v>
          </cell>
          <cell r="P20">
            <v>2</v>
          </cell>
        </row>
        <row r="21">
          <cell r="B21" t="str">
            <v>5S</v>
          </cell>
          <cell r="C21">
            <v>1.5</v>
          </cell>
          <cell r="D21">
            <v>1.65</v>
          </cell>
          <cell r="E21">
            <v>1</v>
          </cell>
          <cell r="F21">
            <v>0</v>
          </cell>
          <cell r="G21">
            <v>0</v>
          </cell>
          <cell r="H21">
            <v>0</v>
          </cell>
          <cell r="I21">
            <v>0.15</v>
          </cell>
          <cell r="J21">
            <v>0</v>
          </cell>
          <cell r="K21">
            <v>0.15</v>
          </cell>
          <cell r="L21">
            <v>0</v>
          </cell>
          <cell r="M21">
            <v>0</v>
          </cell>
          <cell r="N21">
            <v>0</v>
          </cell>
          <cell r="O21">
            <v>0</v>
          </cell>
          <cell r="P21">
            <v>2</v>
          </cell>
        </row>
        <row r="22">
          <cell r="B22" t="str">
            <v>5S</v>
          </cell>
          <cell r="C22">
            <v>1.5</v>
          </cell>
          <cell r="D22">
            <v>1.65</v>
          </cell>
          <cell r="E22">
            <v>1</v>
          </cell>
          <cell r="F22">
            <v>0</v>
          </cell>
          <cell r="G22">
            <v>0</v>
          </cell>
          <cell r="H22">
            <v>0</v>
          </cell>
          <cell r="I22">
            <v>0.15</v>
          </cell>
          <cell r="J22">
            <v>0</v>
          </cell>
          <cell r="K22">
            <v>0.15</v>
          </cell>
          <cell r="L22">
            <v>0</v>
          </cell>
          <cell r="M22">
            <v>0</v>
          </cell>
          <cell r="N22">
            <v>0</v>
          </cell>
          <cell r="O22">
            <v>0</v>
          </cell>
          <cell r="P22">
            <v>2</v>
          </cell>
        </row>
        <row r="23">
          <cell r="B23" t="str">
            <v>5S</v>
          </cell>
          <cell r="C23">
            <v>2</v>
          </cell>
          <cell r="D23">
            <v>1.65</v>
          </cell>
          <cell r="E23">
            <v>1</v>
          </cell>
          <cell r="F23">
            <v>0</v>
          </cell>
          <cell r="G23">
            <v>0</v>
          </cell>
          <cell r="H23">
            <v>0</v>
          </cell>
          <cell r="I23">
            <v>0.15</v>
          </cell>
          <cell r="J23">
            <v>0</v>
          </cell>
          <cell r="K23">
            <v>0.15</v>
          </cell>
          <cell r="L23">
            <v>0</v>
          </cell>
          <cell r="M23">
            <v>0</v>
          </cell>
          <cell r="N23">
            <v>0</v>
          </cell>
          <cell r="O23">
            <v>0</v>
          </cell>
          <cell r="P23">
            <v>2</v>
          </cell>
        </row>
        <row r="24">
          <cell r="B24" t="str">
            <v>5S</v>
          </cell>
          <cell r="C24">
            <v>2</v>
          </cell>
          <cell r="D24">
            <v>1.65</v>
          </cell>
          <cell r="E24">
            <v>1</v>
          </cell>
          <cell r="F24">
            <v>0</v>
          </cell>
          <cell r="G24">
            <v>0</v>
          </cell>
          <cell r="H24">
            <v>0</v>
          </cell>
          <cell r="I24">
            <v>0.15</v>
          </cell>
          <cell r="J24">
            <v>0</v>
          </cell>
          <cell r="K24">
            <v>0.15</v>
          </cell>
          <cell r="L24">
            <v>0</v>
          </cell>
          <cell r="M24">
            <v>0</v>
          </cell>
          <cell r="N24">
            <v>0</v>
          </cell>
          <cell r="O24">
            <v>0</v>
          </cell>
          <cell r="P24">
            <v>2</v>
          </cell>
        </row>
        <row r="25">
          <cell r="B25" t="str">
            <v>5S</v>
          </cell>
          <cell r="C25">
            <v>2</v>
          </cell>
          <cell r="D25">
            <v>1.65</v>
          </cell>
          <cell r="E25">
            <v>1</v>
          </cell>
          <cell r="F25">
            <v>0</v>
          </cell>
          <cell r="G25">
            <v>0</v>
          </cell>
          <cell r="H25">
            <v>0</v>
          </cell>
          <cell r="I25">
            <v>0.15</v>
          </cell>
          <cell r="J25">
            <v>0</v>
          </cell>
          <cell r="K25">
            <v>0.15</v>
          </cell>
          <cell r="L25">
            <v>0</v>
          </cell>
          <cell r="M25">
            <v>0</v>
          </cell>
          <cell r="N25">
            <v>0</v>
          </cell>
          <cell r="O25">
            <v>0</v>
          </cell>
          <cell r="P25">
            <v>2</v>
          </cell>
        </row>
        <row r="26">
          <cell r="B26" t="str">
            <v>5S</v>
          </cell>
          <cell r="C26">
            <v>2.5</v>
          </cell>
          <cell r="D26">
            <v>2.11</v>
          </cell>
          <cell r="E26">
            <v>1</v>
          </cell>
          <cell r="F26">
            <v>0</v>
          </cell>
          <cell r="G26">
            <v>0</v>
          </cell>
          <cell r="H26">
            <v>0</v>
          </cell>
          <cell r="I26">
            <v>0.15</v>
          </cell>
          <cell r="J26">
            <v>0</v>
          </cell>
          <cell r="K26">
            <v>0.15</v>
          </cell>
          <cell r="L26">
            <v>0</v>
          </cell>
          <cell r="M26">
            <v>0</v>
          </cell>
          <cell r="N26">
            <v>0</v>
          </cell>
          <cell r="O26">
            <v>0</v>
          </cell>
          <cell r="P26">
            <v>2</v>
          </cell>
        </row>
        <row r="27">
          <cell r="B27" t="str">
            <v>5S</v>
          </cell>
          <cell r="C27">
            <v>3</v>
          </cell>
          <cell r="D27">
            <v>2.11</v>
          </cell>
          <cell r="E27">
            <v>1</v>
          </cell>
          <cell r="F27">
            <v>0</v>
          </cell>
          <cell r="G27">
            <v>0</v>
          </cell>
          <cell r="H27">
            <v>0</v>
          </cell>
          <cell r="I27">
            <v>0.3</v>
          </cell>
          <cell r="J27">
            <v>0</v>
          </cell>
          <cell r="K27">
            <v>0.3</v>
          </cell>
          <cell r="L27">
            <v>0</v>
          </cell>
          <cell r="M27">
            <v>0</v>
          </cell>
          <cell r="N27">
            <v>0</v>
          </cell>
          <cell r="O27">
            <v>0</v>
          </cell>
          <cell r="P27">
            <v>2</v>
          </cell>
        </row>
        <row r="28">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row>
        <row r="29">
          <cell r="B29" t="str">
            <v>5S</v>
          </cell>
          <cell r="C29">
            <v>4</v>
          </cell>
          <cell r="D29">
            <v>2.11</v>
          </cell>
          <cell r="E29">
            <v>1</v>
          </cell>
          <cell r="F29">
            <v>0</v>
          </cell>
          <cell r="G29">
            <v>0</v>
          </cell>
          <cell r="H29">
            <v>0</v>
          </cell>
          <cell r="I29">
            <v>0.3</v>
          </cell>
          <cell r="J29">
            <v>0</v>
          </cell>
          <cell r="K29">
            <v>0.3</v>
          </cell>
          <cell r="L29">
            <v>0</v>
          </cell>
          <cell r="M29">
            <v>0</v>
          </cell>
          <cell r="N29">
            <v>0</v>
          </cell>
          <cell r="O29">
            <v>0</v>
          </cell>
          <cell r="P29">
            <v>3</v>
          </cell>
        </row>
        <row r="30">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row>
        <row r="31">
          <cell r="A31" t="str">
            <v>5S</v>
          </cell>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row>
        <row r="32">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row>
        <row r="33">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row>
        <row r="34">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row>
        <row r="35">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row>
        <row r="36">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row>
        <row r="37">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row>
        <row r="38">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row>
        <row r="39">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row>
        <row r="40">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row>
        <row r="41">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row>
        <row r="42">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row>
        <row r="43">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row>
        <row r="44">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row>
        <row r="45">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row>
        <row r="46">
          <cell r="B46">
            <v>10</v>
          </cell>
          <cell r="C46">
            <v>22</v>
          </cell>
          <cell r="D46">
            <v>6.35</v>
          </cell>
          <cell r="E46">
            <v>1</v>
          </cell>
          <cell r="F46">
            <v>0</v>
          </cell>
          <cell r="G46">
            <v>0</v>
          </cell>
          <cell r="H46">
            <v>0</v>
          </cell>
          <cell r="I46">
            <v>2.23</v>
          </cell>
          <cell r="J46">
            <v>2.27</v>
          </cell>
          <cell r="K46">
            <v>4.5</v>
          </cell>
          <cell r="L46">
            <v>0</v>
          </cell>
          <cell r="M46">
            <v>0</v>
          </cell>
          <cell r="N46">
            <v>0</v>
          </cell>
          <cell r="O46">
            <v>0</v>
          </cell>
          <cell r="P46">
            <v>8</v>
          </cell>
        </row>
        <row r="47">
          <cell r="B47">
            <v>10</v>
          </cell>
          <cell r="C47">
            <v>24</v>
          </cell>
          <cell r="D47">
            <v>6.35</v>
          </cell>
          <cell r="E47">
            <v>1</v>
          </cell>
          <cell r="F47">
            <v>0</v>
          </cell>
          <cell r="G47">
            <v>0</v>
          </cell>
          <cell r="H47">
            <v>0</v>
          </cell>
          <cell r="I47">
            <v>2.4300000000000002</v>
          </cell>
          <cell r="J47">
            <v>2.0699999999999998</v>
          </cell>
          <cell r="K47">
            <v>4.5</v>
          </cell>
          <cell r="L47">
            <v>0</v>
          </cell>
          <cell r="M47">
            <v>0</v>
          </cell>
          <cell r="N47">
            <v>0</v>
          </cell>
          <cell r="O47">
            <v>0</v>
          </cell>
          <cell r="P47">
            <v>8</v>
          </cell>
        </row>
        <row r="48">
          <cell r="B48">
            <v>10</v>
          </cell>
          <cell r="C48">
            <v>26</v>
          </cell>
          <cell r="D48">
            <v>7.92</v>
          </cell>
          <cell r="E48">
            <v>1</v>
          </cell>
          <cell r="F48">
            <v>0</v>
          </cell>
          <cell r="G48">
            <v>0</v>
          </cell>
          <cell r="H48">
            <v>0</v>
          </cell>
          <cell r="I48">
            <v>2.64</v>
          </cell>
          <cell r="J48">
            <v>4.8600000000000003</v>
          </cell>
          <cell r="K48">
            <v>7.5</v>
          </cell>
          <cell r="L48">
            <v>0</v>
          </cell>
          <cell r="M48">
            <v>0</v>
          </cell>
          <cell r="N48">
            <v>0</v>
          </cell>
          <cell r="O48">
            <v>0</v>
          </cell>
          <cell r="P48">
            <v>9</v>
          </cell>
        </row>
        <row r="49">
          <cell r="B49">
            <v>10</v>
          </cell>
          <cell r="C49">
            <v>28</v>
          </cell>
          <cell r="D49">
            <v>7.92</v>
          </cell>
          <cell r="E49">
            <v>1</v>
          </cell>
          <cell r="F49">
            <v>0</v>
          </cell>
          <cell r="G49">
            <v>0</v>
          </cell>
          <cell r="H49">
            <v>0</v>
          </cell>
          <cell r="I49">
            <v>2.84</v>
          </cell>
          <cell r="J49">
            <v>5.26</v>
          </cell>
          <cell r="K49">
            <v>8.1</v>
          </cell>
          <cell r="L49">
            <v>0</v>
          </cell>
          <cell r="M49">
            <v>0</v>
          </cell>
          <cell r="N49">
            <v>0</v>
          </cell>
          <cell r="O49">
            <v>0</v>
          </cell>
          <cell r="P49">
            <v>9</v>
          </cell>
        </row>
        <row r="50">
          <cell r="B50">
            <v>10</v>
          </cell>
          <cell r="C50">
            <v>30</v>
          </cell>
          <cell r="D50">
            <v>7.92</v>
          </cell>
          <cell r="E50">
            <v>1</v>
          </cell>
          <cell r="F50">
            <v>0</v>
          </cell>
          <cell r="G50">
            <v>0</v>
          </cell>
          <cell r="H50">
            <v>0</v>
          </cell>
          <cell r="I50">
            <v>3.04</v>
          </cell>
          <cell r="J50">
            <v>5.66</v>
          </cell>
          <cell r="K50">
            <v>8.6999999999999993</v>
          </cell>
          <cell r="L50">
            <v>0</v>
          </cell>
          <cell r="M50">
            <v>0</v>
          </cell>
          <cell r="N50">
            <v>0</v>
          </cell>
          <cell r="O50">
            <v>0</v>
          </cell>
          <cell r="P50">
            <v>10</v>
          </cell>
        </row>
        <row r="51">
          <cell r="B51">
            <v>10</v>
          </cell>
          <cell r="C51">
            <v>32</v>
          </cell>
          <cell r="D51">
            <v>7.92</v>
          </cell>
          <cell r="E51">
            <v>1</v>
          </cell>
          <cell r="F51">
            <v>0</v>
          </cell>
          <cell r="G51">
            <v>0</v>
          </cell>
          <cell r="H51">
            <v>0</v>
          </cell>
          <cell r="I51">
            <v>3.24</v>
          </cell>
          <cell r="J51">
            <v>6.06</v>
          </cell>
          <cell r="K51">
            <v>9.3000000000000007</v>
          </cell>
          <cell r="L51">
            <v>0</v>
          </cell>
          <cell r="M51">
            <v>0</v>
          </cell>
          <cell r="N51">
            <v>0</v>
          </cell>
          <cell r="O51">
            <v>0</v>
          </cell>
          <cell r="P51">
            <v>11</v>
          </cell>
        </row>
        <row r="52">
          <cell r="B52">
            <v>10</v>
          </cell>
          <cell r="C52">
            <v>34</v>
          </cell>
          <cell r="D52">
            <v>7.92</v>
          </cell>
          <cell r="E52">
            <v>1</v>
          </cell>
          <cell r="F52">
            <v>0</v>
          </cell>
          <cell r="G52">
            <v>0</v>
          </cell>
          <cell r="H52">
            <v>0</v>
          </cell>
          <cell r="I52">
            <v>3.45</v>
          </cell>
          <cell r="J52">
            <v>6.44</v>
          </cell>
          <cell r="K52">
            <v>9.89</v>
          </cell>
          <cell r="L52">
            <v>0</v>
          </cell>
          <cell r="M52">
            <v>0</v>
          </cell>
          <cell r="N52">
            <v>0</v>
          </cell>
          <cell r="O52">
            <v>0</v>
          </cell>
          <cell r="P52">
            <v>12</v>
          </cell>
          <cell r="Q52">
            <v>12</v>
          </cell>
          <cell r="R52">
            <v>0</v>
          </cell>
        </row>
        <row r="53">
          <cell r="B53">
            <v>10</v>
          </cell>
          <cell r="C53">
            <v>36</v>
          </cell>
          <cell r="D53">
            <v>7.92</v>
          </cell>
          <cell r="E53">
            <v>1</v>
          </cell>
          <cell r="F53">
            <v>0</v>
          </cell>
          <cell r="G53">
            <v>0</v>
          </cell>
          <cell r="H53">
            <v>0</v>
          </cell>
          <cell r="I53">
            <v>3.65</v>
          </cell>
          <cell r="J53">
            <v>6.84</v>
          </cell>
          <cell r="K53">
            <v>10.49</v>
          </cell>
          <cell r="L53">
            <v>0</v>
          </cell>
          <cell r="M53">
            <v>0</v>
          </cell>
          <cell r="N53">
            <v>0</v>
          </cell>
          <cell r="O53">
            <v>0</v>
          </cell>
          <cell r="P53">
            <v>12</v>
          </cell>
        </row>
        <row r="54">
          <cell r="B54" t="str">
            <v>10S</v>
          </cell>
          <cell r="C54">
            <v>0.125</v>
          </cell>
          <cell r="D54">
            <v>1.24</v>
          </cell>
          <cell r="E54">
            <v>1</v>
          </cell>
          <cell r="F54">
            <v>0</v>
          </cell>
          <cell r="G54">
            <v>0</v>
          </cell>
          <cell r="H54">
            <v>0</v>
          </cell>
          <cell r="I54">
            <v>7.0000000000000007E-2</v>
          </cell>
          <cell r="J54">
            <v>0</v>
          </cell>
          <cell r="K54">
            <v>7.0000000000000007E-2</v>
          </cell>
          <cell r="L54">
            <v>0</v>
          </cell>
          <cell r="M54">
            <v>0</v>
          </cell>
          <cell r="N54">
            <v>0</v>
          </cell>
          <cell r="O54">
            <v>0</v>
          </cell>
          <cell r="P54">
            <v>2</v>
          </cell>
        </row>
        <row r="55">
          <cell r="B55" t="str">
            <v>10S</v>
          </cell>
          <cell r="C55">
            <v>0.125</v>
          </cell>
          <cell r="D55">
            <v>1.24</v>
          </cell>
          <cell r="E55">
            <v>1</v>
          </cell>
          <cell r="F55">
            <v>0</v>
          </cell>
          <cell r="G55">
            <v>0</v>
          </cell>
          <cell r="H55">
            <v>0</v>
          </cell>
          <cell r="I55">
            <v>7.0000000000000007E-2</v>
          </cell>
          <cell r="J55">
            <v>0</v>
          </cell>
          <cell r="K55">
            <v>7.0000000000000007E-2</v>
          </cell>
          <cell r="L55">
            <v>0</v>
          </cell>
          <cell r="M55">
            <v>0</v>
          </cell>
          <cell r="N55">
            <v>0</v>
          </cell>
          <cell r="O55">
            <v>0</v>
          </cell>
          <cell r="P55">
            <v>2</v>
          </cell>
          <cell r="Q55" t="str">
            <v xml:space="preserve">S_x0001_N_x0002_1a_x0000__x0017_T«n nÒn b»ng c¸t ®Çm kü_x0002_m3_x0000_%X©y mãng ®¸ </v>
          </cell>
        </row>
        <row r="56">
          <cell r="B56" t="str">
            <v>10S</v>
          </cell>
          <cell r="C56">
            <v>0.125</v>
          </cell>
          <cell r="D56">
            <v>1.24</v>
          </cell>
          <cell r="E56">
            <v>1</v>
          </cell>
          <cell r="F56">
            <v>0</v>
          </cell>
          <cell r="G56">
            <v>0</v>
          </cell>
          <cell r="H56">
            <v>0</v>
          </cell>
          <cell r="I56">
            <v>7.0000000000000007E-2</v>
          </cell>
          <cell r="J56">
            <v>0</v>
          </cell>
          <cell r="K56">
            <v>7.0000000000000007E-2</v>
          </cell>
          <cell r="L56">
            <v>0</v>
          </cell>
          <cell r="M56">
            <v>0</v>
          </cell>
          <cell r="N56">
            <v>0</v>
          </cell>
          <cell r="O56">
            <v>0</v>
          </cell>
          <cell r="P56">
            <v>2</v>
          </cell>
        </row>
        <row r="57">
          <cell r="B57" t="str">
            <v>10S</v>
          </cell>
          <cell r="C57">
            <v>0.25</v>
          </cell>
          <cell r="D57">
            <v>1.65</v>
          </cell>
          <cell r="E57">
            <v>1</v>
          </cell>
          <cell r="F57">
            <v>0</v>
          </cell>
          <cell r="G57">
            <v>0</v>
          </cell>
          <cell r="H57">
            <v>0</v>
          </cell>
          <cell r="I57">
            <v>7.0000000000000007E-2</v>
          </cell>
          <cell r="J57">
            <v>0</v>
          </cell>
          <cell r="K57">
            <v>7.0000000000000007E-2</v>
          </cell>
          <cell r="L57">
            <v>0</v>
          </cell>
          <cell r="M57">
            <v>0</v>
          </cell>
          <cell r="N57">
            <v>0</v>
          </cell>
          <cell r="O57">
            <v>0</v>
          </cell>
          <cell r="P57">
            <v>2</v>
          </cell>
        </row>
        <row r="58">
          <cell r="B58" t="str">
            <v>10S</v>
          </cell>
          <cell r="C58">
            <v>0.25</v>
          </cell>
          <cell r="D58">
            <v>1.65</v>
          </cell>
          <cell r="E58">
            <v>1</v>
          </cell>
          <cell r="F58">
            <v>0</v>
          </cell>
          <cell r="G58">
            <v>0</v>
          </cell>
          <cell r="H58">
            <v>0</v>
          </cell>
          <cell r="I58">
            <v>7.0000000000000007E-2</v>
          </cell>
          <cell r="J58">
            <v>0</v>
          </cell>
          <cell r="K58">
            <v>7.0000000000000007E-2</v>
          </cell>
          <cell r="L58">
            <v>0</v>
          </cell>
          <cell r="M58">
            <v>0</v>
          </cell>
          <cell r="N58">
            <v>0</v>
          </cell>
          <cell r="O58">
            <v>0</v>
          </cell>
          <cell r="P58">
            <v>2</v>
          </cell>
        </row>
        <row r="59">
          <cell r="B59" t="str">
            <v>10S</v>
          </cell>
          <cell r="C59">
            <v>0.25</v>
          </cell>
          <cell r="D59">
            <v>1.65</v>
          </cell>
          <cell r="E59">
            <v>1</v>
          </cell>
          <cell r="F59">
            <v>0</v>
          </cell>
          <cell r="G59">
            <v>0</v>
          </cell>
          <cell r="H59">
            <v>0</v>
          </cell>
          <cell r="I59">
            <v>7.0000000000000007E-2</v>
          </cell>
          <cell r="J59">
            <v>0</v>
          </cell>
          <cell r="K59">
            <v>7.0000000000000007E-2</v>
          </cell>
          <cell r="L59">
            <v>0</v>
          </cell>
          <cell r="M59">
            <v>0</v>
          </cell>
          <cell r="N59">
            <v>0</v>
          </cell>
          <cell r="O59">
            <v>0</v>
          </cell>
          <cell r="P59">
            <v>2</v>
          </cell>
        </row>
        <row r="60">
          <cell r="B60" t="str">
            <v>10S</v>
          </cell>
          <cell r="C60">
            <v>0.375</v>
          </cell>
          <cell r="D60">
            <v>1.65</v>
          </cell>
          <cell r="E60">
            <v>1</v>
          </cell>
          <cell r="F60">
            <v>0</v>
          </cell>
          <cell r="G60">
            <v>0</v>
          </cell>
          <cell r="H60">
            <v>0</v>
          </cell>
          <cell r="I60">
            <v>7.0000000000000007E-2</v>
          </cell>
          <cell r="J60">
            <v>0</v>
          </cell>
          <cell r="K60">
            <v>7.0000000000000007E-2</v>
          </cell>
          <cell r="L60">
            <v>0</v>
          </cell>
          <cell r="M60">
            <v>0</v>
          </cell>
          <cell r="N60">
            <v>0</v>
          </cell>
          <cell r="O60">
            <v>0</v>
          </cell>
          <cell r="P60">
            <v>2</v>
          </cell>
        </row>
        <row r="61">
          <cell r="B61" t="str">
            <v>10S</v>
          </cell>
          <cell r="C61">
            <v>0.375</v>
          </cell>
          <cell r="D61">
            <v>1.65</v>
          </cell>
          <cell r="E61">
            <v>1</v>
          </cell>
          <cell r="F61">
            <v>0</v>
          </cell>
          <cell r="G61">
            <v>0</v>
          </cell>
          <cell r="H61">
            <v>0</v>
          </cell>
          <cell r="I61">
            <v>7.0000000000000007E-2</v>
          </cell>
          <cell r="J61">
            <v>0</v>
          </cell>
          <cell r="K61">
            <v>7.0000000000000007E-2</v>
          </cell>
          <cell r="L61">
            <v>0</v>
          </cell>
          <cell r="M61">
            <v>0</v>
          </cell>
          <cell r="N61">
            <v>0</v>
          </cell>
          <cell r="O61">
            <v>0</v>
          </cell>
          <cell r="P61">
            <v>2</v>
          </cell>
        </row>
        <row r="62">
          <cell r="B62" t="str">
            <v>10S</v>
          </cell>
          <cell r="C62">
            <v>0.375</v>
          </cell>
          <cell r="D62">
            <v>1.65</v>
          </cell>
          <cell r="E62">
            <v>1</v>
          </cell>
          <cell r="F62">
            <v>0</v>
          </cell>
          <cell r="G62">
            <v>0</v>
          </cell>
          <cell r="H62">
            <v>0</v>
          </cell>
          <cell r="I62">
            <v>7.0000000000000007E-2</v>
          </cell>
          <cell r="J62">
            <v>0</v>
          </cell>
          <cell r="K62">
            <v>7.0000000000000007E-2</v>
          </cell>
          <cell r="L62">
            <v>0</v>
          </cell>
          <cell r="M62">
            <v>0</v>
          </cell>
          <cell r="N62">
            <v>0</v>
          </cell>
          <cell r="O62">
            <v>0</v>
          </cell>
          <cell r="P62">
            <v>2</v>
          </cell>
        </row>
        <row r="63">
          <cell r="B63" t="str">
            <v>10S</v>
          </cell>
          <cell r="C63">
            <v>0.5</v>
          </cell>
          <cell r="D63">
            <v>2.11</v>
          </cell>
          <cell r="E63">
            <v>1</v>
          </cell>
          <cell r="F63">
            <v>0</v>
          </cell>
          <cell r="G63">
            <v>0</v>
          </cell>
          <cell r="H63">
            <v>0</v>
          </cell>
          <cell r="I63">
            <v>7.0000000000000007E-2</v>
          </cell>
          <cell r="J63">
            <v>0</v>
          </cell>
          <cell r="K63">
            <v>7.0000000000000007E-2</v>
          </cell>
          <cell r="L63">
            <v>0</v>
          </cell>
          <cell r="M63">
            <v>0</v>
          </cell>
          <cell r="N63">
            <v>0</v>
          </cell>
          <cell r="O63">
            <v>0</v>
          </cell>
          <cell r="P63">
            <v>2</v>
          </cell>
        </row>
        <row r="64">
          <cell r="B64" t="str">
            <v>10S</v>
          </cell>
          <cell r="C64">
            <v>0.5</v>
          </cell>
          <cell r="D64">
            <v>2.11</v>
          </cell>
          <cell r="E64">
            <v>1</v>
          </cell>
          <cell r="F64">
            <v>0</v>
          </cell>
          <cell r="G64">
            <v>0</v>
          </cell>
          <cell r="H64">
            <v>0</v>
          </cell>
          <cell r="I64">
            <v>7.0000000000000007E-2</v>
          </cell>
          <cell r="J64">
            <v>0</v>
          </cell>
          <cell r="K64">
            <v>7.0000000000000007E-2</v>
          </cell>
          <cell r="L64">
            <v>0</v>
          </cell>
          <cell r="M64">
            <v>0</v>
          </cell>
          <cell r="N64">
            <v>0</v>
          </cell>
          <cell r="O64">
            <v>0</v>
          </cell>
          <cell r="P64">
            <v>2</v>
          </cell>
        </row>
        <row r="65">
          <cell r="B65" t="str">
            <v>10S</v>
          </cell>
          <cell r="C65">
            <v>0.5</v>
          </cell>
          <cell r="D65">
            <v>2.11</v>
          </cell>
          <cell r="E65">
            <v>1</v>
          </cell>
          <cell r="F65">
            <v>0</v>
          </cell>
          <cell r="G65">
            <v>0</v>
          </cell>
          <cell r="H65">
            <v>0</v>
          </cell>
          <cell r="I65">
            <v>7.0000000000000007E-2</v>
          </cell>
          <cell r="J65">
            <v>0</v>
          </cell>
          <cell r="K65">
            <v>7.0000000000000007E-2</v>
          </cell>
          <cell r="L65">
            <v>0</v>
          </cell>
          <cell r="M65">
            <v>0</v>
          </cell>
          <cell r="N65">
            <v>0</v>
          </cell>
          <cell r="O65">
            <v>0</v>
          </cell>
          <cell r="P65">
            <v>2</v>
          </cell>
        </row>
        <row r="66">
          <cell r="B66" t="str">
            <v>10S</v>
          </cell>
          <cell r="C66">
            <v>0.75</v>
          </cell>
          <cell r="D66">
            <v>2.11</v>
          </cell>
          <cell r="E66">
            <v>1</v>
          </cell>
          <cell r="F66">
            <v>0</v>
          </cell>
          <cell r="G66">
            <v>0</v>
          </cell>
          <cell r="H66">
            <v>0</v>
          </cell>
          <cell r="I66">
            <v>7.0000000000000007E-2</v>
          </cell>
          <cell r="J66">
            <v>0</v>
          </cell>
          <cell r="K66">
            <v>7.0000000000000007E-2</v>
          </cell>
          <cell r="L66">
            <v>0</v>
          </cell>
          <cell r="M66">
            <v>0</v>
          </cell>
          <cell r="N66">
            <v>0</v>
          </cell>
          <cell r="O66">
            <v>0</v>
          </cell>
          <cell r="P66">
            <v>2</v>
          </cell>
        </row>
        <row r="67">
          <cell r="B67" t="str">
            <v>10S</v>
          </cell>
          <cell r="C67">
            <v>0.75</v>
          </cell>
          <cell r="D67">
            <v>2.11</v>
          </cell>
          <cell r="E67">
            <v>1</v>
          </cell>
          <cell r="F67">
            <v>0</v>
          </cell>
          <cell r="G67">
            <v>0</v>
          </cell>
          <cell r="H67">
            <v>0</v>
          </cell>
          <cell r="I67">
            <v>7.0000000000000007E-2</v>
          </cell>
          <cell r="J67">
            <v>0</v>
          </cell>
          <cell r="K67">
            <v>7.0000000000000007E-2</v>
          </cell>
          <cell r="L67">
            <v>0</v>
          </cell>
          <cell r="M67">
            <v>0</v>
          </cell>
          <cell r="N67">
            <v>0</v>
          </cell>
          <cell r="O67">
            <v>0</v>
          </cell>
          <cell r="P67">
            <v>2</v>
          </cell>
        </row>
        <row r="68">
          <cell r="B68" t="str">
            <v>10S</v>
          </cell>
          <cell r="C68">
            <v>0.75</v>
          </cell>
          <cell r="D68">
            <v>2.11</v>
          </cell>
          <cell r="E68">
            <v>1</v>
          </cell>
          <cell r="F68">
            <v>0</v>
          </cell>
          <cell r="G68">
            <v>0</v>
          </cell>
          <cell r="H68">
            <v>0</v>
          </cell>
          <cell r="I68">
            <v>7.0000000000000007E-2</v>
          </cell>
          <cell r="J68">
            <v>0</v>
          </cell>
          <cell r="K68">
            <v>7.0000000000000007E-2</v>
          </cell>
          <cell r="L68">
            <v>0</v>
          </cell>
          <cell r="M68">
            <v>0</v>
          </cell>
          <cell r="N68">
            <v>0</v>
          </cell>
          <cell r="O68">
            <v>0</v>
          </cell>
          <cell r="P68">
            <v>2</v>
          </cell>
        </row>
        <row r="69">
          <cell r="B69" t="str">
            <v>10S</v>
          </cell>
          <cell r="C69">
            <v>1</v>
          </cell>
          <cell r="D69">
            <v>2.77</v>
          </cell>
          <cell r="E69">
            <v>1</v>
          </cell>
          <cell r="F69">
            <v>0</v>
          </cell>
          <cell r="G69">
            <v>0</v>
          </cell>
          <cell r="H69">
            <v>0</v>
          </cell>
          <cell r="I69">
            <v>0.12</v>
          </cell>
          <cell r="J69">
            <v>0</v>
          </cell>
          <cell r="K69">
            <v>0.12</v>
          </cell>
          <cell r="L69">
            <v>0</v>
          </cell>
          <cell r="M69">
            <v>0</v>
          </cell>
          <cell r="N69">
            <v>0</v>
          </cell>
          <cell r="O69">
            <v>0</v>
          </cell>
          <cell r="P69">
            <v>2</v>
          </cell>
        </row>
        <row r="70">
          <cell r="B70" t="str">
            <v>10S</v>
          </cell>
          <cell r="C70">
            <v>1</v>
          </cell>
          <cell r="D70">
            <v>2.77</v>
          </cell>
          <cell r="E70">
            <v>1</v>
          </cell>
          <cell r="F70">
            <v>0</v>
          </cell>
          <cell r="G70">
            <v>0</v>
          </cell>
          <cell r="H70">
            <v>0</v>
          </cell>
          <cell r="I70">
            <v>0.12</v>
          </cell>
          <cell r="J70">
            <v>0</v>
          </cell>
          <cell r="K70">
            <v>0.12</v>
          </cell>
          <cell r="L70">
            <v>0</v>
          </cell>
          <cell r="M70">
            <v>0</v>
          </cell>
          <cell r="N70">
            <v>0</v>
          </cell>
          <cell r="O70">
            <v>0</v>
          </cell>
          <cell r="P70">
            <v>2</v>
          </cell>
        </row>
        <row r="71">
          <cell r="B71" t="str">
            <v>10S</v>
          </cell>
          <cell r="C71">
            <v>1</v>
          </cell>
          <cell r="D71">
            <v>2.77</v>
          </cell>
          <cell r="E71">
            <v>1</v>
          </cell>
          <cell r="F71">
            <v>0</v>
          </cell>
          <cell r="G71">
            <v>0</v>
          </cell>
          <cell r="H71">
            <v>0</v>
          </cell>
          <cell r="I71">
            <v>0.12</v>
          </cell>
          <cell r="J71">
            <v>0</v>
          </cell>
          <cell r="K71">
            <v>0.12</v>
          </cell>
          <cell r="L71">
            <v>0</v>
          </cell>
          <cell r="M71">
            <v>0</v>
          </cell>
          <cell r="N71">
            <v>0</v>
          </cell>
          <cell r="O71">
            <v>0</v>
          </cell>
          <cell r="P71">
            <v>2</v>
          </cell>
        </row>
        <row r="72">
          <cell r="B72" t="str">
            <v>10S</v>
          </cell>
          <cell r="C72">
            <v>1.25</v>
          </cell>
          <cell r="D72">
            <v>2.77</v>
          </cell>
          <cell r="E72">
            <v>1</v>
          </cell>
          <cell r="F72">
            <v>0</v>
          </cell>
          <cell r="G72">
            <v>0</v>
          </cell>
          <cell r="H72">
            <v>0</v>
          </cell>
          <cell r="I72">
            <v>0.15</v>
          </cell>
          <cell r="J72">
            <v>0</v>
          </cell>
          <cell r="K72">
            <v>0.15</v>
          </cell>
          <cell r="L72">
            <v>0</v>
          </cell>
          <cell r="M72">
            <v>0</v>
          </cell>
          <cell r="N72">
            <v>0</v>
          </cell>
          <cell r="O72">
            <v>0</v>
          </cell>
          <cell r="P72">
            <v>2</v>
          </cell>
        </row>
        <row r="73">
          <cell r="B73" t="str">
            <v>10S</v>
          </cell>
          <cell r="C73">
            <v>1.25</v>
          </cell>
          <cell r="D73">
            <v>2.77</v>
          </cell>
          <cell r="E73">
            <v>1</v>
          </cell>
          <cell r="F73">
            <v>0</v>
          </cell>
          <cell r="G73">
            <v>0</v>
          </cell>
          <cell r="H73">
            <v>0</v>
          </cell>
          <cell r="I73">
            <v>0.15</v>
          </cell>
          <cell r="J73">
            <v>0</v>
          </cell>
          <cell r="K73">
            <v>0.15</v>
          </cell>
          <cell r="L73">
            <v>2</v>
          </cell>
          <cell r="M73">
            <v>2</v>
          </cell>
          <cell r="N73">
            <v>2</v>
          </cell>
          <cell r="O73" t="b">
            <v>1</v>
          </cell>
          <cell r="P73">
            <v>2</v>
          </cell>
          <cell r="Q73">
            <v>0</v>
          </cell>
          <cell r="R73">
            <v>0</v>
          </cell>
        </row>
        <row r="74">
          <cell r="B74" t="str">
            <v>10S</v>
          </cell>
          <cell r="C74">
            <v>1.25</v>
          </cell>
          <cell r="D74">
            <v>2.77</v>
          </cell>
          <cell r="E74">
            <v>1</v>
          </cell>
          <cell r="F74">
            <v>0</v>
          </cell>
          <cell r="G74">
            <v>0</v>
          </cell>
          <cell r="H74">
            <v>0</v>
          </cell>
          <cell r="I74">
            <v>0.15</v>
          </cell>
          <cell r="J74">
            <v>0</v>
          </cell>
          <cell r="K74">
            <v>0.15</v>
          </cell>
          <cell r="L74">
            <v>0</v>
          </cell>
          <cell r="M74">
            <v>0</v>
          </cell>
          <cell r="N74">
            <v>0</v>
          </cell>
          <cell r="O74">
            <v>0</v>
          </cell>
          <cell r="P74">
            <v>2</v>
          </cell>
        </row>
        <row r="75">
          <cell r="B75" t="str">
            <v>10S</v>
          </cell>
          <cell r="C75">
            <v>1.5</v>
          </cell>
          <cell r="D75">
            <v>2.77</v>
          </cell>
          <cell r="E75">
            <v>1</v>
          </cell>
          <cell r="F75">
            <v>0</v>
          </cell>
          <cell r="G75">
            <v>0</v>
          </cell>
          <cell r="H75">
            <v>0</v>
          </cell>
          <cell r="I75">
            <v>0.15</v>
          </cell>
          <cell r="J75">
            <v>0</v>
          </cell>
          <cell r="K75">
            <v>0.15</v>
          </cell>
          <cell r="L75">
            <v>0</v>
          </cell>
          <cell r="M75">
            <v>0</v>
          </cell>
          <cell r="N75">
            <v>0</v>
          </cell>
          <cell r="O75">
            <v>0</v>
          </cell>
          <cell r="P75">
            <v>2</v>
          </cell>
        </row>
        <row r="76">
          <cell r="B76" t="str">
            <v>10S</v>
          </cell>
          <cell r="C76">
            <v>1.5</v>
          </cell>
          <cell r="D76">
            <v>2.77</v>
          </cell>
          <cell r="E76">
            <v>1</v>
          </cell>
          <cell r="F76">
            <v>0</v>
          </cell>
          <cell r="G76">
            <v>0</v>
          </cell>
          <cell r="H76">
            <v>0</v>
          </cell>
          <cell r="I76">
            <v>0.15</v>
          </cell>
          <cell r="J76">
            <v>0</v>
          </cell>
          <cell r="K76">
            <v>0.15</v>
          </cell>
          <cell r="L76">
            <v>0</v>
          </cell>
          <cell r="M76">
            <v>0</v>
          </cell>
          <cell r="N76">
            <v>0</v>
          </cell>
          <cell r="O76">
            <v>0</v>
          </cell>
          <cell r="P76">
            <v>2</v>
          </cell>
        </row>
        <row r="77">
          <cell r="B77" t="str">
            <v>10S</v>
          </cell>
          <cell r="C77">
            <v>1.5</v>
          </cell>
          <cell r="D77">
            <v>2.77</v>
          </cell>
          <cell r="E77">
            <v>1</v>
          </cell>
          <cell r="F77">
            <v>0</v>
          </cell>
          <cell r="G77">
            <v>0</v>
          </cell>
          <cell r="H77">
            <v>0</v>
          </cell>
          <cell r="I77">
            <v>0.15</v>
          </cell>
          <cell r="J77">
            <v>0</v>
          </cell>
          <cell r="K77">
            <v>0.15</v>
          </cell>
          <cell r="L77">
            <v>0</v>
          </cell>
          <cell r="M77">
            <v>0</v>
          </cell>
          <cell r="N77">
            <v>0</v>
          </cell>
          <cell r="O77">
            <v>0</v>
          </cell>
          <cell r="P77">
            <v>2</v>
          </cell>
        </row>
        <row r="78">
          <cell r="B78" t="str">
            <v>10S</v>
          </cell>
          <cell r="C78">
            <v>2</v>
          </cell>
          <cell r="D78">
            <v>2.77</v>
          </cell>
          <cell r="E78">
            <v>1</v>
          </cell>
          <cell r="F78">
            <v>0</v>
          </cell>
          <cell r="G78">
            <v>0</v>
          </cell>
          <cell r="H78">
            <v>0</v>
          </cell>
          <cell r="I78">
            <v>0.15</v>
          </cell>
          <cell r="J78">
            <v>0</v>
          </cell>
          <cell r="K78">
            <v>0.15</v>
          </cell>
          <cell r="L78">
            <v>0</v>
          </cell>
          <cell r="M78">
            <v>0</v>
          </cell>
          <cell r="N78">
            <v>0</v>
          </cell>
          <cell r="O78">
            <v>0</v>
          </cell>
          <cell r="P78">
            <v>2</v>
          </cell>
        </row>
        <row r="79">
          <cell r="B79" t="str">
            <v>10S</v>
          </cell>
          <cell r="C79">
            <v>2</v>
          </cell>
          <cell r="D79">
            <v>2.77</v>
          </cell>
          <cell r="E79">
            <v>1</v>
          </cell>
          <cell r="F79">
            <v>0</v>
          </cell>
          <cell r="G79">
            <v>0</v>
          </cell>
          <cell r="H79">
            <v>0</v>
          </cell>
          <cell r="I79">
            <v>0.15</v>
          </cell>
          <cell r="J79">
            <v>0</v>
          </cell>
          <cell r="K79">
            <v>0.15</v>
          </cell>
          <cell r="L79">
            <v>0</v>
          </cell>
          <cell r="M79">
            <v>0</v>
          </cell>
          <cell r="N79">
            <v>0</v>
          </cell>
          <cell r="O79">
            <v>0</v>
          </cell>
          <cell r="P79">
            <v>2</v>
          </cell>
        </row>
        <row r="80">
          <cell r="B80" t="str">
            <v>10S</v>
          </cell>
          <cell r="C80">
            <v>2</v>
          </cell>
          <cell r="D80">
            <v>2.77</v>
          </cell>
          <cell r="E80">
            <v>1</v>
          </cell>
          <cell r="F80">
            <v>0</v>
          </cell>
          <cell r="G80">
            <v>0</v>
          </cell>
          <cell r="H80">
            <v>0</v>
          </cell>
          <cell r="I80">
            <v>0.15</v>
          </cell>
          <cell r="J80">
            <v>0</v>
          </cell>
          <cell r="K80">
            <v>0.15</v>
          </cell>
          <cell r="L80">
            <v>0</v>
          </cell>
          <cell r="M80">
            <v>0</v>
          </cell>
          <cell r="N80">
            <v>0</v>
          </cell>
          <cell r="O80">
            <v>0</v>
          </cell>
          <cell r="P80">
            <v>2</v>
          </cell>
        </row>
        <row r="81">
          <cell r="B81" t="str">
            <v>10S</v>
          </cell>
          <cell r="C81">
            <v>2.5</v>
          </cell>
          <cell r="D81">
            <v>3.05</v>
          </cell>
          <cell r="E81">
            <v>1</v>
          </cell>
          <cell r="F81">
            <v>0</v>
          </cell>
          <cell r="G81">
            <v>0</v>
          </cell>
          <cell r="H81">
            <v>0</v>
          </cell>
          <cell r="I81">
            <v>0.15</v>
          </cell>
          <cell r="J81">
            <v>0</v>
          </cell>
          <cell r="K81">
            <v>0.15</v>
          </cell>
          <cell r="L81">
            <v>0</v>
          </cell>
          <cell r="M81">
            <v>0</v>
          </cell>
          <cell r="N81">
            <v>0</v>
          </cell>
          <cell r="O81">
            <v>0</v>
          </cell>
          <cell r="P81">
            <v>2</v>
          </cell>
        </row>
        <row r="82">
          <cell r="B82" t="str">
            <v>10S</v>
          </cell>
          <cell r="C82">
            <v>3</v>
          </cell>
          <cell r="D82">
            <v>3.05</v>
          </cell>
          <cell r="E82">
            <v>1</v>
          </cell>
          <cell r="F82">
            <v>0</v>
          </cell>
          <cell r="G82">
            <v>0</v>
          </cell>
          <cell r="H82">
            <v>0</v>
          </cell>
          <cell r="I82">
            <v>0.3</v>
          </cell>
          <cell r="J82">
            <v>0</v>
          </cell>
          <cell r="K82">
            <v>0.3</v>
          </cell>
          <cell r="L82">
            <v>0</v>
          </cell>
          <cell r="M82">
            <v>0</v>
          </cell>
          <cell r="N82">
            <v>0</v>
          </cell>
          <cell r="O82">
            <v>0</v>
          </cell>
          <cell r="P82">
            <v>2</v>
          </cell>
        </row>
        <row r="83">
          <cell r="B83" t="str">
            <v>10S</v>
          </cell>
          <cell r="C83">
            <v>3.5</v>
          </cell>
          <cell r="D83">
            <v>3.05</v>
          </cell>
          <cell r="E83">
            <v>1</v>
          </cell>
          <cell r="F83">
            <v>0</v>
          </cell>
          <cell r="G83">
            <v>0</v>
          </cell>
          <cell r="H83">
            <v>0</v>
          </cell>
          <cell r="I83">
            <v>0.3</v>
          </cell>
          <cell r="J83">
            <v>0</v>
          </cell>
          <cell r="K83">
            <v>0.3</v>
          </cell>
          <cell r="L83">
            <v>0</v>
          </cell>
          <cell r="M83">
            <v>0</v>
          </cell>
          <cell r="N83">
            <v>0</v>
          </cell>
          <cell r="O83">
            <v>0</v>
          </cell>
          <cell r="P83">
            <v>3</v>
          </cell>
        </row>
        <row r="84">
          <cell r="B84" t="str">
            <v>10S</v>
          </cell>
          <cell r="C84">
            <v>4</v>
          </cell>
          <cell r="D84">
            <v>3.05</v>
          </cell>
          <cell r="E84">
            <v>1</v>
          </cell>
          <cell r="F84">
            <v>0</v>
          </cell>
          <cell r="G84">
            <v>0</v>
          </cell>
          <cell r="H84">
            <v>0</v>
          </cell>
          <cell r="I84">
            <v>0.45</v>
          </cell>
          <cell r="J84">
            <v>0</v>
          </cell>
          <cell r="K84">
            <v>0.45</v>
          </cell>
          <cell r="L84">
            <v>0</v>
          </cell>
          <cell r="M84">
            <v>0</v>
          </cell>
          <cell r="N84">
            <v>0</v>
          </cell>
          <cell r="O84">
            <v>0</v>
          </cell>
          <cell r="P84">
            <v>3</v>
          </cell>
        </row>
        <row r="85">
          <cell r="B85" t="str">
            <v>10S</v>
          </cell>
          <cell r="C85">
            <v>5</v>
          </cell>
          <cell r="D85">
            <v>3.4</v>
          </cell>
          <cell r="E85">
            <v>1</v>
          </cell>
          <cell r="F85">
            <v>0</v>
          </cell>
          <cell r="G85">
            <v>0</v>
          </cell>
          <cell r="H85">
            <v>0</v>
          </cell>
          <cell r="I85">
            <v>0.45</v>
          </cell>
          <cell r="J85">
            <v>0</v>
          </cell>
          <cell r="K85">
            <v>0.45</v>
          </cell>
          <cell r="L85">
            <v>0</v>
          </cell>
          <cell r="M85">
            <v>0</v>
          </cell>
          <cell r="N85">
            <v>0</v>
          </cell>
          <cell r="O85">
            <v>0</v>
          </cell>
          <cell r="P85">
            <v>4</v>
          </cell>
        </row>
        <row r="86">
          <cell r="B86" t="str">
            <v>10S</v>
          </cell>
          <cell r="C86">
            <v>6</v>
          </cell>
          <cell r="D86">
            <v>3.4</v>
          </cell>
          <cell r="E86">
            <v>1</v>
          </cell>
          <cell r="F86">
            <v>0</v>
          </cell>
          <cell r="G86">
            <v>0</v>
          </cell>
          <cell r="H86">
            <v>0</v>
          </cell>
          <cell r="I86">
            <v>0.6</v>
          </cell>
          <cell r="J86">
            <v>0</v>
          </cell>
          <cell r="K86">
            <v>0.6</v>
          </cell>
          <cell r="L86">
            <v>0</v>
          </cell>
          <cell r="M86">
            <v>0</v>
          </cell>
          <cell r="N86">
            <v>0</v>
          </cell>
          <cell r="O86">
            <v>0</v>
          </cell>
          <cell r="P86">
            <v>4</v>
          </cell>
        </row>
        <row r="87">
          <cell r="B87" t="str">
            <v>10S</v>
          </cell>
          <cell r="C87">
            <v>8</v>
          </cell>
          <cell r="D87">
            <v>3.76</v>
          </cell>
          <cell r="E87">
            <v>1</v>
          </cell>
          <cell r="F87">
            <v>0</v>
          </cell>
          <cell r="G87">
            <v>0</v>
          </cell>
          <cell r="H87">
            <v>0</v>
          </cell>
          <cell r="I87">
            <v>0.6</v>
          </cell>
          <cell r="J87">
            <v>0</v>
          </cell>
          <cell r="K87">
            <v>0.6</v>
          </cell>
          <cell r="L87">
            <v>0</v>
          </cell>
          <cell r="M87">
            <v>0</v>
          </cell>
          <cell r="N87">
            <v>0</v>
          </cell>
          <cell r="O87">
            <v>0</v>
          </cell>
          <cell r="P87">
            <v>4</v>
          </cell>
        </row>
        <row r="88">
          <cell r="B88" t="str">
            <v>10S</v>
          </cell>
          <cell r="C88">
            <v>10</v>
          </cell>
          <cell r="D88">
            <v>4.1900000000000004</v>
          </cell>
          <cell r="E88">
            <v>1</v>
          </cell>
          <cell r="F88">
            <v>0</v>
          </cell>
          <cell r="G88">
            <v>0</v>
          </cell>
          <cell r="H88">
            <v>0</v>
          </cell>
          <cell r="I88">
            <v>1.2</v>
          </cell>
          <cell r="J88">
            <v>0</v>
          </cell>
          <cell r="K88">
            <v>1.2</v>
          </cell>
          <cell r="L88">
            <v>0</v>
          </cell>
          <cell r="M88">
            <v>0</v>
          </cell>
          <cell r="N88">
            <v>0</v>
          </cell>
          <cell r="O88">
            <v>0</v>
          </cell>
          <cell r="P88">
            <v>4</v>
          </cell>
        </row>
        <row r="89">
          <cell r="B89" t="str">
            <v>10S</v>
          </cell>
          <cell r="C89">
            <v>12</v>
          </cell>
          <cell r="D89">
            <v>4.57</v>
          </cell>
          <cell r="E89">
            <v>1</v>
          </cell>
          <cell r="F89">
            <v>0</v>
          </cell>
          <cell r="G89">
            <v>0</v>
          </cell>
          <cell r="H89">
            <v>0</v>
          </cell>
          <cell r="I89">
            <v>1.5</v>
          </cell>
          <cell r="J89">
            <v>0</v>
          </cell>
          <cell r="K89">
            <v>1.5</v>
          </cell>
          <cell r="L89">
            <v>0</v>
          </cell>
          <cell r="M89">
            <v>0</v>
          </cell>
          <cell r="N89">
            <v>0</v>
          </cell>
          <cell r="O89">
            <v>0</v>
          </cell>
          <cell r="P89">
            <v>6</v>
          </cell>
        </row>
        <row r="90">
          <cell r="B90" t="str">
            <v>10S</v>
          </cell>
          <cell r="C90">
            <v>14</v>
          </cell>
          <cell r="D90">
            <v>4.78</v>
          </cell>
          <cell r="E90">
            <v>1</v>
          </cell>
          <cell r="F90">
            <v>1</v>
          </cell>
          <cell r="G90">
            <v>1</v>
          </cell>
          <cell r="H90">
            <v>2.2251287283221441E-307</v>
          </cell>
          <cell r="I90">
            <v>1.65</v>
          </cell>
          <cell r="J90">
            <v>0</v>
          </cell>
          <cell r="K90">
            <v>1.65</v>
          </cell>
          <cell r="L90">
            <v>0</v>
          </cell>
          <cell r="M90">
            <v>0</v>
          </cell>
          <cell r="N90">
            <v>0</v>
          </cell>
          <cell r="O90">
            <v>0</v>
          </cell>
          <cell r="P90">
            <v>6</v>
          </cell>
        </row>
        <row r="91">
          <cell r="B91" t="str">
            <v>10S</v>
          </cell>
          <cell r="C91">
            <v>16</v>
          </cell>
          <cell r="D91">
            <v>4.78</v>
          </cell>
          <cell r="E91">
            <v>1</v>
          </cell>
          <cell r="F91">
            <v>0</v>
          </cell>
          <cell r="G91">
            <v>0</v>
          </cell>
          <cell r="H91">
            <v>0</v>
          </cell>
          <cell r="I91">
            <v>1.95</v>
          </cell>
          <cell r="J91">
            <v>0</v>
          </cell>
          <cell r="K91">
            <v>1.95</v>
          </cell>
          <cell r="L91">
            <v>0</v>
          </cell>
          <cell r="M91">
            <v>0</v>
          </cell>
          <cell r="N91">
            <v>0</v>
          </cell>
          <cell r="O91">
            <v>0</v>
          </cell>
          <cell r="P91">
            <v>6</v>
          </cell>
        </row>
        <row r="92">
          <cell r="B92" t="str">
            <v>10S</v>
          </cell>
          <cell r="C92">
            <v>18</v>
          </cell>
          <cell r="D92">
            <v>4.78</v>
          </cell>
          <cell r="E92">
            <v>1</v>
          </cell>
          <cell r="F92">
            <v>0</v>
          </cell>
          <cell r="G92">
            <v>0</v>
          </cell>
          <cell r="H92">
            <v>0</v>
          </cell>
          <cell r="I92">
            <v>2.25</v>
          </cell>
          <cell r="J92">
            <v>0</v>
          </cell>
          <cell r="K92">
            <v>2.25</v>
          </cell>
          <cell r="L92">
            <v>0</v>
          </cell>
          <cell r="M92">
            <v>0</v>
          </cell>
          <cell r="N92">
            <v>0</v>
          </cell>
          <cell r="O92">
            <v>0</v>
          </cell>
          <cell r="P92">
            <v>6</v>
          </cell>
        </row>
        <row r="93">
          <cell r="B93" t="str">
            <v>10S</v>
          </cell>
          <cell r="C93">
            <v>20</v>
          </cell>
          <cell r="D93">
            <v>5.54</v>
          </cell>
          <cell r="E93">
            <v>1</v>
          </cell>
          <cell r="F93">
            <v>0</v>
          </cell>
          <cell r="G93">
            <v>0</v>
          </cell>
          <cell r="H93">
            <v>0</v>
          </cell>
          <cell r="I93">
            <v>2.0299999999999998</v>
          </cell>
          <cell r="J93">
            <v>1.1200000000000001</v>
          </cell>
          <cell r="K93">
            <v>3.15</v>
          </cell>
          <cell r="L93">
            <v>0</v>
          </cell>
          <cell r="M93">
            <v>0</v>
          </cell>
          <cell r="N93">
            <v>0</v>
          </cell>
          <cell r="O93">
            <v>0</v>
          </cell>
          <cell r="P93">
            <v>7</v>
          </cell>
        </row>
        <row r="94">
          <cell r="B94" t="str">
            <v>10S</v>
          </cell>
          <cell r="C94">
            <v>22</v>
          </cell>
          <cell r="D94">
            <v>5.54</v>
          </cell>
          <cell r="E94">
            <v>1</v>
          </cell>
          <cell r="F94">
            <v>0</v>
          </cell>
          <cell r="G94">
            <v>0</v>
          </cell>
          <cell r="H94">
            <v>0</v>
          </cell>
          <cell r="I94">
            <v>2.23</v>
          </cell>
          <cell r="J94">
            <v>1.37</v>
          </cell>
          <cell r="K94">
            <v>3.6</v>
          </cell>
          <cell r="L94">
            <v>0</v>
          </cell>
          <cell r="M94">
            <v>0</v>
          </cell>
          <cell r="N94">
            <v>0</v>
          </cell>
          <cell r="O94">
            <v>0</v>
          </cell>
          <cell r="P94">
            <v>8</v>
          </cell>
        </row>
        <row r="95">
          <cell r="B95" t="str">
            <v>10S</v>
          </cell>
          <cell r="C95">
            <v>24</v>
          </cell>
          <cell r="D95">
            <v>6.35</v>
          </cell>
          <cell r="E95">
            <v>1</v>
          </cell>
          <cell r="F95">
            <v>0</v>
          </cell>
          <cell r="G95">
            <v>0</v>
          </cell>
          <cell r="H95">
            <v>0</v>
          </cell>
          <cell r="I95">
            <v>2.4300000000000002</v>
          </cell>
          <cell r="J95">
            <v>2.0699999999999998</v>
          </cell>
          <cell r="K95">
            <v>4.5</v>
          </cell>
          <cell r="L95">
            <v>0</v>
          </cell>
          <cell r="M95">
            <v>0</v>
          </cell>
          <cell r="N95">
            <v>0</v>
          </cell>
          <cell r="O95">
            <v>0</v>
          </cell>
          <cell r="P95">
            <v>8</v>
          </cell>
        </row>
        <row r="96">
          <cell r="B96" t="str">
            <v>10S</v>
          </cell>
          <cell r="C96">
            <v>30</v>
          </cell>
          <cell r="D96">
            <v>7.92</v>
          </cell>
          <cell r="E96">
            <v>1</v>
          </cell>
          <cell r="F96">
            <v>0</v>
          </cell>
          <cell r="G96">
            <v>0</v>
          </cell>
          <cell r="H96">
            <v>0</v>
          </cell>
          <cell r="I96">
            <v>3.04</v>
          </cell>
          <cell r="J96">
            <v>5.66</v>
          </cell>
          <cell r="K96">
            <v>8.6999999999999993</v>
          </cell>
          <cell r="L96">
            <v>0</v>
          </cell>
          <cell r="M96">
            <v>0</v>
          </cell>
          <cell r="N96">
            <v>0</v>
          </cell>
          <cell r="O96">
            <v>0</v>
          </cell>
          <cell r="P96">
            <v>10</v>
          </cell>
        </row>
        <row r="97">
          <cell r="B97">
            <v>20</v>
          </cell>
          <cell r="C97">
            <v>8</v>
          </cell>
          <cell r="D97">
            <v>6.35</v>
          </cell>
          <cell r="E97">
            <v>1</v>
          </cell>
          <cell r="F97">
            <v>0</v>
          </cell>
          <cell r="G97">
            <v>0</v>
          </cell>
          <cell r="H97">
            <v>0</v>
          </cell>
          <cell r="I97">
            <v>0.81</v>
          </cell>
          <cell r="J97">
            <v>0.99</v>
          </cell>
          <cell r="K97">
            <v>1.8</v>
          </cell>
          <cell r="L97">
            <v>0</v>
          </cell>
          <cell r="M97">
            <v>0</v>
          </cell>
          <cell r="N97">
            <v>0</v>
          </cell>
          <cell r="O97">
            <v>0</v>
          </cell>
          <cell r="P97">
            <v>4</v>
          </cell>
        </row>
        <row r="98">
          <cell r="B98">
            <v>20</v>
          </cell>
          <cell r="C98">
            <v>10</v>
          </cell>
          <cell r="D98">
            <v>6.35</v>
          </cell>
          <cell r="E98">
            <v>1</v>
          </cell>
          <cell r="F98">
            <v>0</v>
          </cell>
          <cell r="G98">
            <v>0</v>
          </cell>
          <cell r="H98">
            <v>0</v>
          </cell>
          <cell r="I98">
            <v>1.01</v>
          </cell>
          <cell r="J98">
            <v>1.0900000000000001</v>
          </cell>
          <cell r="K98">
            <v>2.1</v>
          </cell>
          <cell r="L98">
            <v>0</v>
          </cell>
          <cell r="M98">
            <v>0</v>
          </cell>
          <cell r="N98">
            <v>0</v>
          </cell>
          <cell r="O98">
            <v>0</v>
          </cell>
          <cell r="P98">
            <v>4</v>
          </cell>
        </row>
        <row r="99">
          <cell r="B99">
            <v>20</v>
          </cell>
          <cell r="C99">
            <v>12</v>
          </cell>
          <cell r="D99">
            <v>6.35</v>
          </cell>
          <cell r="E99">
            <v>1</v>
          </cell>
          <cell r="F99">
            <v>0</v>
          </cell>
          <cell r="G99">
            <v>0</v>
          </cell>
          <cell r="H99">
            <v>0</v>
          </cell>
          <cell r="I99">
            <v>1.22</v>
          </cell>
          <cell r="J99">
            <v>1.32</v>
          </cell>
          <cell r="K99">
            <v>2.54</v>
          </cell>
          <cell r="L99">
            <v>0</v>
          </cell>
          <cell r="M99">
            <v>0</v>
          </cell>
          <cell r="N99">
            <v>0</v>
          </cell>
          <cell r="O99">
            <v>0</v>
          </cell>
          <cell r="P99">
            <v>6</v>
          </cell>
        </row>
        <row r="100">
          <cell r="B100">
            <v>20</v>
          </cell>
          <cell r="C100">
            <v>14</v>
          </cell>
          <cell r="D100">
            <v>7.92</v>
          </cell>
          <cell r="E100">
            <v>1</v>
          </cell>
          <cell r="F100">
            <v>0</v>
          </cell>
          <cell r="G100">
            <v>0</v>
          </cell>
          <cell r="H100">
            <v>0</v>
          </cell>
          <cell r="I100">
            <v>1.42</v>
          </cell>
          <cell r="J100">
            <v>2.48</v>
          </cell>
          <cell r="K100">
            <v>3.9</v>
          </cell>
          <cell r="L100">
            <v>0</v>
          </cell>
          <cell r="M100">
            <v>0</v>
          </cell>
          <cell r="N100">
            <v>0</v>
          </cell>
          <cell r="O100">
            <v>0</v>
          </cell>
          <cell r="P100">
            <v>6</v>
          </cell>
        </row>
        <row r="101">
          <cell r="B101">
            <v>20</v>
          </cell>
          <cell r="C101">
            <v>16</v>
          </cell>
          <cell r="D101">
            <v>7.92</v>
          </cell>
          <cell r="E101">
            <v>1</v>
          </cell>
          <cell r="F101">
            <v>0</v>
          </cell>
          <cell r="G101">
            <v>0</v>
          </cell>
          <cell r="H101">
            <v>0</v>
          </cell>
          <cell r="I101">
            <v>1.62</v>
          </cell>
          <cell r="J101">
            <v>2.73</v>
          </cell>
          <cell r="K101">
            <v>4.3499999999999996</v>
          </cell>
          <cell r="L101">
            <v>0</v>
          </cell>
          <cell r="M101">
            <v>0</v>
          </cell>
          <cell r="N101">
            <v>0</v>
          </cell>
          <cell r="O101">
            <v>0</v>
          </cell>
          <cell r="P101">
            <v>6</v>
          </cell>
        </row>
        <row r="102">
          <cell r="B102">
            <v>20</v>
          </cell>
          <cell r="C102">
            <v>18</v>
          </cell>
          <cell r="D102">
            <v>7.92</v>
          </cell>
          <cell r="E102">
            <v>1</v>
          </cell>
          <cell r="F102">
            <v>0</v>
          </cell>
          <cell r="G102">
            <v>0</v>
          </cell>
          <cell r="H102">
            <v>0</v>
          </cell>
          <cell r="I102">
            <v>1.82</v>
          </cell>
          <cell r="J102">
            <v>3.12</v>
          </cell>
          <cell r="K102">
            <v>4.9400000000000004</v>
          </cell>
          <cell r="L102">
            <v>0</v>
          </cell>
          <cell r="M102">
            <v>0</v>
          </cell>
          <cell r="N102">
            <v>0</v>
          </cell>
          <cell r="O102">
            <v>0</v>
          </cell>
          <cell r="P102">
            <v>6</v>
          </cell>
        </row>
        <row r="103">
          <cell r="B103">
            <v>20</v>
          </cell>
          <cell r="C103">
            <v>20</v>
          </cell>
          <cell r="D103">
            <v>9.5299999999999994</v>
          </cell>
          <cell r="E103">
            <v>1</v>
          </cell>
          <cell r="F103">
            <v>0</v>
          </cell>
          <cell r="G103">
            <v>0</v>
          </cell>
          <cell r="H103">
            <v>0</v>
          </cell>
          <cell r="I103">
            <v>2.0299999999999998</v>
          </cell>
          <cell r="J103">
            <v>5.47</v>
          </cell>
          <cell r="K103">
            <v>7.5</v>
          </cell>
          <cell r="L103">
            <v>0</v>
          </cell>
          <cell r="M103">
            <v>0</v>
          </cell>
          <cell r="N103">
            <v>0</v>
          </cell>
          <cell r="O103">
            <v>0</v>
          </cell>
          <cell r="P103">
            <v>7</v>
          </cell>
        </row>
        <row r="104">
          <cell r="B104">
            <v>20</v>
          </cell>
          <cell r="C104">
            <v>22</v>
          </cell>
          <cell r="D104">
            <v>9.5299999999999994</v>
          </cell>
          <cell r="E104">
            <v>1</v>
          </cell>
          <cell r="F104">
            <v>0</v>
          </cell>
          <cell r="G104">
            <v>0</v>
          </cell>
          <cell r="H104">
            <v>0</v>
          </cell>
          <cell r="I104">
            <v>2.23</v>
          </cell>
          <cell r="J104">
            <v>6.47</v>
          </cell>
          <cell r="K104">
            <v>8.6999999999999993</v>
          </cell>
          <cell r="L104">
            <v>0</v>
          </cell>
          <cell r="M104">
            <v>0</v>
          </cell>
          <cell r="N104">
            <v>0</v>
          </cell>
          <cell r="O104">
            <v>0</v>
          </cell>
          <cell r="P104">
            <v>8</v>
          </cell>
        </row>
        <row r="105">
          <cell r="B105">
            <v>20</v>
          </cell>
          <cell r="C105">
            <v>24</v>
          </cell>
          <cell r="D105">
            <v>9.5299999999999994</v>
          </cell>
          <cell r="E105">
            <v>1</v>
          </cell>
          <cell r="F105">
            <v>0</v>
          </cell>
          <cell r="G105">
            <v>0</v>
          </cell>
          <cell r="H105">
            <v>0</v>
          </cell>
          <cell r="I105">
            <v>2.4300000000000002</v>
          </cell>
          <cell r="J105">
            <v>6.57</v>
          </cell>
          <cell r="K105">
            <v>9</v>
          </cell>
          <cell r="L105">
            <v>0</v>
          </cell>
          <cell r="M105">
            <v>0</v>
          </cell>
          <cell r="N105">
            <v>0</v>
          </cell>
          <cell r="O105">
            <v>0</v>
          </cell>
          <cell r="P105">
            <v>8</v>
          </cell>
        </row>
        <row r="106">
          <cell r="B106">
            <v>20</v>
          </cell>
          <cell r="C106">
            <v>26</v>
          </cell>
          <cell r="D106">
            <v>12.7</v>
          </cell>
          <cell r="E106">
            <v>1.25</v>
          </cell>
          <cell r="F106">
            <v>0</v>
          </cell>
          <cell r="G106">
            <v>0</v>
          </cell>
          <cell r="H106">
            <v>0</v>
          </cell>
          <cell r="I106">
            <v>2.64</v>
          </cell>
          <cell r="J106">
            <v>13.86</v>
          </cell>
          <cell r="K106">
            <v>16.5</v>
          </cell>
          <cell r="L106">
            <v>0</v>
          </cell>
          <cell r="M106">
            <v>0</v>
          </cell>
          <cell r="N106">
            <v>0</v>
          </cell>
          <cell r="O106">
            <v>0</v>
          </cell>
          <cell r="P106">
            <v>9</v>
          </cell>
        </row>
        <row r="107">
          <cell r="B107">
            <v>20</v>
          </cell>
          <cell r="C107">
            <v>28</v>
          </cell>
          <cell r="D107">
            <v>12.7</v>
          </cell>
          <cell r="E107">
            <v>1.25</v>
          </cell>
          <cell r="F107">
            <v>0</v>
          </cell>
          <cell r="G107">
            <v>0</v>
          </cell>
          <cell r="H107">
            <v>0</v>
          </cell>
          <cell r="I107">
            <v>2.84</v>
          </cell>
          <cell r="J107">
            <v>15.16</v>
          </cell>
          <cell r="K107">
            <v>18</v>
          </cell>
          <cell r="L107">
            <v>0</v>
          </cell>
          <cell r="M107">
            <v>0</v>
          </cell>
          <cell r="N107">
            <v>0</v>
          </cell>
          <cell r="O107">
            <v>0</v>
          </cell>
          <cell r="P107">
            <v>9</v>
          </cell>
        </row>
        <row r="108">
          <cell r="B108">
            <v>20</v>
          </cell>
          <cell r="C108">
            <v>30</v>
          </cell>
          <cell r="D108">
            <v>12.7</v>
          </cell>
          <cell r="E108">
            <v>1.25</v>
          </cell>
          <cell r="F108">
            <v>0</v>
          </cell>
          <cell r="G108">
            <v>0</v>
          </cell>
          <cell r="H108">
            <v>0</v>
          </cell>
          <cell r="I108">
            <v>3.04</v>
          </cell>
          <cell r="J108">
            <v>16.45</v>
          </cell>
          <cell r="K108">
            <v>19.489999999999998</v>
          </cell>
          <cell r="L108">
            <v>0</v>
          </cell>
          <cell r="M108">
            <v>0</v>
          </cell>
          <cell r="N108">
            <v>0</v>
          </cell>
          <cell r="O108">
            <v>0</v>
          </cell>
          <cell r="P108">
            <v>10</v>
          </cell>
        </row>
        <row r="109">
          <cell r="B109">
            <v>20</v>
          </cell>
          <cell r="C109">
            <v>32</v>
          </cell>
          <cell r="D109">
            <v>12.7</v>
          </cell>
          <cell r="E109">
            <v>1.25</v>
          </cell>
          <cell r="F109">
            <v>0</v>
          </cell>
          <cell r="G109">
            <v>0</v>
          </cell>
          <cell r="H109">
            <v>0</v>
          </cell>
          <cell r="I109">
            <v>3.24</v>
          </cell>
          <cell r="J109">
            <v>17.75</v>
          </cell>
          <cell r="K109">
            <v>20.990000000000002</v>
          </cell>
          <cell r="L109">
            <v>0</v>
          </cell>
          <cell r="M109">
            <v>0</v>
          </cell>
          <cell r="N109">
            <v>0</v>
          </cell>
          <cell r="O109">
            <v>0</v>
          </cell>
          <cell r="P109">
            <v>11</v>
          </cell>
        </row>
        <row r="110">
          <cell r="B110">
            <v>20</v>
          </cell>
          <cell r="C110">
            <v>34</v>
          </cell>
          <cell r="D110">
            <v>12.7</v>
          </cell>
          <cell r="E110">
            <v>1.25</v>
          </cell>
          <cell r="F110">
            <v>0</v>
          </cell>
          <cell r="G110">
            <v>0</v>
          </cell>
          <cell r="H110">
            <v>0</v>
          </cell>
          <cell r="I110">
            <v>3.45</v>
          </cell>
          <cell r="J110">
            <v>18.54</v>
          </cell>
          <cell r="K110">
            <v>21.99</v>
          </cell>
          <cell r="L110">
            <v>0</v>
          </cell>
          <cell r="M110">
            <v>0</v>
          </cell>
          <cell r="N110">
            <v>0</v>
          </cell>
          <cell r="O110">
            <v>0</v>
          </cell>
          <cell r="P110">
            <v>12</v>
          </cell>
        </row>
        <row r="111">
          <cell r="B111">
            <v>20</v>
          </cell>
          <cell r="C111">
            <v>36</v>
          </cell>
          <cell r="D111">
            <v>12.7</v>
          </cell>
          <cell r="E111">
            <v>1.25</v>
          </cell>
          <cell r="F111">
            <v>0</v>
          </cell>
          <cell r="G111">
            <v>0</v>
          </cell>
          <cell r="H111">
            <v>0</v>
          </cell>
          <cell r="I111">
            <v>3.65</v>
          </cell>
          <cell r="J111">
            <v>18.84</v>
          </cell>
          <cell r="K111">
            <v>22.49</v>
          </cell>
          <cell r="L111">
            <v>0</v>
          </cell>
          <cell r="M111">
            <v>0</v>
          </cell>
          <cell r="N111">
            <v>0</v>
          </cell>
          <cell r="O111">
            <v>0</v>
          </cell>
          <cell r="P111">
            <v>12</v>
          </cell>
        </row>
        <row r="112">
          <cell r="B112">
            <v>30</v>
          </cell>
          <cell r="C112">
            <v>8</v>
          </cell>
          <cell r="D112">
            <v>7.04</v>
          </cell>
          <cell r="E112">
            <v>1</v>
          </cell>
          <cell r="F112">
            <v>0</v>
          </cell>
          <cell r="G112">
            <v>0</v>
          </cell>
          <cell r="H112">
            <v>0</v>
          </cell>
          <cell r="I112">
            <v>0.81</v>
          </cell>
          <cell r="J112">
            <v>1.1399999999999999</v>
          </cell>
          <cell r="K112">
            <v>1.95</v>
          </cell>
          <cell r="L112">
            <v>0</v>
          </cell>
          <cell r="M112">
            <v>0</v>
          </cell>
          <cell r="N112">
            <v>0</v>
          </cell>
          <cell r="O112">
            <v>0</v>
          </cell>
          <cell r="P112">
            <v>4</v>
          </cell>
        </row>
        <row r="113">
          <cell r="B113">
            <v>30</v>
          </cell>
          <cell r="C113">
            <v>10</v>
          </cell>
          <cell r="D113">
            <v>7.8</v>
          </cell>
          <cell r="E113">
            <v>1</v>
          </cell>
          <cell r="F113">
            <v>0</v>
          </cell>
          <cell r="G113">
            <v>0</v>
          </cell>
          <cell r="H113">
            <v>0</v>
          </cell>
          <cell r="I113">
            <v>1.01</v>
          </cell>
          <cell r="J113">
            <v>1.99</v>
          </cell>
          <cell r="K113">
            <v>3</v>
          </cell>
          <cell r="L113">
            <v>0</v>
          </cell>
          <cell r="M113">
            <v>0</v>
          </cell>
          <cell r="N113">
            <v>0</v>
          </cell>
          <cell r="O113">
            <v>0</v>
          </cell>
          <cell r="P113">
            <v>4</v>
          </cell>
          <cell r="Q113">
            <v>4</v>
          </cell>
          <cell r="R113">
            <v>4</v>
          </cell>
        </row>
        <row r="114">
          <cell r="B114">
            <v>30</v>
          </cell>
          <cell r="C114">
            <v>12</v>
          </cell>
          <cell r="D114">
            <v>8.3800000000000008</v>
          </cell>
          <cell r="E114">
            <v>1</v>
          </cell>
          <cell r="F114">
            <v>0</v>
          </cell>
          <cell r="G114">
            <v>0</v>
          </cell>
          <cell r="H114">
            <v>0</v>
          </cell>
          <cell r="I114">
            <v>1.22</v>
          </cell>
          <cell r="J114">
            <v>2.68</v>
          </cell>
          <cell r="K114">
            <v>3.9000000000000004</v>
          </cell>
          <cell r="L114">
            <v>0</v>
          </cell>
          <cell r="M114">
            <v>0</v>
          </cell>
          <cell r="N114">
            <v>0</v>
          </cell>
          <cell r="O114">
            <v>0</v>
          </cell>
          <cell r="P114">
            <v>6</v>
          </cell>
        </row>
        <row r="115">
          <cell r="B115">
            <v>30</v>
          </cell>
          <cell r="C115">
            <v>14</v>
          </cell>
          <cell r="D115">
            <v>9.5299999999999994</v>
          </cell>
          <cell r="E115">
            <v>1</v>
          </cell>
          <cell r="F115">
            <v>0</v>
          </cell>
          <cell r="G115">
            <v>0</v>
          </cell>
          <cell r="H115">
            <v>0</v>
          </cell>
          <cell r="I115">
            <v>1.42</v>
          </cell>
          <cell r="J115">
            <v>3.97</v>
          </cell>
          <cell r="K115">
            <v>5.3900000000000006</v>
          </cell>
          <cell r="L115">
            <v>0</v>
          </cell>
          <cell r="M115">
            <v>0</v>
          </cell>
          <cell r="N115">
            <v>0</v>
          </cell>
          <cell r="O115">
            <v>0</v>
          </cell>
          <cell r="P115">
            <v>6</v>
          </cell>
        </row>
        <row r="116">
          <cell r="B116">
            <v>30</v>
          </cell>
          <cell r="C116">
            <v>16</v>
          </cell>
          <cell r="D116">
            <v>9.5299999999999994</v>
          </cell>
          <cell r="E116">
            <v>1</v>
          </cell>
          <cell r="F116">
            <v>0</v>
          </cell>
          <cell r="G116">
            <v>0</v>
          </cell>
          <cell r="H116">
            <v>0</v>
          </cell>
          <cell r="I116">
            <v>1.62</v>
          </cell>
          <cell r="J116">
            <v>4.68</v>
          </cell>
          <cell r="K116">
            <v>6.3</v>
          </cell>
          <cell r="L116">
            <v>0</v>
          </cell>
          <cell r="M116">
            <v>0</v>
          </cell>
          <cell r="N116">
            <v>0</v>
          </cell>
          <cell r="O116">
            <v>0</v>
          </cell>
          <cell r="P116">
            <v>6</v>
          </cell>
        </row>
        <row r="117">
          <cell r="B117">
            <v>30</v>
          </cell>
          <cell r="C117">
            <v>18</v>
          </cell>
          <cell r="D117">
            <v>11.13</v>
          </cell>
          <cell r="E117">
            <v>1.25</v>
          </cell>
          <cell r="F117">
            <v>0</v>
          </cell>
          <cell r="G117">
            <v>0</v>
          </cell>
          <cell r="H117">
            <v>0</v>
          </cell>
          <cell r="I117">
            <v>1.82</v>
          </cell>
          <cell r="J117">
            <v>6.88</v>
          </cell>
          <cell r="K117">
            <v>8.6999999999999993</v>
          </cell>
          <cell r="L117">
            <v>0</v>
          </cell>
          <cell r="M117">
            <v>0</v>
          </cell>
          <cell r="N117">
            <v>0</v>
          </cell>
          <cell r="O117">
            <v>0</v>
          </cell>
          <cell r="P117">
            <v>6</v>
          </cell>
        </row>
        <row r="118">
          <cell r="B118">
            <v>30</v>
          </cell>
          <cell r="C118">
            <v>20</v>
          </cell>
          <cell r="D118">
            <v>12.7</v>
          </cell>
          <cell r="E118">
            <v>1.25</v>
          </cell>
          <cell r="F118">
            <v>0</v>
          </cell>
          <cell r="G118">
            <v>0</v>
          </cell>
          <cell r="H118">
            <v>0</v>
          </cell>
          <cell r="I118">
            <v>2.0299999999999998</v>
          </cell>
          <cell r="J118">
            <v>10.42</v>
          </cell>
          <cell r="K118">
            <v>12.45</v>
          </cell>
          <cell r="L118">
            <v>0</v>
          </cell>
          <cell r="M118">
            <v>0</v>
          </cell>
          <cell r="N118">
            <v>0</v>
          </cell>
          <cell r="O118">
            <v>0</v>
          </cell>
          <cell r="P118">
            <v>7</v>
          </cell>
        </row>
        <row r="119">
          <cell r="B119">
            <v>30</v>
          </cell>
          <cell r="C119">
            <v>22</v>
          </cell>
          <cell r="D119">
            <v>12.7</v>
          </cell>
          <cell r="E119">
            <v>1.25</v>
          </cell>
          <cell r="F119">
            <v>0</v>
          </cell>
          <cell r="G119">
            <v>0</v>
          </cell>
          <cell r="H119">
            <v>0</v>
          </cell>
          <cell r="I119">
            <v>2.23</v>
          </cell>
          <cell r="J119">
            <v>11.72</v>
          </cell>
          <cell r="K119">
            <v>13.950000000000001</v>
          </cell>
          <cell r="L119">
            <v>0</v>
          </cell>
          <cell r="M119">
            <v>0</v>
          </cell>
          <cell r="N119">
            <v>0</v>
          </cell>
          <cell r="O119">
            <v>0</v>
          </cell>
          <cell r="P119">
            <v>8</v>
          </cell>
        </row>
        <row r="120">
          <cell r="B120">
            <v>30</v>
          </cell>
          <cell r="C120">
            <v>24</v>
          </cell>
          <cell r="D120">
            <v>14.27</v>
          </cell>
          <cell r="E120">
            <v>1.25</v>
          </cell>
          <cell r="F120">
            <v>0</v>
          </cell>
          <cell r="G120">
            <v>0</v>
          </cell>
          <cell r="H120">
            <v>0</v>
          </cell>
          <cell r="I120">
            <v>2.4300000000000002</v>
          </cell>
          <cell r="J120">
            <v>15.57</v>
          </cell>
          <cell r="K120">
            <v>18</v>
          </cell>
          <cell r="L120">
            <v>0</v>
          </cell>
          <cell r="M120">
            <v>0</v>
          </cell>
          <cell r="N120">
            <v>0</v>
          </cell>
          <cell r="O120">
            <v>0</v>
          </cell>
          <cell r="P120">
            <v>8</v>
          </cell>
        </row>
        <row r="121">
          <cell r="B121">
            <v>30</v>
          </cell>
          <cell r="C121">
            <v>28</v>
          </cell>
          <cell r="D121">
            <v>15.88</v>
          </cell>
          <cell r="E121">
            <v>1.5</v>
          </cell>
          <cell r="F121">
            <v>0</v>
          </cell>
          <cell r="G121">
            <v>0</v>
          </cell>
          <cell r="H121">
            <v>0</v>
          </cell>
          <cell r="I121">
            <v>2.84</v>
          </cell>
          <cell r="J121">
            <v>22.65</v>
          </cell>
          <cell r="K121">
            <v>25.49</v>
          </cell>
          <cell r="L121">
            <v>0</v>
          </cell>
          <cell r="M121">
            <v>0</v>
          </cell>
          <cell r="N121">
            <v>0</v>
          </cell>
          <cell r="O121">
            <v>0</v>
          </cell>
          <cell r="P121">
            <v>9</v>
          </cell>
        </row>
        <row r="122">
          <cell r="B122">
            <v>30</v>
          </cell>
          <cell r="C122">
            <v>30</v>
          </cell>
          <cell r="D122">
            <v>15.88</v>
          </cell>
          <cell r="E122">
            <v>1.5</v>
          </cell>
          <cell r="F122">
            <v>0</v>
          </cell>
          <cell r="G122">
            <v>0</v>
          </cell>
          <cell r="H122">
            <v>0</v>
          </cell>
          <cell r="I122">
            <v>3.04</v>
          </cell>
          <cell r="J122">
            <v>23.96</v>
          </cell>
          <cell r="K122">
            <v>27</v>
          </cell>
          <cell r="L122">
            <v>0</v>
          </cell>
          <cell r="M122">
            <v>0</v>
          </cell>
          <cell r="N122">
            <v>0</v>
          </cell>
          <cell r="O122">
            <v>0</v>
          </cell>
          <cell r="P122">
            <v>10</v>
          </cell>
        </row>
        <row r="123">
          <cell r="B123">
            <v>30</v>
          </cell>
          <cell r="C123">
            <v>32</v>
          </cell>
          <cell r="D123">
            <v>15.88</v>
          </cell>
          <cell r="E123">
            <v>1.5</v>
          </cell>
          <cell r="F123">
            <v>0</v>
          </cell>
          <cell r="G123">
            <v>0</v>
          </cell>
          <cell r="H123">
            <v>0</v>
          </cell>
          <cell r="I123">
            <v>3.24</v>
          </cell>
          <cell r="J123">
            <v>26.76</v>
          </cell>
          <cell r="K123">
            <v>30</v>
          </cell>
          <cell r="L123">
            <v>0</v>
          </cell>
          <cell r="M123">
            <v>0</v>
          </cell>
          <cell r="N123">
            <v>0</v>
          </cell>
          <cell r="O123">
            <v>0</v>
          </cell>
          <cell r="P123">
            <v>11</v>
          </cell>
        </row>
        <row r="124">
          <cell r="B124">
            <v>30</v>
          </cell>
          <cell r="C124">
            <v>34</v>
          </cell>
          <cell r="D124">
            <v>15.88</v>
          </cell>
          <cell r="E124">
            <v>1.5</v>
          </cell>
          <cell r="F124">
            <v>0</v>
          </cell>
          <cell r="G124">
            <v>0</v>
          </cell>
          <cell r="H124">
            <v>0</v>
          </cell>
          <cell r="I124">
            <v>3.45</v>
          </cell>
          <cell r="J124">
            <v>28.05</v>
          </cell>
          <cell r="K124">
            <v>31.5</v>
          </cell>
          <cell r="L124">
            <v>0</v>
          </cell>
          <cell r="M124">
            <v>0</v>
          </cell>
          <cell r="N124">
            <v>0</v>
          </cell>
          <cell r="O124">
            <v>0</v>
          </cell>
          <cell r="P124">
            <v>12</v>
          </cell>
        </row>
        <row r="125">
          <cell r="B125">
            <v>30</v>
          </cell>
          <cell r="C125">
            <v>36</v>
          </cell>
          <cell r="D125">
            <v>15.88</v>
          </cell>
          <cell r="E125">
            <v>1.5</v>
          </cell>
          <cell r="F125">
            <v>0</v>
          </cell>
          <cell r="G125">
            <v>0</v>
          </cell>
          <cell r="H125">
            <v>0</v>
          </cell>
          <cell r="I125">
            <v>3.65</v>
          </cell>
          <cell r="J125">
            <v>29.35</v>
          </cell>
          <cell r="K125">
            <v>33</v>
          </cell>
          <cell r="L125">
            <v>0</v>
          </cell>
          <cell r="M125">
            <v>0</v>
          </cell>
          <cell r="N125">
            <v>0</v>
          </cell>
          <cell r="O125">
            <v>0</v>
          </cell>
          <cell r="P125">
            <v>12</v>
          </cell>
        </row>
        <row r="126">
          <cell r="B126">
            <v>40</v>
          </cell>
          <cell r="C126">
            <v>0.125</v>
          </cell>
          <cell r="D126">
            <v>1.73</v>
          </cell>
          <cell r="E126">
            <v>1</v>
          </cell>
          <cell r="F126">
            <v>0</v>
          </cell>
          <cell r="G126">
            <v>0</v>
          </cell>
          <cell r="H126">
            <v>0</v>
          </cell>
          <cell r="I126">
            <v>7.0000000000000007E-2</v>
          </cell>
          <cell r="J126">
            <v>0</v>
          </cell>
          <cell r="K126">
            <v>7.0000000000000007E-2</v>
          </cell>
          <cell r="L126">
            <v>0</v>
          </cell>
          <cell r="M126">
            <v>0</v>
          </cell>
          <cell r="N126">
            <v>0</v>
          </cell>
          <cell r="O126">
            <v>0</v>
          </cell>
          <cell r="P126">
            <v>2</v>
          </cell>
        </row>
        <row r="127">
          <cell r="B127">
            <v>40</v>
          </cell>
          <cell r="C127">
            <v>0.125</v>
          </cell>
          <cell r="D127">
            <v>1.73</v>
          </cell>
          <cell r="E127">
            <v>1</v>
          </cell>
          <cell r="F127">
            <v>0</v>
          </cell>
          <cell r="G127">
            <v>0</v>
          </cell>
          <cell r="H127">
            <v>0</v>
          </cell>
          <cell r="I127">
            <v>7.0000000000000007E-2</v>
          </cell>
          <cell r="J127">
            <v>0</v>
          </cell>
          <cell r="K127">
            <v>7.0000000000000007E-2</v>
          </cell>
          <cell r="L127">
            <v>0</v>
          </cell>
          <cell r="M127">
            <v>0</v>
          </cell>
          <cell r="N127">
            <v>0</v>
          </cell>
          <cell r="O127">
            <v>0</v>
          </cell>
          <cell r="P127">
            <v>2</v>
          </cell>
        </row>
        <row r="128">
          <cell r="B128">
            <v>40</v>
          </cell>
          <cell r="C128">
            <v>0.125</v>
          </cell>
          <cell r="D128">
            <v>1.73</v>
          </cell>
          <cell r="E128">
            <v>1</v>
          </cell>
          <cell r="F128">
            <v>0</v>
          </cell>
          <cell r="G128">
            <v>0</v>
          </cell>
          <cell r="H128">
            <v>0</v>
          </cell>
          <cell r="I128">
            <v>7.0000000000000007E-2</v>
          </cell>
          <cell r="J128">
            <v>0</v>
          </cell>
          <cell r="K128">
            <v>7.0000000000000007E-2</v>
          </cell>
          <cell r="L128">
            <v>0</v>
          </cell>
          <cell r="M128">
            <v>0</v>
          </cell>
          <cell r="N128">
            <v>0</v>
          </cell>
          <cell r="O128">
            <v>0</v>
          </cell>
          <cell r="P128">
            <v>2</v>
          </cell>
        </row>
        <row r="129">
          <cell r="B129">
            <v>40</v>
          </cell>
          <cell r="C129">
            <v>0.25</v>
          </cell>
          <cell r="D129">
            <v>2.2400000000000002</v>
          </cell>
          <cell r="E129">
            <v>1</v>
          </cell>
          <cell r="F129">
            <v>0</v>
          </cell>
          <cell r="G129">
            <v>0</v>
          </cell>
          <cell r="H129">
            <v>0</v>
          </cell>
          <cell r="I129">
            <v>7.0000000000000007E-2</v>
          </cell>
          <cell r="J129">
            <v>0</v>
          </cell>
          <cell r="K129">
            <v>7.0000000000000007E-2</v>
          </cell>
          <cell r="L129">
            <v>0</v>
          </cell>
          <cell r="M129">
            <v>0</v>
          </cell>
          <cell r="N129">
            <v>0</v>
          </cell>
          <cell r="O129">
            <v>0</v>
          </cell>
          <cell r="P129">
            <v>2</v>
          </cell>
        </row>
        <row r="130">
          <cell r="B130">
            <v>40</v>
          </cell>
          <cell r="C130">
            <v>0.25</v>
          </cell>
          <cell r="D130">
            <v>2.2400000000000002</v>
          </cell>
          <cell r="E130">
            <v>1</v>
          </cell>
          <cell r="F130">
            <v>1</v>
          </cell>
          <cell r="G130">
            <v>1</v>
          </cell>
          <cell r="H130">
            <v>1</v>
          </cell>
          <cell r="I130">
            <v>7.0000000000000007E-2</v>
          </cell>
          <cell r="J130">
            <v>6.9999992847442627E-2</v>
          </cell>
          <cell r="K130">
            <v>7.0000000000000007E-2</v>
          </cell>
          <cell r="L130">
            <v>6.9999992847442627E-2</v>
          </cell>
          <cell r="M130">
            <v>6.9999992847442627E-2</v>
          </cell>
          <cell r="N130">
            <v>6.9999992847442627E-2</v>
          </cell>
          <cell r="O130">
            <v>6.9999992847442627E-2</v>
          </cell>
          <cell r="P130">
            <v>2</v>
          </cell>
          <cell r="Q130">
            <v>2</v>
          </cell>
          <cell r="R130">
            <v>2</v>
          </cell>
        </row>
        <row r="131">
          <cell r="B131">
            <v>40</v>
          </cell>
          <cell r="C131">
            <v>0.25</v>
          </cell>
          <cell r="D131">
            <v>2.2400000000000002</v>
          </cell>
          <cell r="E131">
            <v>1</v>
          </cell>
          <cell r="F131">
            <v>0</v>
          </cell>
          <cell r="G131">
            <v>0</v>
          </cell>
          <cell r="H131">
            <v>0</v>
          </cell>
          <cell r="I131">
            <v>7.0000000000000007E-2</v>
          </cell>
          <cell r="J131">
            <v>0</v>
          </cell>
          <cell r="K131">
            <v>7.0000000000000007E-2</v>
          </cell>
          <cell r="L131">
            <v>0</v>
          </cell>
          <cell r="M131">
            <v>0</v>
          </cell>
          <cell r="N131">
            <v>0</v>
          </cell>
          <cell r="O131">
            <v>0</v>
          </cell>
          <cell r="P131">
            <v>2</v>
          </cell>
        </row>
        <row r="132">
          <cell r="B132">
            <v>40</v>
          </cell>
          <cell r="C132">
            <v>0.375</v>
          </cell>
          <cell r="D132">
            <v>2.31</v>
          </cell>
          <cell r="E132">
            <v>1</v>
          </cell>
          <cell r="F132">
            <v>0</v>
          </cell>
          <cell r="G132">
            <v>0</v>
          </cell>
          <cell r="H132">
            <v>0</v>
          </cell>
          <cell r="I132">
            <v>7.0000000000000007E-2</v>
          </cell>
          <cell r="J132">
            <v>0</v>
          </cell>
          <cell r="K132">
            <v>7.0000000000000007E-2</v>
          </cell>
          <cell r="L132">
            <v>0</v>
          </cell>
          <cell r="M132">
            <v>0</v>
          </cell>
          <cell r="N132">
            <v>0</v>
          </cell>
          <cell r="O132">
            <v>0</v>
          </cell>
          <cell r="P132">
            <v>2</v>
          </cell>
        </row>
        <row r="133">
          <cell r="B133">
            <v>40</v>
          </cell>
          <cell r="C133">
            <v>0.375</v>
          </cell>
          <cell r="D133">
            <v>2.31</v>
          </cell>
          <cell r="E133">
            <v>1</v>
          </cell>
          <cell r="F133">
            <v>0</v>
          </cell>
          <cell r="G133">
            <v>0</v>
          </cell>
          <cell r="H133">
            <v>0</v>
          </cell>
          <cell r="I133">
            <v>7.0000000000000007E-2</v>
          </cell>
          <cell r="J133">
            <v>0</v>
          </cell>
          <cell r="K133">
            <v>7.0000000000000007E-2</v>
          </cell>
          <cell r="L133">
            <v>0</v>
          </cell>
          <cell r="M133">
            <v>0</v>
          </cell>
          <cell r="N133">
            <v>0</v>
          </cell>
          <cell r="O133">
            <v>0</v>
          </cell>
          <cell r="P133">
            <v>2</v>
          </cell>
        </row>
        <row r="134">
          <cell r="B134">
            <v>40</v>
          </cell>
          <cell r="C134">
            <v>0.375</v>
          </cell>
          <cell r="D134">
            <v>2.31</v>
          </cell>
          <cell r="E134">
            <v>1</v>
          </cell>
          <cell r="F134">
            <v>0</v>
          </cell>
          <cell r="G134">
            <v>0</v>
          </cell>
          <cell r="H134">
            <v>0</v>
          </cell>
          <cell r="I134">
            <v>7.0000000000000007E-2</v>
          </cell>
          <cell r="J134">
            <v>0</v>
          </cell>
          <cell r="K134">
            <v>7.0000000000000007E-2</v>
          </cell>
          <cell r="L134">
            <v>0</v>
          </cell>
          <cell r="M134">
            <v>0</v>
          </cell>
          <cell r="N134">
            <v>0</v>
          </cell>
          <cell r="O134">
            <v>0</v>
          </cell>
          <cell r="P134">
            <v>2</v>
          </cell>
        </row>
        <row r="135">
          <cell r="B135">
            <v>40</v>
          </cell>
          <cell r="C135">
            <v>0.5</v>
          </cell>
          <cell r="D135">
            <v>2.77</v>
          </cell>
          <cell r="E135">
            <v>1</v>
          </cell>
          <cell r="F135">
            <v>0</v>
          </cell>
          <cell r="G135">
            <v>0</v>
          </cell>
          <cell r="H135">
            <v>0</v>
          </cell>
          <cell r="I135">
            <v>7.0000000000000007E-2</v>
          </cell>
          <cell r="J135">
            <v>0</v>
          </cell>
          <cell r="K135">
            <v>7.0000000000000007E-2</v>
          </cell>
          <cell r="L135">
            <v>0</v>
          </cell>
          <cell r="M135">
            <v>0</v>
          </cell>
          <cell r="N135">
            <v>0</v>
          </cell>
          <cell r="O135">
            <v>0</v>
          </cell>
          <cell r="P135">
            <v>2</v>
          </cell>
        </row>
        <row r="136">
          <cell r="B136">
            <v>40</v>
          </cell>
          <cell r="C136">
            <v>0.5</v>
          </cell>
          <cell r="D136">
            <v>2.77</v>
          </cell>
          <cell r="E136">
            <v>1</v>
          </cell>
          <cell r="F136">
            <v>0</v>
          </cell>
          <cell r="G136">
            <v>0</v>
          </cell>
          <cell r="H136">
            <v>0</v>
          </cell>
          <cell r="I136">
            <v>7.0000000000000007E-2</v>
          </cell>
          <cell r="J136">
            <v>0</v>
          </cell>
          <cell r="K136">
            <v>7.0000000000000007E-2</v>
          </cell>
          <cell r="L136">
            <v>0</v>
          </cell>
          <cell r="M136">
            <v>0</v>
          </cell>
          <cell r="N136">
            <v>0</v>
          </cell>
          <cell r="O136">
            <v>0</v>
          </cell>
          <cell r="P136">
            <v>2</v>
          </cell>
        </row>
        <row r="137">
          <cell r="B137">
            <v>40</v>
          </cell>
          <cell r="C137">
            <v>0.5</v>
          </cell>
          <cell r="D137">
            <v>2.77</v>
          </cell>
          <cell r="E137">
            <v>1</v>
          </cell>
          <cell r="F137">
            <v>0</v>
          </cell>
          <cell r="G137">
            <v>0</v>
          </cell>
          <cell r="H137">
            <v>0</v>
          </cell>
          <cell r="I137">
            <v>7.0000000000000007E-2</v>
          </cell>
          <cell r="J137">
            <v>0</v>
          </cell>
          <cell r="K137">
            <v>7.0000000000000007E-2</v>
          </cell>
          <cell r="L137">
            <v>0</v>
          </cell>
          <cell r="M137">
            <v>0</v>
          </cell>
          <cell r="N137">
            <v>0</v>
          </cell>
          <cell r="O137">
            <v>0</v>
          </cell>
          <cell r="P137">
            <v>2</v>
          </cell>
        </row>
        <row r="138">
          <cell r="B138">
            <v>40</v>
          </cell>
          <cell r="C138">
            <v>0.75</v>
          </cell>
          <cell r="D138">
            <v>2.87</v>
          </cell>
          <cell r="E138">
            <v>1</v>
          </cell>
          <cell r="F138">
            <v>0</v>
          </cell>
          <cell r="G138">
            <v>0</v>
          </cell>
          <cell r="H138">
            <v>0</v>
          </cell>
          <cell r="I138">
            <v>7.0000000000000007E-2</v>
          </cell>
          <cell r="J138">
            <v>0</v>
          </cell>
          <cell r="K138">
            <v>7.0000000000000007E-2</v>
          </cell>
          <cell r="L138">
            <v>0</v>
          </cell>
          <cell r="M138">
            <v>0</v>
          </cell>
          <cell r="N138">
            <v>0</v>
          </cell>
          <cell r="O138">
            <v>0</v>
          </cell>
          <cell r="P138">
            <v>2</v>
          </cell>
        </row>
        <row r="139">
          <cell r="B139">
            <v>40</v>
          </cell>
          <cell r="C139">
            <v>0.75</v>
          </cell>
          <cell r="D139">
            <v>2.87</v>
          </cell>
          <cell r="E139">
            <v>1</v>
          </cell>
          <cell r="F139">
            <v>0</v>
          </cell>
          <cell r="G139">
            <v>0</v>
          </cell>
          <cell r="H139">
            <v>0</v>
          </cell>
          <cell r="I139">
            <v>7.0000000000000007E-2</v>
          </cell>
          <cell r="J139">
            <v>0</v>
          </cell>
          <cell r="K139">
            <v>7.0000000000000007E-2</v>
          </cell>
          <cell r="L139">
            <v>0</v>
          </cell>
          <cell r="M139">
            <v>0</v>
          </cell>
          <cell r="N139">
            <v>0</v>
          </cell>
          <cell r="O139">
            <v>0</v>
          </cell>
          <cell r="P139">
            <v>2</v>
          </cell>
        </row>
        <row r="140">
          <cell r="B140">
            <v>40</v>
          </cell>
          <cell r="C140">
            <v>0.75</v>
          </cell>
          <cell r="D140">
            <v>2.87</v>
          </cell>
          <cell r="E140">
            <v>1</v>
          </cell>
          <cell r="F140">
            <v>0</v>
          </cell>
          <cell r="G140">
            <v>0</v>
          </cell>
          <cell r="H140">
            <v>0</v>
          </cell>
          <cell r="I140">
            <v>7.0000000000000007E-2</v>
          </cell>
          <cell r="J140">
            <v>0</v>
          </cell>
          <cell r="K140">
            <v>7.0000000000000007E-2</v>
          </cell>
          <cell r="L140">
            <v>0</v>
          </cell>
          <cell r="M140">
            <v>0</v>
          </cell>
          <cell r="N140">
            <v>0</v>
          </cell>
          <cell r="O140">
            <v>0</v>
          </cell>
          <cell r="P140">
            <v>2</v>
          </cell>
        </row>
        <row r="141">
          <cell r="B141">
            <v>40</v>
          </cell>
          <cell r="C141">
            <v>1</v>
          </cell>
          <cell r="D141">
            <v>3.38</v>
          </cell>
          <cell r="E141">
            <v>1</v>
          </cell>
          <cell r="F141">
            <v>0</v>
          </cell>
          <cell r="G141">
            <v>0</v>
          </cell>
          <cell r="H141">
            <v>0</v>
          </cell>
          <cell r="I141">
            <v>0.12</v>
          </cell>
          <cell r="J141">
            <v>0</v>
          </cell>
          <cell r="K141">
            <v>0.12</v>
          </cell>
          <cell r="L141">
            <v>0</v>
          </cell>
          <cell r="M141">
            <v>0</v>
          </cell>
          <cell r="N141">
            <v>0</v>
          </cell>
          <cell r="O141">
            <v>0</v>
          </cell>
          <cell r="P141">
            <v>2</v>
          </cell>
        </row>
        <row r="142">
          <cell r="B142">
            <v>40</v>
          </cell>
          <cell r="C142">
            <v>1</v>
          </cell>
          <cell r="D142">
            <v>3.38</v>
          </cell>
          <cell r="E142">
            <v>1</v>
          </cell>
          <cell r="F142">
            <v>0</v>
          </cell>
          <cell r="G142">
            <v>0</v>
          </cell>
          <cell r="H142">
            <v>0</v>
          </cell>
          <cell r="I142">
            <v>0.12</v>
          </cell>
          <cell r="J142">
            <v>0</v>
          </cell>
          <cell r="K142">
            <v>0.12</v>
          </cell>
          <cell r="L142">
            <v>0</v>
          </cell>
          <cell r="M142">
            <v>0</v>
          </cell>
          <cell r="N142">
            <v>0</v>
          </cell>
          <cell r="O142">
            <v>0</v>
          </cell>
          <cell r="P142">
            <v>2</v>
          </cell>
        </row>
        <row r="143">
          <cell r="B143">
            <v>40</v>
          </cell>
          <cell r="C143">
            <v>1</v>
          </cell>
          <cell r="D143">
            <v>3.38</v>
          </cell>
          <cell r="E143">
            <v>1</v>
          </cell>
          <cell r="F143">
            <v>0</v>
          </cell>
          <cell r="G143">
            <v>0</v>
          </cell>
          <cell r="H143">
            <v>0</v>
          </cell>
          <cell r="I143">
            <v>0.12</v>
          </cell>
          <cell r="J143">
            <v>0</v>
          </cell>
          <cell r="K143">
            <v>0.12</v>
          </cell>
          <cell r="L143">
            <v>0</v>
          </cell>
          <cell r="M143">
            <v>0</v>
          </cell>
          <cell r="N143">
            <v>0</v>
          </cell>
          <cell r="O143">
            <v>0</v>
          </cell>
          <cell r="P143">
            <v>2</v>
          </cell>
        </row>
        <row r="144">
          <cell r="B144">
            <v>40</v>
          </cell>
          <cell r="C144">
            <v>1.25</v>
          </cell>
          <cell r="D144">
            <v>3.56</v>
          </cell>
          <cell r="E144">
            <v>1</v>
          </cell>
          <cell r="F144">
            <v>0</v>
          </cell>
          <cell r="G144">
            <v>0</v>
          </cell>
          <cell r="H144">
            <v>0</v>
          </cell>
          <cell r="I144">
            <v>0.15</v>
          </cell>
          <cell r="J144">
            <v>0</v>
          </cell>
          <cell r="K144">
            <v>0.15</v>
          </cell>
          <cell r="L144">
            <v>0</v>
          </cell>
          <cell r="M144">
            <v>0</v>
          </cell>
          <cell r="N144">
            <v>0</v>
          </cell>
          <cell r="O144">
            <v>0</v>
          </cell>
          <cell r="P144">
            <v>2</v>
          </cell>
        </row>
        <row r="145">
          <cell r="B145">
            <v>40</v>
          </cell>
          <cell r="C145">
            <v>1.25</v>
          </cell>
          <cell r="D145">
            <v>3.56</v>
          </cell>
          <cell r="E145">
            <v>1</v>
          </cell>
          <cell r="F145">
            <v>0</v>
          </cell>
          <cell r="G145">
            <v>0</v>
          </cell>
          <cell r="H145">
            <v>0</v>
          </cell>
          <cell r="I145">
            <v>0.15</v>
          </cell>
          <cell r="J145">
            <v>0</v>
          </cell>
          <cell r="K145">
            <v>0.15</v>
          </cell>
          <cell r="L145">
            <v>0</v>
          </cell>
          <cell r="M145">
            <v>0</v>
          </cell>
          <cell r="N145">
            <v>0</v>
          </cell>
          <cell r="O145">
            <v>0</v>
          </cell>
          <cell r="P145">
            <v>2</v>
          </cell>
        </row>
        <row r="146">
          <cell r="B146">
            <v>40</v>
          </cell>
          <cell r="C146">
            <v>1.25</v>
          </cell>
          <cell r="D146">
            <v>3.56</v>
          </cell>
          <cell r="E146">
            <v>1</v>
          </cell>
          <cell r="F146">
            <v>0</v>
          </cell>
          <cell r="G146">
            <v>0</v>
          </cell>
          <cell r="H146">
            <v>0</v>
          </cell>
          <cell r="I146">
            <v>0.15</v>
          </cell>
          <cell r="J146">
            <v>0</v>
          </cell>
          <cell r="K146">
            <v>0.15</v>
          </cell>
          <cell r="L146">
            <v>0</v>
          </cell>
          <cell r="M146">
            <v>0</v>
          </cell>
          <cell r="N146">
            <v>0</v>
          </cell>
          <cell r="O146">
            <v>0</v>
          </cell>
          <cell r="P146">
            <v>2</v>
          </cell>
        </row>
        <row r="147">
          <cell r="B147">
            <v>40</v>
          </cell>
          <cell r="C147">
            <v>1.5</v>
          </cell>
          <cell r="D147">
            <v>3.68</v>
          </cell>
          <cell r="E147">
            <v>1</v>
          </cell>
          <cell r="F147">
            <v>0</v>
          </cell>
          <cell r="G147">
            <v>0</v>
          </cell>
          <cell r="H147">
            <v>0</v>
          </cell>
          <cell r="I147">
            <v>0.15</v>
          </cell>
          <cell r="J147">
            <v>0</v>
          </cell>
          <cell r="K147">
            <v>0.15</v>
          </cell>
          <cell r="L147">
            <v>0</v>
          </cell>
          <cell r="M147">
            <v>0</v>
          </cell>
          <cell r="N147">
            <v>0</v>
          </cell>
          <cell r="O147">
            <v>0</v>
          </cell>
          <cell r="P147">
            <v>2</v>
          </cell>
        </row>
        <row r="148">
          <cell r="B148">
            <v>40</v>
          </cell>
          <cell r="C148">
            <v>1.5</v>
          </cell>
          <cell r="D148">
            <v>3.68</v>
          </cell>
          <cell r="E148">
            <v>1</v>
          </cell>
          <cell r="F148">
            <v>0</v>
          </cell>
          <cell r="G148">
            <v>0</v>
          </cell>
          <cell r="H148">
            <v>0</v>
          </cell>
          <cell r="I148">
            <v>0.15</v>
          </cell>
          <cell r="J148">
            <v>0</v>
          </cell>
          <cell r="K148">
            <v>0.15</v>
          </cell>
          <cell r="L148">
            <v>0</v>
          </cell>
          <cell r="M148">
            <v>0</v>
          </cell>
          <cell r="N148">
            <v>0</v>
          </cell>
          <cell r="O148">
            <v>0</v>
          </cell>
          <cell r="P148">
            <v>2</v>
          </cell>
        </row>
        <row r="149">
          <cell r="B149">
            <v>40</v>
          </cell>
          <cell r="C149">
            <v>1.5</v>
          </cell>
          <cell r="D149">
            <v>3.68</v>
          </cell>
          <cell r="E149">
            <v>1</v>
          </cell>
          <cell r="F149">
            <v>0</v>
          </cell>
          <cell r="G149">
            <v>0</v>
          </cell>
          <cell r="H149">
            <v>0</v>
          </cell>
          <cell r="I149">
            <v>0.15</v>
          </cell>
          <cell r="J149">
            <v>0</v>
          </cell>
          <cell r="K149">
            <v>0.15</v>
          </cell>
          <cell r="L149">
            <v>0</v>
          </cell>
          <cell r="M149">
            <v>0</v>
          </cell>
          <cell r="N149">
            <v>0</v>
          </cell>
          <cell r="O149">
            <v>0</v>
          </cell>
          <cell r="P149">
            <v>2</v>
          </cell>
        </row>
        <row r="150">
          <cell r="B150">
            <v>40</v>
          </cell>
          <cell r="C150">
            <v>2</v>
          </cell>
          <cell r="D150">
            <v>3.91</v>
          </cell>
          <cell r="E150">
            <v>1</v>
          </cell>
          <cell r="F150">
            <v>0</v>
          </cell>
          <cell r="G150">
            <v>0</v>
          </cell>
          <cell r="H150">
            <v>0</v>
          </cell>
          <cell r="I150">
            <v>0.3</v>
          </cell>
          <cell r="J150">
            <v>0</v>
          </cell>
          <cell r="K150">
            <v>0.3</v>
          </cell>
          <cell r="L150">
            <v>0</v>
          </cell>
          <cell r="M150">
            <v>0</v>
          </cell>
          <cell r="N150">
            <v>0</v>
          </cell>
          <cell r="O150">
            <v>0</v>
          </cell>
          <cell r="P150">
            <v>2</v>
          </cell>
          <cell r="Q150">
            <v>0</v>
          </cell>
          <cell r="R150">
            <v>0</v>
          </cell>
        </row>
        <row r="151">
          <cell r="B151">
            <v>40</v>
          </cell>
          <cell r="C151">
            <v>2</v>
          </cell>
          <cell r="D151">
            <v>3.91</v>
          </cell>
          <cell r="E151">
            <v>1</v>
          </cell>
          <cell r="F151">
            <v>0</v>
          </cell>
          <cell r="G151">
            <v>0</v>
          </cell>
          <cell r="H151">
            <v>0</v>
          </cell>
          <cell r="I151">
            <v>0.3</v>
          </cell>
          <cell r="J151">
            <v>0</v>
          </cell>
          <cell r="K151">
            <v>0.3</v>
          </cell>
          <cell r="L151">
            <v>0</v>
          </cell>
          <cell r="M151">
            <v>0</v>
          </cell>
          <cell r="N151">
            <v>0</v>
          </cell>
          <cell r="O151">
            <v>0</v>
          </cell>
          <cell r="P151">
            <v>2</v>
          </cell>
        </row>
        <row r="152">
          <cell r="B152">
            <v>40</v>
          </cell>
          <cell r="C152">
            <v>2</v>
          </cell>
          <cell r="D152">
            <v>3.91</v>
          </cell>
          <cell r="E152">
            <v>1</v>
          </cell>
          <cell r="F152">
            <v>0</v>
          </cell>
          <cell r="G152">
            <v>0</v>
          </cell>
          <cell r="H152">
            <v>0</v>
          </cell>
          <cell r="I152">
            <v>0.3</v>
          </cell>
          <cell r="J152">
            <v>0</v>
          </cell>
          <cell r="K152">
            <v>0.3</v>
          </cell>
          <cell r="L152">
            <v>0</v>
          </cell>
          <cell r="M152">
            <v>0</v>
          </cell>
          <cell r="N152">
            <v>0</v>
          </cell>
          <cell r="O152">
            <v>0</v>
          </cell>
          <cell r="P152">
            <v>2</v>
          </cell>
        </row>
        <row r="153">
          <cell r="B153">
            <v>40</v>
          </cell>
          <cell r="C153">
            <v>2.5</v>
          </cell>
          <cell r="D153">
            <v>5.16</v>
          </cell>
          <cell r="E153">
            <v>1</v>
          </cell>
          <cell r="F153">
            <v>0</v>
          </cell>
          <cell r="G153">
            <v>0</v>
          </cell>
          <cell r="H153">
            <v>0</v>
          </cell>
          <cell r="I153">
            <v>0.25</v>
          </cell>
          <cell r="J153">
            <v>0.2</v>
          </cell>
          <cell r="K153">
            <v>0.45</v>
          </cell>
          <cell r="L153">
            <v>0</v>
          </cell>
          <cell r="M153">
            <v>0</v>
          </cell>
          <cell r="N153">
            <v>0</v>
          </cell>
          <cell r="O153">
            <v>0</v>
          </cell>
          <cell r="P153">
            <v>2</v>
          </cell>
        </row>
        <row r="154">
          <cell r="B154">
            <v>40</v>
          </cell>
          <cell r="C154">
            <v>3</v>
          </cell>
          <cell r="D154">
            <v>5.49</v>
          </cell>
          <cell r="E154">
            <v>1</v>
          </cell>
          <cell r="F154">
            <v>0</v>
          </cell>
          <cell r="G154">
            <v>0</v>
          </cell>
          <cell r="H154">
            <v>0</v>
          </cell>
          <cell r="I154">
            <v>0.3</v>
          </cell>
          <cell r="J154">
            <v>0.3</v>
          </cell>
          <cell r="K154">
            <v>0.6</v>
          </cell>
          <cell r="L154">
            <v>0</v>
          </cell>
          <cell r="M154">
            <v>0</v>
          </cell>
          <cell r="N154">
            <v>0</v>
          </cell>
          <cell r="O154">
            <v>0</v>
          </cell>
          <cell r="P154">
            <v>2</v>
          </cell>
        </row>
        <row r="155">
          <cell r="B155">
            <v>40</v>
          </cell>
          <cell r="C155">
            <v>3.5</v>
          </cell>
          <cell r="D155">
            <v>5.74</v>
          </cell>
          <cell r="E155">
            <v>1</v>
          </cell>
          <cell r="F155">
            <v>0</v>
          </cell>
          <cell r="G155">
            <v>0</v>
          </cell>
          <cell r="H155">
            <v>0</v>
          </cell>
          <cell r="I155">
            <v>0.35</v>
          </cell>
          <cell r="J155">
            <v>0.4</v>
          </cell>
          <cell r="K155">
            <v>0.75</v>
          </cell>
          <cell r="L155">
            <v>0</v>
          </cell>
          <cell r="M155">
            <v>0</v>
          </cell>
          <cell r="N155">
            <v>0</v>
          </cell>
          <cell r="O155">
            <v>0</v>
          </cell>
          <cell r="P155">
            <v>3</v>
          </cell>
        </row>
        <row r="156">
          <cell r="B156">
            <v>40</v>
          </cell>
          <cell r="C156">
            <v>4</v>
          </cell>
          <cell r="D156">
            <v>6.02</v>
          </cell>
          <cell r="E156">
            <v>1</v>
          </cell>
          <cell r="F156">
            <v>0</v>
          </cell>
          <cell r="G156">
            <v>0</v>
          </cell>
          <cell r="H156">
            <v>0</v>
          </cell>
          <cell r="I156">
            <v>0.41</v>
          </cell>
          <cell r="J156">
            <v>0.49</v>
          </cell>
          <cell r="K156">
            <v>0.89999999999999991</v>
          </cell>
          <cell r="L156">
            <v>0</v>
          </cell>
          <cell r="M156">
            <v>0</v>
          </cell>
          <cell r="N156">
            <v>0</v>
          </cell>
          <cell r="O156">
            <v>0</v>
          </cell>
          <cell r="P156">
            <v>3</v>
          </cell>
        </row>
        <row r="157">
          <cell r="B157">
            <v>40</v>
          </cell>
          <cell r="C157">
            <v>5</v>
          </cell>
          <cell r="D157">
            <v>6.55</v>
          </cell>
          <cell r="E157">
            <v>1</v>
          </cell>
          <cell r="F157">
            <v>0</v>
          </cell>
          <cell r="G157">
            <v>0</v>
          </cell>
          <cell r="H157">
            <v>0</v>
          </cell>
          <cell r="I157">
            <v>0.51</v>
          </cell>
          <cell r="J157">
            <v>0.54</v>
          </cell>
          <cell r="K157">
            <v>1.05</v>
          </cell>
          <cell r="L157">
            <v>0</v>
          </cell>
          <cell r="M157">
            <v>0</v>
          </cell>
          <cell r="N157">
            <v>0</v>
          </cell>
          <cell r="O157">
            <v>0</v>
          </cell>
          <cell r="P157">
            <v>4</v>
          </cell>
        </row>
        <row r="158">
          <cell r="B158">
            <v>40</v>
          </cell>
          <cell r="C158">
            <v>6</v>
          </cell>
          <cell r="D158">
            <v>7.11</v>
          </cell>
          <cell r="E158">
            <v>1</v>
          </cell>
          <cell r="F158">
            <v>0</v>
          </cell>
          <cell r="G158">
            <v>0</v>
          </cell>
          <cell r="H158">
            <v>0</v>
          </cell>
          <cell r="I158">
            <v>0.61</v>
          </cell>
          <cell r="J158">
            <v>1.04</v>
          </cell>
          <cell r="K158">
            <v>1.65</v>
          </cell>
          <cell r="L158">
            <v>0</v>
          </cell>
          <cell r="M158">
            <v>0</v>
          </cell>
          <cell r="N158">
            <v>0</v>
          </cell>
          <cell r="O158">
            <v>0</v>
          </cell>
          <cell r="P158">
            <v>4</v>
          </cell>
        </row>
        <row r="159">
          <cell r="B159">
            <v>40</v>
          </cell>
          <cell r="C159">
            <v>8</v>
          </cell>
          <cell r="D159">
            <v>8.18</v>
          </cell>
          <cell r="E159">
            <v>1</v>
          </cell>
          <cell r="F159">
            <v>0</v>
          </cell>
          <cell r="G159">
            <v>0</v>
          </cell>
          <cell r="H159">
            <v>0</v>
          </cell>
          <cell r="I159">
            <v>0.81</v>
          </cell>
          <cell r="J159">
            <v>1.73</v>
          </cell>
          <cell r="K159">
            <v>2.54</v>
          </cell>
          <cell r="L159">
            <v>0</v>
          </cell>
          <cell r="M159">
            <v>0</v>
          </cell>
          <cell r="N159">
            <v>0</v>
          </cell>
          <cell r="O159">
            <v>0</v>
          </cell>
          <cell r="P159">
            <v>4</v>
          </cell>
        </row>
        <row r="160">
          <cell r="B160">
            <v>40</v>
          </cell>
          <cell r="C160">
            <v>10</v>
          </cell>
          <cell r="D160">
            <v>9.27</v>
          </cell>
          <cell r="E160">
            <v>1</v>
          </cell>
          <cell r="F160">
            <v>0</v>
          </cell>
          <cell r="G160">
            <v>0</v>
          </cell>
          <cell r="H160">
            <v>0</v>
          </cell>
          <cell r="I160">
            <v>1.01</v>
          </cell>
          <cell r="J160">
            <v>3.04</v>
          </cell>
          <cell r="K160">
            <v>4.05</v>
          </cell>
          <cell r="L160">
            <v>0</v>
          </cell>
          <cell r="M160">
            <v>0</v>
          </cell>
          <cell r="N160">
            <v>0</v>
          </cell>
          <cell r="O160">
            <v>0</v>
          </cell>
          <cell r="P160">
            <v>4</v>
          </cell>
        </row>
        <row r="161">
          <cell r="B161">
            <v>40</v>
          </cell>
          <cell r="C161">
            <v>12</v>
          </cell>
          <cell r="D161">
            <v>10.31</v>
          </cell>
          <cell r="E161">
            <v>1.25</v>
          </cell>
          <cell r="F161">
            <v>0</v>
          </cell>
          <cell r="G161">
            <v>0</v>
          </cell>
          <cell r="H161">
            <v>0</v>
          </cell>
          <cell r="I161">
            <v>1.22</v>
          </cell>
          <cell r="J161">
            <v>4.0199999999999996</v>
          </cell>
          <cell r="K161">
            <v>5.2399999999999993</v>
          </cell>
          <cell r="L161">
            <v>0</v>
          </cell>
          <cell r="M161">
            <v>0</v>
          </cell>
          <cell r="N161">
            <v>0</v>
          </cell>
          <cell r="O161">
            <v>0</v>
          </cell>
          <cell r="P161">
            <v>6</v>
          </cell>
        </row>
        <row r="162">
          <cell r="B162">
            <v>40</v>
          </cell>
          <cell r="C162">
            <v>14</v>
          </cell>
          <cell r="D162">
            <v>11.13</v>
          </cell>
          <cell r="E162">
            <v>1.25</v>
          </cell>
          <cell r="F162">
            <v>0</v>
          </cell>
          <cell r="G162">
            <v>0</v>
          </cell>
          <cell r="H162">
            <v>0</v>
          </cell>
          <cell r="I162">
            <v>1.42</v>
          </cell>
          <cell r="J162">
            <v>5.33</v>
          </cell>
          <cell r="K162">
            <v>6.75</v>
          </cell>
          <cell r="L162">
            <v>0</v>
          </cell>
          <cell r="M162">
            <v>0</v>
          </cell>
          <cell r="N162">
            <v>0</v>
          </cell>
          <cell r="O162">
            <v>0</v>
          </cell>
          <cell r="P162">
            <v>6</v>
          </cell>
        </row>
        <row r="163">
          <cell r="B163">
            <v>40</v>
          </cell>
          <cell r="C163">
            <v>16</v>
          </cell>
          <cell r="D163">
            <v>12.7</v>
          </cell>
          <cell r="E163">
            <v>1.25</v>
          </cell>
          <cell r="F163">
            <v>0</v>
          </cell>
          <cell r="G163">
            <v>0</v>
          </cell>
          <cell r="H163">
            <v>0</v>
          </cell>
          <cell r="I163">
            <v>1.62</v>
          </cell>
          <cell r="J163">
            <v>8.42</v>
          </cell>
          <cell r="K163">
            <v>10.039999999999999</v>
          </cell>
          <cell r="L163">
            <v>0</v>
          </cell>
          <cell r="M163">
            <v>0</v>
          </cell>
          <cell r="N163">
            <v>0</v>
          </cell>
          <cell r="O163">
            <v>0</v>
          </cell>
          <cell r="P163">
            <v>6</v>
          </cell>
        </row>
        <row r="164">
          <cell r="B164">
            <v>40</v>
          </cell>
          <cell r="C164">
            <v>18</v>
          </cell>
          <cell r="D164">
            <v>14.27</v>
          </cell>
          <cell r="E164">
            <v>1.25</v>
          </cell>
          <cell r="F164">
            <v>0</v>
          </cell>
          <cell r="G164">
            <v>0</v>
          </cell>
          <cell r="H164">
            <v>0</v>
          </cell>
          <cell r="I164">
            <v>1.82</v>
          </cell>
          <cell r="J164">
            <v>11.53</v>
          </cell>
          <cell r="K164">
            <v>13.35</v>
          </cell>
          <cell r="L164">
            <v>0</v>
          </cell>
          <cell r="M164">
            <v>0</v>
          </cell>
          <cell r="N164">
            <v>0</v>
          </cell>
          <cell r="O164">
            <v>0</v>
          </cell>
          <cell r="P164">
            <v>6</v>
          </cell>
        </row>
        <row r="165">
          <cell r="B165">
            <v>40</v>
          </cell>
          <cell r="C165">
            <v>20</v>
          </cell>
          <cell r="D165">
            <v>15.09</v>
          </cell>
          <cell r="E165">
            <v>1.5</v>
          </cell>
          <cell r="F165">
            <v>0</v>
          </cell>
          <cell r="G165">
            <v>0</v>
          </cell>
          <cell r="H165">
            <v>0</v>
          </cell>
          <cell r="I165">
            <v>2.0299999999999998</v>
          </cell>
          <cell r="J165">
            <v>14.47</v>
          </cell>
          <cell r="K165">
            <v>16.5</v>
          </cell>
          <cell r="L165">
            <v>0</v>
          </cell>
          <cell r="M165">
            <v>0</v>
          </cell>
          <cell r="N165">
            <v>0</v>
          </cell>
          <cell r="O165">
            <v>0</v>
          </cell>
          <cell r="P165">
            <v>7</v>
          </cell>
        </row>
        <row r="166">
          <cell r="B166">
            <v>40</v>
          </cell>
          <cell r="C166">
            <v>24</v>
          </cell>
          <cell r="D166">
            <v>17.48</v>
          </cell>
          <cell r="E166">
            <v>1.5</v>
          </cell>
          <cell r="F166">
            <v>0</v>
          </cell>
          <cell r="G166">
            <v>0</v>
          </cell>
          <cell r="H166">
            <v>0</v>
          </cell>
          <cell r="I166">
            <v>2.4300000000000002</v>
          </cell>
          <cell r="J166">
            <v>24.57</v>
          </cell>
          <cell r="K166">
            <v>27</v>
          </cell>
          <cell r="L166">
            <v>0</v>
          </cell>
          <cell r="M166">
            <v>0</v>
          </cell>
          <cell r="N166">
            <v>0</v>
          </cell>
          <cell r="O166">
            <v>0</v>
          </cell>
          <cell r="P166">
            <v>8</v>
          </cell>
        </row>
        <row r="167">
          <cell r="B167">
            <v>40</v>
          </cell>
          <cell r="C167">
            <v>32</v>
          </cell>
          <cell r="D167">
            <v>17.48</v>
          </cell>
          <cell r="E167">
            <v>1.5</v>
          </cell>
          <cell r="F167">
            <v>0</v>
          </cell>
          <cell r="G167">
            <v>0</v>
          </cell>
          <cell r="H167">
            <v>0</v>
          </cell>
          <cell r="I167">
            <v>3.24</v>
          </cell>
          <cell r="J167">
            <v>31.26</v>
          </cell>
          <cell r="K167">
            <v>34.5</v>
          </cell>
          <cell r="L167">
            <v>0</v>
          </cell>
          <cell r="M167">
            <v>0</v>
          </cell>
          <cell r="N167">
            <v>0</v>
          </cell>
          <cell r="O167">
            <v>0</v>
          </cell>
          <cell r="P167">
            <v>11</v>
          </cell>
        </row>
        <row r="168">
          <cell r="B168">
            <v>40</v>
          </cell>
          <cell r="C168">
            <v>34</v>
          </cell>
          <cell r="D168">
            <v>17.48</v>
          </cell>
          <cell r="E168">
            <v>1.5</v>
          </cell>
          <cell r="F168">
            <v>0</v>
          </cell>
          <cell r="G168">
            <v>0</v>
          </cell>
          <cell r="H168">
            <v>0</v>
          </cell>
          <cell r="I168">
            <v>3.45</v>
          </cell>
          <cell r="J168">
            <v>34.049999999999997</v>
          </cell>
          <cell r="K168">
            <v>37.5</v>
          </cell>
          <cell r="L168">
            <v>0</v>
          </cell>
          <cell r="M168">
            <v>0</v>
          </cell>
          <cell r="N168">
            <v>0</v>
          </cell>
          <cell r="O168">
            <v>0</v>
          </cell>
          <cell r="P168">
            <v>12</v>
          </cell>
        </row>
        <row r="169">
          <cell r="B169">
            <v>40</v>
          </cell>
          <cell r="C169">
            <v>36</v>
          </cell>
          <cell r="D169">
            <v>19.05</v>
          </cell>
          <cell r="E169">
            <v>2</v>
          </cell>
          <cell r="F169">
            <v>0</v>
          </cell>
          <cell r="G169">
            <v>0</v>
          </cell>
          <cell r="H169">
            <v>0</v>
          </cell>
          <cell r="I169">
            <v>3.65</v>
          </cell>
          <cell r="J169">
            <v>41.34</v>
          </cell>
          <cell r="K169">
            <v>44.99</v>
          </cell>
          <cell r="L169">
            <v>0</v>
          </cell>
          <cell r="M169">
            <v>0</v>
          </cell>
          <cell r="N169">
            <v>0</v>
          </cell>
          <cell r="O169">
            <v>0</v>
          </cell>
          <cell r="P169">
            <v>12</v>
          </cell>
        </row>
        <row r="170">
          <cell r="B170" t="str">
            <v>40S</v>
          </cell>
          <cell r="C170">
            <v>0.125</v>
          </cell>
          <cell r="D170">
            <v>1.73</v>
          </cell>
          <cell r="E170">
            <v>1</v>
          </cell>
          <cell r="F170">
            <v>0</v>
          </cell>
          <cell r="G170">
            <v>0</v>
          </cell>
          <cell r="H170">
            <v>0</v>
          </cell>
          <cell r="I170">
            <v>7.0000000000000007E-2</v>
          </cell>
          <cell r="J170">
            <v>0</v>
          </cell>
          <cell r="K170">
            <v>7.0000000000000007E-2</v>
          </cell>
          <cell r="L170">
            <v>0</v>
          </cell>
          <cell r="M170">
            <v>0</v>
          </cell>
          <cell r="N170">
            <v>0</v>
          </cell>
          <cell r="O170">
            <v>0</v>
          </cell>
          <cell r="P170">
            <v>2</v>
          </cell>
        </row>
        <row r="171">
          <cell r="B171" t="str">
            <v>40S</v>
          </cell>
          <cell r="C171">
            <v>0.125</v>
          </cell>
          <cell r="D171">
            <v>1.73</v>
          </cell>
          <cell r="E171">
            <v>1</v>
          </cell>
          <cell r="F171">
            <v>0</v>
          </cell>
          <cell r="G171">
            <v>0</v>
          </cell>
          <cell r="H171">
            <v>0</v>
          </cell>
          <cell r="I171">
            <v>7.0000000000000007E-2</v>
          </cell>
          <cell r="J171">
            <v>0</v>
          </cell>
          <cell r="K171">
            <v>7.0000000000000007E-2</v>
          </cell>
          <cell r="L171">
            <v>0</v>
          </cell>
          <cell r="M171">
            <v>0</v>
          </cell>
          <cell r="N171">
            <v>0</v>
          </cell>
          <cell r="O171">
            <v>0</v>
          </cell>
          <cell r="P171">
            <v>2</v>
          </cell>
        </row>
        <row r="172">
          <cell r="B172" t="str">
            <v>40S</v>
          </cell>
          <cell r="C172">
            <v>0.125</v>
          </cell>
          <cell r="D172">
            <v>1.73</v>
          </cell>
          <cell r="E172">
            <v>1</v>
          </cell>
          <cell r="F172">
            <v>0</v>
          </cell>
          <cell r="G172">
            <v>0</v>
          </cell>
          <cell r="H172">
            <v>0</v>
          </cell>
          <cell r="I172">
            <v>7.0000000000000007E-2</v>
          </cell>
          <cell r="J172">
            <v>0</v>
          </cell>
          <cell r="K172">
            <v>7.0000000000000007E-2</v>
          </cell>
          <cell r="L172">
            <v>0</v>
          </cell>
          <cell r="M172">
            <v>0</v>
          </cell>
          <cell r="N172">
            <v>0</v>
          </cell>
          <cell r="O172">
            <v>0</v>
          </cell>
          <cell r="P172">
            <v>2</v>
          </cell>
        </row>
        <row r="173">
          <cell r="B173" t="str">
            <v>40S</v>
          </cell>
          <cell r="C173">
            <v>0.25</v>
          </cell>
          <cell r="D173">
            <v>2.2400000000000002</v>
          </cell>
          <cell r="E173">
            <v>1</v>
          </cell>
          <cell r="F173">
            <v>0</v>
          </cell>
          <cell r="G173">
            <v>0</v>
          </cell>
          <cell r="H173">
            <v>0</v>
          </cell>
          <cell r="I173">
            <v>7.0000000000000007E-2</v>
          </cell>
          <cell r="J173">
            <v>0</v>
          </cell>
          <cell r="K173">
            <v>7.0000000000000007E-2</v>
          </cell>
          <cell r="L173">
            <v>0</v>
          </cell>
          <cell r="M173">
            <v>0</v>
          </cell>
          <cell r="N173">
            <v>0</v>
          </cell>
          <cell r="O173">
            <v>0</v>
          </cell>
          <cell r="P173">
            <v>2</v>
          </cell>
        </row>
        <row r="174">
          <cell r="B174" t="str">
            <v>40S</v>
          </cell>
          <cell r="C174">
            <v>0.25</v>
          </cell>
          <cell r="D174">
            <v>2.2400000000000002</v>
          </cell>
          <cell r="E174">
            <v>1</v>
          </cell>
          <cell r="F174">
            <v>0</v>
          </cell>
          <cell r="G174">
            <v>0</v>
          </cell>
          <cell r="H174">
            <v>0</v>
          </cell>
          <cell r="I174">
            <v>7.0000000000000007E-2</v>
          </cell>
          <cell r="J174">
            <v>6.9999992847442627E-2</v>
          </cell>
          <cell r="K174">
            <v>7.0000000000000007E-2</v>
          </cell>
          <cell r="L174">
            <v>0</v>
          </cell>
          <cell r="M174">
            <v>0</v>
          </cell>
          <cell r="N174">
            <v>0</v>
          </cell>
          <cell r="O174">
            <v>0</v>
          </cell>
          <cell r="P174">
            <v>2</v>
          </cell>
        </row>
        <row r="175">
          <cell r="B175" t="str">
            <v>40S</v>
          </cell>
          <cell r="C175">
            <v>0.25</v>
          </cell>
          <cell r="D175">
            <v>2.2400000000000002</v>
          </cell>
          <cell r="E175">
            <v>1</v>
          </cell>
          <cell r="F175">
            <v>1</v>
          </cell>
          <cell r="G175">
            <v>1</v>
          </cell>
          <cell r="H175">
            <v>0</v>
          </cell>
          <cell r="I175">
            <v>7.0000000000000007E-2</v>
          </cell>
          <cell r="J175">
            <v>0</v>
          </cell>
          <cell r="K175">
            <v>7.0000000000000007E-2</v>
          </cell>
          <cell r="L175">
            <v>0</v>
          </cell>
          <cell r="M175">
            <v>0</v>
          </cell>
          <cell r="N175">
            <v>0</v>
          </cell>
          <cell r="O175">
            <v>0</v>
          </cell>
          <cell r="P175">
            <v>2</v>
          </cell>
        </row>
        <row r="176">
          <cell r="B176" t="str">
            <v>40S</v>
          </cell>
          <cell r="C176">
            <v>0.375</v>
          </cell>
          <cell r="D176">
            <v>2.31</v>
          </cell>
          <cell r="E176">
            <v>1</v>
          </cell>
          <cell r="F176">
            <v>0</v>
          </cell>
          <cell r="G176">
            <v>0</v>
          </cell>
          <cell r="H176">
            <v>0</v>
          </cell>
          <cell r="I176">
            <v>7.0000000000000007E-2</v>
          </cell>
          <cell r="J176">
            <v>0</v>
          </cell>
          <cell r="K176">
            <v>7.0000000000000007E-2</v>
          </cell>
          <cell r="L176">
            <v>0</v>
          </cell>
          <cell r="M176">
            <v>0</v>
          </cell>
          <cell r="N176">
            <v>0</v>
          </cell>
          <cell r="O176">
            <v>0</v>
          </cell>
          <cell r="P176">
            <v>2</v>
          </cell>
        </row>
        <row r="177">
          <cell r="B177" t="str">
            <v>40S</v>
          </cell>
          <cell r="C177">
            <v>0.375</v>
          </cell>
          <cell r="D177">
            <v>2.31</v>
          </cell>
          <cell r="E177">
            <v>1</v>
          </cell>
          <cell r="F177">
            <v>0</v>
          </cell>
          <cell r="G177">
            <v>0</v>
          </cell>
          <cell r="H177">
            <v>0</v>
          </cell>
          <cell r="I177">
            <v>7.0000000000000007E-2</v>
          </cell>
          <cell r="J177">
            <v>0</v>
          </cell>
          <cell r="K177">
            <v>7.0000000000000007E-2</v>
          </cell>
          <cell r="L177">
            <v>0</v>
          </cell>
          <cell r="M177">
            <v>0</v>
          </cell>
          <cell r="N177">
            <v>0</v>
          </cell>
          <cell r="O177">
            <v>0</v>
          </cell>
          <cell r="P177">
            <v>2</v>
          </cell>
        </row>
        <row r="178">
          <cell r="B178" t="str">
            <v>40S</v>
          </cell>
          <cell r="C178">
            <v>0.375</v>
          </cell>
          <cell r="D178">
            <v>2.31</v>
          </cell>
          <cell r="E178">
            <v>1</v>
          </cell>
          <cell r="F178">
            <v>0</v>
          </cell>
          <cell r="G178">
            <v>0</v>
          </cell>
          <cell r="H178">
            <v>0</v>
          </cell>
          <cell r="I178">
            <v>7.0000000000000007E-2</v>
          </cell>
          <cell r="J178">
            <v>0</v>
          </cell>
          <cell r="K178">
            <v>7.0000000000000007E-2</v>
          </cell>
          <cell r="L178">
            <v>0</v>
          </cell>
          <cell r="M178">
            <v>0</v>
          </cell>
          <cell r="N178">
            <v>0</v>
          </cell>
          <cell r="O178">
            <v>0</v>
          </cell>
          <cell r="P178">
            <v>2</v>
          </cell>
        </row>
        <row r="179">
          <cell r="B179" t="str">
            <v>40S</v>
          </cell>
          <cell r="C179">
            <v>0.5</v>
          </cell>
          <cell r="D179">
            <v>2.77</v>
          </cell>
          <cell r="E179">
            <v>1</v>
          </cell>
          <cell r="F179">
            <v>0</v>
          </cell>
          <cell r="G179">
            <v>0</v>
          </cell>
          <cell r="H179">
            <v>0</v>
          </cell>
          <cell r="I179">
            <v>7.0000000000000007E-2</v>
          </cell>
          <cell r="J179">
            <v>0</v>
          </cell>
          <cell r="K179">
            <v>7.0000000000000007E-2</v>
          </cell>
          <cell r="L179">
            <v>0</v>
          </cell>
          <cell r="M179">
            <v>0</v>
          </cell>
          <cell r="N179">
            <v>0</v>
          </cell>
          <cell r="O179">
            <v>0</v>
          </cell>
          <cell r="P179">
            <v>2</v>
          </cell>
        </row>
        <row r="180">
          <cell r="B180" t="str">
            <v>40S</v>
          </cell>
          <cell r="C180">
            <v>0.5</v>
          </cell>
          <cell r="D180">
            <v>2.77</v>
          </cell>
          <cell r="E180">
            <v>1</v>
          </cell>
          <cell r="F180">
            <v>0</v>
          </cell>
          <cell r="G180">
            <v>0</v>
          </cell>
          <cell r="H180">
            <v>0</v>
          </cell>
          <cell r="I180">
            <v>7.0000000000000007E-2</v>
          </cell>
          <cell r="J180">
            <v>0</v>
          </cell>
          <cell r="K180">
            <v>7.0000000000000007E-2</v>
          </cell>
          <cell r="L180">
            <v>0</v>
          </cell>
          <cell r="M180">
            <v>0</v>
          </cell>
          <cell r="N180">
            <v>0</v>
          </cell>
          <cell r="O180">
            <v>0</v>
          </cell>
          <cell r="P180">
            <v>2</v>
          </cell>
        </row>
        <row r="181">
          <cell r="B181" t="str">
            <v>40S</v>
          </cell>
          <cell r="C181">
            <v>0.5</v>
          </cell>
          <cell r="D181">
            <v>2.77</v>
          </cell>
          <cell r="E181">
            <v>1</v>
          </cell>
          <cell r="F181">
            <v>0</v>
          </cell>
          <cell r="G181">
            <v>0</v>
          </cell>
          <cell r="H181">
            <v>0</v>
          </cell>
          <cell r="I181">
            <v>7.0000000000000007E-2</v>
          </cell>
          <cell r="J181">
            <v>0</v>
          </cell>
          <cell r="K181">
            <v>7.0000000000000007E-2</v>
          </cell>
          <cell r="L181">
            <v>0</v>
          </cell>
          <cell r="M181">
            <v>0</v>
          </cell>
          <cell r="N181">
            <v>0</v>
          </cell>
          <cell r="O181">
            <v>0</v>
          </cell>
          <cell r="P181">
            <v>2</v>
          </cell>
        </row>
        <row r="182">
          <cell r="B182" t="str">
            <v>40S</v>
          </cell>
          <cell r="C182">
            <v>0.75</v>
          </cell>
          <cell r="D182">
            <v>2.87</v>
          </cell>
          <cell r="E182">
            <v>1</v>
          </cell>
          <cell r="F182">
            <v>0</v>
          </cell>
          <cell r="G182">
            <v>0</v>
          </cell>
          <cell r="H182">
            <v>0</v>
          </cell>
          <cell r="I182">
            <v>7.0000000000000007E-2</v>
          </cell>
          <cell r="J182">
            <v>0</v>
          </cell>
          <cell r="K182">
            <v>7.0000000000000007E-2</v>
          </cell>
          <cell r="L182">
            <v>0</v>
          </cell>
          <cell r="M182">
            <v>0</v>
          </cell>
          <cell r="N182">
            <v>0</v>
          </cell>
          <cell r="O182">
            <v>0</v>
          </cell>
          <cell r="P182">
            <v>2</v>
          </cell>
        </row>
        <row r="183">
          <cell r="B183" t="str">
            <v>40S</v>
          </cell>
          <cell r="C183">
            <v>0.75</v>
          </cell>
          <cell r="D183">
            <v>2.87</v>
          </cell>
          <cell r="E183">
            <v>1</v>
          </cell>
          <cell r="F183">
            <v>0</v>
          </cell>
          <cell r="G183">
            <v>0</v>
          </cell>
          <cell r="H183">
            <v>0</v>
          </cell>
          <cell r="I183">
            <v>7.0000000000000007E-2</v>
          </cell>
          <cell r="J183">
            <v>0</v>
          </cell>
          <cell r="K183">
            <v>7.0000000000000007E-2</v>
          </cell>
          <cell r="L183">
            <v>0</v>
          </cell>
          <cell r="M183">
            <v>0</v>
          </cell>
          <cell r="N183">
            <v>0</v>
          </cell>
          <cell r="O183">
            <v>0</v>
          </cell>
          <cell r="P183">
            <v>2</v>
          </cell>
        </row>
        <row r="184">
          <cell r="B184" t="str">
            <v>40S</v>
          </cell>
          <cell r="C184">
            <v>0.75</v>
          </cell>
          <cell r="D184">
            <v>2.87</v>
          </cell>
          <cell r="E184">
            <v>1</v>
          </cell>
          <cell r="F184">
            <v>0</v>
          </cell>
          <cell r="G184">
            <v>0</v>
          </cell>
          <cell r="H184">
            <v>0</v>
          </cell>
          <cell r="I184">
            <v>7.0000000000000007E-2</v>
          </cell>
          <cell r="J184">
            <v>0</v>
          </cell>
          <cell r="K184">
            <v>7.0000000000000007E-2</v>
          </cell>
          <cell r="L184">
            <v>0</v>
          </cell>
          <cell r="M184">
            <v>0</v>
          </cell>
          <cell r="N184">
            <v>0</v>
          </cell>
          <cell r="O184">
            <v>0</v>
          </cell>
          <cell r="P184">
            <v>2</v>
          </cell>
        </row>
        <row r="185">
          <cell r="B185" t="str">
            <v>40S</v>
          </cell>
          <cell r="C185">
            <v>1</v>
          </cell>
          <cell r="D185">
            <v>3.38</v>
          </cell>
          <cell r="E185">
            <v>1</v>
          </cell>
          <cell r="F185">
            <v>0</v>
          </cell>
          <cell r="G185">
            <v>0</v>
          </cell>
          <cell r="H185">
            <v>0</v>
          </cell>
          <cell r="I185">
            <v>0.12</v>
          </cell>
          <cell r="J185">
            <v>0</v>
          </cell>
          <cell r="K185">
            <v>0.12</v>
          </cell>
          <cell r="L185">
            <v>0</v>
          </cell>
          <cell r="M185">
            <v>0</v>
          </cell>
          <cell r="N185">
            <v>0</v>
          </cell>
          <cell r="O185">
            <v>0</v>
          </cell>
          <cell r="P185">
            <v>2</v>
          </cell>
        </row>
        <row r="186">
          <cell r="B186" t="str">
            <v>40S</v>
          </cell>
          <cell r="C186">
            <v>1</v>
          </cell>
          <cell r="D186">
            <v>3.38</v>
          </cell>
          <cell r="E186">
            <v>1</v>
          </cell>
          <cell r="F186">
            <v>0</v>
          </cell>
          <cell r="G186">
            <v>0</v>
          </cell>
          <cell r="H186">
            <v>0</v>
          </cell>
          <cell r="I186">
            <v>0.12</v>
          </cell>
          <cell r="J186">
            <v>0</v>
          </cell>
          <cell r="K186">
            <v>0.12</v>
          </cell>
          <cell r="L186">
            <v>0</v>
          </cell>
          <cell r="M186">
            <v>0</v>
          </cell>
          <cell r="N186">
            <v>0</v>
          </cell>
          <cell r="O186">
            <v>0</v>
          </cell>
          <cell r="P186">
            <v>2</v>
          </cell>
        </row>
        <row r="187">
          <cell r="B187" t="str">
            <v>40S</v>
          </cell>
          <cell r="C187">
            <v>1</v>
          </cell>
          <cell r="D187">
            <v>3.38</v>
          </cell>
          <cell r="E187">
            <v>1</v>
          </cell>
          <cell r="F187">
            <v>0</v>
          </cell>
          <cell r="G187">
            <v>0</v>
          </cell>
          <cell r="H187">
            <v>0</v>
          </cell>
          <cell r="I187">
            <v>0.12</v>
          </cell>
          <cell r="J187">
            <v>0</v>
          </cell>
          <cell r="K187">
            <v>0.12</v>
          </cell>
          <cell r="L187">
            <v>0</v>
          </cell>
          <cell r="M187">
            <v>0</v>
          </cell>
          <cell r="N187">
            <v>0</v>
          </cell>
          <cell r="O187">
            <v>0</v>
          </cell>
          <cell r="P187">
            <v>2</v>
          </cell>
        </row>
        <row r="188">
          <cell r="B188" t="str">
            <v>40S</v>
          </cell>
          <cell r="C188">
            <v>1.25</v>
          </cell>
          <cell r="D188">
            <v>3.56</v>
          </cell>
          <cell r="E188">
            <v>1</v>
          </cell>
          <cell r="F188">
            <v>0</v>
          </cell>
          <cell r="G188">
            <v>0</v>
          </cell>
          <cell r="H188">
            <v>0</v>
          </cell>
          <cell r="I188">
            <v>0.15</v>
          </cell>
          <cell r="J188">
            <v>0</v>
          </cell>
          <cell r="K188">
            <v>0.15</v>
          </cell>
          <cell r="L188">
            <v>0</v>
          </cell>
          <cell r="M188">
            <v>0</v>
          </cell>
          <cell r="N188">
            <v>0</v>
          </cell>
          <cell r="O188">
            <v>0</v>
          </cell>
          <cell r="P188">
            <v>2</v>
          </cell>
        </row>
        <row r="189">
          <cell r="B189" t="str">
            <v>40S</v>
          </cell>
          <cell r="C189">
            <v>1.25</v>
          </cell>
          <cell r="D189">
            <v>3.56</v>
          </cell>
          <cell r="E189">
            <v>1</v>
          </cell>
          <cell r="F189">
            <v>0</v>
          </cell>
          <cell r="G189">
            <v>0</v>
          </cell>
          <cell r="H189">
            <v>0</v>
          </cell>
          <cell r="I189">
            <v>0.15</v>
          </cell>
          <cell r="J189">
            <v>0</v>
          </cell>
          <cell r="K189">
            <v>0.15</v>
          </cell>
          <cell r="L189">
            <v>0</v>
          </cell>
          <cell r="M189">
            <v>0</v>
          </cell>
          <cell r="N189">
            <v>0</v>
          </cell>
          <cell r="O189">
            <v>0</v>
          </cell>
          <cell r="P189">
            <v>2</v>
          </cell>
        </row>
        <row r="190">
          <cell r="B190" t="str">
            <v>40S</v>
          </cell>
          <cell r="C190">
            <v>1.25</v>
          </cell>
          <cell r="D190">
            <v>3.56</v>
          </cell>
          <cell r="E190">
            <v>1</v>
          </cell>
          <cell r="F190">
            <v>0</v>
          </cell>
          <cell r="G190">
            <v>0</v>
          </cell>
          <cell r="H190">
            <v>0</v>
          </cell>
          <cell r="I190">
            <v>0.15</v>
          </cell>
          <cell r="J190">
            <v>8.42</v>
          </cell>
          <cell r="K190">
            <v>0.15</v>
          </cell>
          <cell r="L190">
            <v>0</v>
          </cell>
          <cell r="M190">
            <v>0</v>
          </cell>
          <cell r="N190">
            <v>0</v>
          </cell>
          <cell r="O190">
            <v>0</v>
          </cell>
          <cell r="P190">
            <v>2</v>
          </cell>
        </row>
        <row r="191">
          <cell r="B191" t="str">
            <v>40S</v>
          </cell>
          <cell r="C191">
            <v>1.5</v>
          </cell>
          <cell r="D191">
            <v>3.68</v>
          </cell>
          <cell r="E191">
            <v>1</v>
          </cell>
          <cell r="F191">
            <v>0</v>
          </cell>
          <cell r="G191">
            <v>0</v>
          </cell>
          <cell r="H191">
            <v>0</v>
          </cell>
          <cell r="I191">
            <v>0.15</v>
          </cell>
          <cell r="J191">
            <v>0</v>
          </cell>
          <cell r="K191">
            <v>0.15</v>
          </cell>
          <cell r="L191">
            <v>0</v>
          </cell>
          <cell r="M191">
            <v>0</v>
          </cell>
          <cell r="N191">
            <v>0</v>
          </cell>
          <cell r="O191">
            <v>0</v>
          </cell>
          <cell r="P191">
            <v>2</v>
          </cell>
        </row>
        <row r="192">
          <cell r="B192" t="str">
            <v>40S</v>
          </cell>
          <cell r="C192">
            <v>1.5</v>
          </cell>
          <cell r="D192">
            <v>3.68</v>
          </cell>
          <cell r="E192">
            <v>1</v>
          </cell>
          <cell r="F192">
            <v>0</v>
          </cell>
          <cell r="G192">
            <v>0</v>
          </cell>
          <cell r="H192">
            <v>0</v>
          </cell>
          <cell r="I192">
            <v>0.15</v>
          </cell>
          <cell r="J192">
            <v>0</v>
          </cell>
          <cell r="K192">
            <v>0.15</v>
          </cell>
          <cell r="L192">
            <v>0</v>
          </cell>
          <cell r="M192">
            <v>0</v>
          </cell>
          <cell r="N192">
            <v>0</v>
          </cell>
          <cell r="O192">
            <v>0</v>
          </cell>
          <cell r="P192">
            <v>2</v>
          </cell>
        </row>
        <row r="193">
          <cell r="B193" t="str">
            <v>40S</v>
          </cell>
          <cell r="C193">
            <v>1.5</v>
          </cell>
          <cell r="D193">
            <v>3.68</v>
          </cell>
          <cell r="E193">
            <v>1</v>
          </cell>
          <cell r="F193">
            <v>0</v>
          </cell>
          <cell r="G193">
            <v>0</v>
          </cell>
          <cell r="H193">
            <v>0</v>
          </cell>
          <cell r="I193">
            <v>0.15</v>
          </cell>
          <cell r="J193">
            <v>0</v>
          </cell>
          <cell r="K193">
            <v>0.15</v>
          </cell>
          <cell r="L193">
            <v>0</v>
          </cell>
          <cell r="M193">
            <v>0</v>
          </cell>
          <cell r="N193">
            <v>0</v>
          </cell>
          <cell r="O193">
            <v>0</v>
          </cell>
          <cell r="P193">
            <v>2</v>
          </cell>
        </row>
        <row r="194">
          <cell r="B194" t="str">
            <v>40S</v>
          </cell>
          <cell r="C194">
            <v>2</v>
          </cell>
          <cell r="D194">
            <v>3.91</v>
          </cell>
          <cell r="E194">
            <v>1</v>
          </cell>
          <cell r="F194">
            <v>0</v>
          </cell>
          <cell r="G194">
            <v>0</v>
          </cell>
          <cell r="H194">
            <v>0</v>
          </cell>
          <cell r="I194">
            <v>0.3</v>
          </cell>
          <cell r="J194">
            <v>0</v>
          </cell>
          <cell r="K194">
            <v>0.3</v>
          </cell>
          <cell r="L194">
            <v>0</v>
          </cell>
          <cell r="M194">
            <v>0</v>
          </cell>
          <cell r="N194">
            <v>0</v>
          </cell>
          <cell r="O194">
            <v>0</v>
          </cell>
          <cell r="P194">
            <v>2</v>
          </cell>
        </row>
        <row r="195">
          <cell r="B195" t="str">
            <v>40S</v>
          </cell>
          <cell r="C195">
            <v>2</v>
          </cell>
          <cell r="D195">
            <v>3.91</v>
          </cell>
          <cell r="E195">
            <v>1</v>
          </cell>
          <cell r="F195">
            <v>0</v>
          </cell>
          <cell r="G195">
            <v>0</v>
          </cell>
          <cell r="H195">
            <v>0</v>
          </cell>
          <cell r="I195">
            <v>0.3</v>
          </cell>
          <cell r="J195">
            <v>0</v>
          </cell>
          <cell r="K195">
            <v>0.3</v>
          </cell>
          <cell r="L195">
            <v>2</v>
          </cell>
          <cell r="M195">
            <v>2</v>
          </cell>
          <cell r="N195">
            <v>4.1166770151461775E-312</v>
          </cell>
          <cell r="O195" t="str">
            <v>40S</v>
          </cell>
          <cell r="P195">
            <v>2</v>
          </cell>
          <cell r="Q195">
            <v>3.9099923706054689</v>
          </cell>
          <cell r="R195">
            <v>1</v>
          </cell>
        </row>
        <row r="196">
          <cell r="B196" t="str">
            <v>40S</v>
          </cell>
          <cell r="C196">
            <v>2</v>
          </cell>
          <cell r="D196">
            <v>3.91</v>
          </cell>
          <cell r="E196">
            <v>1</v>
          </cell>
          <cell r="F196">
            <v>0</v>
          </cell>
          <cell r="G196">
            <v>0</v>
          </cell>
          <cell r="H196">
            <v>0</v>
          </cell>
          <cell r="I196">
            <v>0.3</v>
          </cell>
          <cell r="J196">
            <v>0</v>
          </cell>
          <cell r="K196">
            <v>0.3</v>
          </cell>
          <cell r="L196">
            <v>0</v>
          </cell>
          <cell r="M196">
            <v>0</v>
          </cell>
          <cell r="N196">
            <v>0</v>
          </cell>
          <cell r="O196">
            <v>0</v>
          </cell>
          <cell r="P196">
            <v>2</v>
          </cell>
        </row>
        <row r="197">
          <cell r="B197" t="str">
            <v>40S</v>
          </cell>
          <cell r="C197">
            <v>2.5</v>
          </cell>
          <cell r="D197">
            <v>5.16</v>
          </cell>
          <cell r="E197">
            <v>1</v>
          </cell>
          <cell r="F197">
            <v>0</v>
          </cell>
          <cell r="G197">
            <v>0</v>
          </cell>
          <cell r="H197">
            <v>0</v>
          </cell>
          <cell r="I197">
            <v>0.25</v>
          </cell>
          <cell r="J197">
            <v>0.2</v>
          </cell>
          <cell r="K197">
            <v>0.45</v>
          </cell>
          <cell r="L197">
            <v>0</v>
          </cell>
          <cell r="M197">
            <v>0</v>
          </cell>
          <cell r="N197">
            <v>0</v>
          </cell>
          <cell r="O197">
            <v>0</v>
          </cell>
          <cell r="P197">
            <v>2</v>
          </cell>
        </row>
        <row r="198">
          <cell r="B198" t="str">
            <v>40S</v>
          </cell>
          <cell r="C198">
            <v>3</v>
          </cell>
          <cell r="D198">
            <v>5.49</v>
          </cell>
          <cell r="E198">
            <v>1</v>
          </cell>
          <cell r="F198">
            <v>0</v>
          </cell>
          <cell r="G198">
            <v>0</v>
          </cell>
          <cell r="H198">
            <v>0</v>
          </cell>
          <cell r="I198">
            <v>0.3</v>
          </cell>
          <cell r="J198">
            <v>0.3</v>
          </cell>
          <cell r="K198">
            <v>0.6</v>
          </cell>
          <cell r="L198">
            <v>0</v>
          </cell>
          <cell r="M198">
            <v>0</v>
          </cell>
          <cell r="N198">
            <v>0</v>
          </cell>
          <cell r="O198">
            <v>0</v>
          </cell>
          <cell r="P198">
            <v>2</v>
          </cell>
        </row>
        <row r="199">
          <cell r="B199" t="str">
            <v>40S</v>
          </cell>
          <cell r="C199">
            <v>3.5</v>
          </cell>
          <cell r="D199">
            <v>5.74</v>
          </cell>
          <cell r="E199">
            <v>1</v>
          </cell>
          <cell r="F199">
            <v>0</v>
          </cell>
          <cell r="G199">
            <v>0</v>
          </cell>
          <cell r="H199">
            <v>0</v>
          </cell>
          <cell r="I199">
            <v>0.35</v>
          </cell>
          <cell r="J199">
            <v>0.4</v>
          </cell>
          <cell r="K199">
            <v>0.75</v>
          </cell>
          <cell r="L199">
            <v>0</v>
          </cell>
          <cell r="M199">
            <v>0</v>
          </cell>
          <cell r="N199">
            <v>0</v>
          </cell>
          <cell r="O199">
            <v>0</v>
          </cell>
          <cell r="P199">
            <v>3</v>
          </cell>
        </row>
        <row r="200">
          <cell r="B200" t="str">
            <v>40S</v>
          </cell>
          <cell r="C200">
            <v>4</v>
          </cell>
          <cell r="D200">
            <v>6.02</v>
          </cell>
          <cell r="E200">
            <v>1</v>
          </cell>
          <cell r="F200">
            <v>0</v>
          </cell>
          <cell r="G200">
            <v>0</v>
          </cell>
          <cell r="H200">
            <v>0</v>
          </cell>
          <cell r="I200">
            <v>0.41</v>
          </cell>
          <cell r="J200">
            <v>0.49</v>
          </cell>
          <cell r="K200">
            <v>0.89999999999999991</v>
          </cell>
          <cell r="L200">
            <v>0</v>
          </cell>
          <cell r="M200">
            <v>0</v>
          </cell>
          <cell r="N200">
            <v>0</v>
          </cell>
          <cell r="O200">
            <v>0</v>
          </cell>
          <cell r="P200">
            <v>3</v>
          </cell>
        </row>
        <row r="201">
          <cell r="B201" t="str">
            <v>40S</v>
          </cell>
          <cell r="C201">
            <v>5</v>
          </cell>
          <cell r="D201">
            <v>6.55</v>
          </cell>
          <cell r="E201">
            <v>1</v>
          </cell>
          <cell r="F201">
            <v>0</v>
          </cell>
          <cell r="G201">
            <v>0</v>
          </cell>
          <cell r="H201">
            <v>0</v>
          </cell>
          <cell r="I201">
            <v>0.51</v>
          </cell>
          <cell r="J201">
            <v>0.54</v>
          </cell>
          <cell r="K201">
            <v>1.05</v>
          </cell>
          <cell r="L201">
            <v>0</v>
          </cell>
          <cell r="M201">
            <v>0</v>
          </cell>
          <cell r="N201">
            <v>0</v>
          </cell>
          <cell r="O201">
            <v>0</v>
          </cell>
          <cell r="P201">
            <v>4</v>
          </cell>
        </row>
        <row r="202">
          <cell r="B202" t="str">
            <v>40S</v>
          </cell>
          <cell r="C202">
            <v>6</v>
          </cell>
          <cell r="D202">
            <v>7.11</v>
          </cell>
          <cell r="E202">
            <v>1</v>
          </cell>
          <cell r="F202">
            <v>0</v>
          </cell>
          <cell r="G202">
            <v>0</v>
          </cell>
          <cell r="H202">
            <v>0</v>
          </cell>
          <cell r="I202">
            <v>0.61</v>
          </cell>
          <cell r="J202">
            <v>1.04</v>
          </cell>
          <cell r="K202">
            <v>1.65</v>
          </cell>
          <cell r="L202">
            <v>0</v>
          </cell>
          <cell r="M202">
            <v>0</v>
          </cell>
          <cell r="N202">
            <v>0</v>
          </cell>
          <cell r="O202">
            <v>0</v>
          </cell>
          <cell r="P202">
            <v>4</v>
          </cell>
        </row>
        <row r="203">
          <cell r="B203" t="str">
            <v>40S</v>
          </cell>
          <cell r="C203">
            <v>8</v>
          </cell>
          <cell r="D203">
            <v>8.18</v>
          </cell>
          <cell r="E203">
            <v>1</v>
          </cell>
          <cell r="F203">
            <v>0</v>
          </cell>
          <cell r="G203">
            <v>0</v>
          </cell>
          <cell r="H203">
            <v>0</v>
          </cell>
          <cell r="I203">
            <v>0.81</v>
          </cell>
          <cell r="J203">
            <v>1.73</v>
          </cell>
          <cell r="K203">
            <v>2.54</v>
          </cell>
          <cell r="L203">
            <v>0</v>
          </cell>
          <cell r="M203">
            <v>0</v>
          </cell>
          <cell r="N203">
            <v>0</v>
          </cell>
          <cell r="O203">
            <v>0</v>
          </cell>
          <cell r="P203">
            <v>4</v>
          </cell>
        </row>
        <row r="204">
          <cell r="B204" t="str">
            <v>40S</v>
          </cell>
          <cell r="C204">
            <v>10</v>
          </cell>
          <cell r="D204">
            <v>9.27</v>
          </cell>
          <cell r="E204">
            <v>1</v>
          </cell>
          <cell r="F204">
            <v>0</v>
          </cell>
          <cell r="G204">
            <v>0</v>
          </cell>
          <cell r="H204">
            <v>0</v>
          </cell>
          <cell r="I204">
            <v>1.01</v>
          </cell>
          <cell r="J204">
            <v>3.04</v>
          </cell>
          <cell r="K204">
            <v>4.05</v>
          </cell>
          <cell r="L204">
            <v>0</v>
          </cell>
          <cell r="M204">
            <v>0</v>
          </cell>
          <cell r="N204">
            <v>0</v>
          </cell>
          <cell r="O204">
            <v>0</v>
          </cell>
          <cell r="P204">
            <v>4</v>
          </cell>
        </row>
        <row r="205">
          <cell r="B205" t="str">
            <v>40S</v>
          </cell>
          <cell r="C205">
            <v>12</v>
          </cell>
          <cell r="D205">
            <v>9.5299999999999994</v>
          </cell>
          <cell r="E205">
            <v>1</v>
          </cell>
          <cell r="F205">
            <v>0</v>
          </cell>
          <cell r="G205">
            <v>0</v>
          </cell>
          <cell r="H205">
            <v>0</v>
          </cell>
          <cell r="I205">
            <v>1.22</v>
          </cell>
          <cell r="J205">
            <v>3.28</v>
          </cell>
          <cell r="K205">
            <v>4.5</v>
          </cell>
          <cell r="L205">
            <v>0</v>
          </cell>
          <cell r="M205">
            <v>0</v>
          </cell>
          <cell r="N205">
            <v>0</v>
          </cell>
          <cell r="O205">
            <v>0</v>
          </cell>
          <cell r="P205">
            <v>6</v>
          </cell>
        </row>
        <row r="206">
          <cell r="B206">
            <v>60</v>
          </cell>
          <cell r="C206">
            <v>8</v>
          </cell>
          <cell r="D206">
            <v>10.31</v>
          </cell>
          <cell r="E206">
            <v>1.25</v>
          </cell>
          <cell r="F206">
            <v>0</v>
          </cell>
          <cell r="G206">
            <v>0</v>
          </cell>
          <cell r="H206">
            <v>0</v>
          </cell>
          <cell r="I206">
            <v>0.81</v>
          </cell>
          <cell r="J206">
            <v>2.64</v>
          </cell>
          <cell r="K206">
            <v>3.45</v>
          </cell>
          <cell r="L206">
            <v>0</v>
          </cell>
          <cell r="M206">
            <v>0</v>
          </cell>
          <cell r="N206">
            <v>0</v>
          </cell>
          <cell r="O206">
            <v>0</v>
          </cell>
          <cell r="P206">
            <v>4</v>
          </cell>
        </row>
        <row r="207">
          <cell r="B207">
            <v>60</v>
          </cell>
          <cell r="C207">
            <v>10</v>
          </cell>
          <cell r="D207">
            <v>12.7</v>
          </cell>
          <cell r="E207">
            <v>1.25</v>
          </cell>
          <cell r="F207">
            <v>0</v>
          </cell>
          <cell r="G207">
            <v>0</v>
          </cell>
          <cell r="H207">
            <v>0</v>
          </cell>
          <cell r="I207">
            <v>1.01</v>
          </cell>
          <cell r="J207">
            <v>5.74</v>
          </cell>
          <cell r="K207">
            <v>6.75</v>
          </cell>
          <cell r="L207">
            <v>0</v>
          </cell>
          <cell r="M207">
            <v>0</v>
          </cell>
          <cell r="N207">
            <v>0</v>
          </cell>
          <cell r="O207">
            <v>0</v>
          </cell>
          <cell r="P207">
            <v>4</v>
          </cell>
        </row>
        <row r="208">
          <cell r="B208">
            <v>60</v>
          </cell>
          <cell r="C208">
            <v>12</v>
          </cell>
          <cell r="D208">
            <v>14.27</v>
          </cell>
          <cell r="E208">
            <v>1.25</v>
          </cell>
          <cell r="F208">
            <v>0</v>
          </cell>
          <cell r="G208">
            <v>0</v>
          </cell>
          <cell r="H208">
            <v>0</v>
          </cell>
          <cell r="I208">
            <v>1.22</v>
          </cell>
          <cell r="J208">
            <v>8.3800000000000008</v>
          </cell>
          <cell r="K208">
            <v>9.6000000000000014</v>
          </cell>
          <cell r="L208">
            <v>0</v>
          </cell>
          <cell r="M208">
            <v>0</v>
          </cell>
          <cell r="N208">
            <v>0</v>
          </cell>
          <cell r="O208">
            <v>0</v>
          </cell>
          <cell r="P208">
            <v>6</v>
          </cell>
        </row>
        <row r="209">
          <cell r="B209">
            <v>60</v>
          </cell>
          <cell r="C209">
            <v>14</v>
          </cell>
          <cell r="D209">
            <v>15.09</v>
          </cell>
          <cell r="E209">
            <v>1.5</v>
          </cell>
          <cell r="F209">
            <v>0</v>
          </cell>
          <cell r="G209">
            <v>0</v>
          </cell>
          <cell r="H209">
            <v>0</v>
          </cell>
          <cell r="I209">
            <v>1.42</v>
          </cell>
          <cell r="J209">
            <v>9.9700000000000006</v>
          </cell>
          <cell r="K209">
            <v>11.39</v>
          </cell>
          <cell r="L209">
            <v>0</v>
          </cell>
          <cell r="M209">
            <v>0</v>
          </cell>
          <cell r="N209">
            <v>0</v>
          </cell>
          <cell r="O209">
            <v>0</v>
          </cell>
          <cell r="P209">
            <v>6</v>
          </cell>
        </row>
        <row r="210">
          <cell r="B210">
            <v>60</v>
          </cell>
          <cell r="C210">
            <v>16</v>
          </cell>
          <cell r="D210">
            <v>16.66</v>
          </cell>
          <cell r="E210">
            <v>1.5</v>
          </cell>
          <cell r="F210">
            <v>0</v>
          </cell>
          <cell r="G210">
            <v>0</v>
          </cell>
          <cell r="H210">
            <v>0</v>
          </cell>
          <cell r="I210">
            <v>1.62</v>
          </cell>
          <cell r="J210">
            <v>14.88</v>
          </cell>
          <cell r="K210">
            <v>16.5</v>
          </cell>
          <cell r="L210">
            <v>0</v>
          </cell>
          <cell r="M210">
            <v>0</v>
          </cell>
          <cell r="N210">
            <v>0</v>
          </cell>
          <cell r="O210">
            <v>0</v>
          </cell>
          <cell r="P210">
            <v>6</v>
          </cell>
        </row>
        <row r="211">
          <cell r="B211">
            <v>60</v>
          </cell>
          <cell r="C211">
            <v>18</v>
          </cell>
          <cell r="D211">
            <v>19.05</v>
          </cell>
          <cell r="E211">
            <v>2</v>
          </cell>
          <cell r="F211">
            <v>0</v>
          </cell>
          <cell r="G211">
            <v>0</v>
          </cell>
          <cell r="H211">
            <v>0</v>
          </cell>
          <cell r="I211">
            <v>1.82</v>
          </cell>
          <cell r="J211">
            <v>20.67</v>
          </cell>
          <cell r="K211">
            <v>22.490000000000002</v>
          </cell>
          <cell r="L211">
            <v>0</v>
          </cell>
          <cell r="M211">
            <v>0</v>
          </cell>
          <cell r="N211">
            <v>0</v>
          </cell>
          <cell r="O211">
            <v>0</v>
          </cell>
          <cell r="P211">
            <v>6</v>
          </cell>
        </row>
        <row r="212">
          <cell r="B212">
            <v>60</v>
          </cell>
          <cell r="C212">
            <v>20</v>
          </cell>
          <cell r="D212">
            <v>20.62</v>
          </cell>
          <cell r="E212">
            <v>2</v>
          </cell>
          <cell r="F212">
            <v>0</v>
          </cell>
          <cell r="G212">
            <v>0</v>
          </cell>
          <cell r="H212">
            <v>0</v>
          </cell>
          <cell r="I212">
            <v>2.0299999999999998</v>
          </cell>
          <cell r="J212">
            <v>23.47</v>
          </cell>
          <cell r="K212">
            <v>25.5</v>
          </cell>
          <cell r="L212">
            <v>0</v>
          </cell>
          <cell r="M212">
            <v>0</v>
          </cell>
          <cell r="N212">
            <v>0</v>
          </cell>
          <cell r="O212">
            <v>0</v>
          </cell>
          <cell r="P212">
            <v>7</v>
          </cell>
        </row>
        <row r="213">
          <cell r="B213">
            <v>60</v>
          </cell>
          <cell r="C213">
            <v>22</v>
          </cell>
          <cell r="D213">
            <v>22.23</v>
          </cell>
          <cell r="E213">
            <v>2</v>
          </cell>
          <cell r="F213">
            <v>0</v>
          </cell>
          <cell r="G213">
            <v>0</v>
          </cell>
          <cell r="H213">
            <v>0</v>
          </cell>
          <cell r="I213">
            <v>2.23</v>
          </cell>
          <cell r="J213">
            <v>29.27</v>
          </cell>
          <cell r="K213">
            <v>31.5</v>
          </cell>
          <cell r="L213">
            <v>0</v>
          </cell>
          <cell r="M213">
            <v>0</v>
          </cell>
          <cell r="N213">
            <v>0</v>
          </cell>
          <cell r="O213">
            <v>0</v>
          </cell>
          <cell r="P213">
            <v>8</v>
          </cell>
        </row>
        <row r="214">
          <cell r="B214">
            <v>60</v>
          </cell>
          <cell r="C214">
            <v>24</v>
          </cell>
          <cell r="D214">
            <v>24.61</v>
          </cell>
          <cell r="E214">
            <v>2</v>
          </cell>
          <cell r="F214">
            <v>0</v>
          </cell>
          <cell r="G214">
            <v>0</v>
          </cell>
          <cell r="H214">
            <v>0</v>
          </cell>
          <cell r="I214">
            <v>2.4300000000000002</v>
          </cell>
          <cell r="J214">
            <v>35.07</v>
          </cell>
          <cell r="K214">
            <v>37.5</v>
          </cell>
          <cell r="L214">
            <v>0</v>
          </cell>
          <cell r="M214">
            <v>0</v>
          </cell>
          <cell r="N214">
            <v>0</v>
          </cell>
          <cell r="O214">
            <v>0</v>
          </cell>
          <cell r="P214">
            <v>8</v>
          </cell>
          <cell r="Q214">
            <v>8</v>
          </cell>
          <cell r="R214">
            <v>4.5198562154295792E-312</v>
          </cell>
        </row>
        <row r="215">
          <cell r="B215">
            <v>80</v>
          </cell>
          <cell r="C215">
            <v>0.125</v>
          </cell>
          <cell r="D215">
            <v>2.41</v>
          </cell>
          <cell r="E215">
            <v>1</v>
          </cell>
          <cell r="F215">
            <v>0</v>
          </cell>
          <cell r="G215">
            <v>0</v>
          </cell>
          <cell r="H215">
            <v>0</v>
          </cell>
          <cell r="I215">
            <v>7.0000000000000007E-2</v>
          </cell>
          <cell r="J215">
            <v>0</v>
          </cell>
          <cell r="K215">
            <v>7.0000000000000007E-2</v>
          </cell>
          <cell r="L215">
            <v>0</v>
          </cell>
          <cell r="M215">
            <v>0</v>
          </cell>
          <cell r="N215">
            <v>0</v>
          </cell>
          <cell r="O215">
            <v>0</v>
          </cell>
          <cell r="P215">
            <v>2</v>
          </cell>
        </row>
        <row r="216">
          <cell r="B216">
            <v>80</v>
          </cell>
          <cell r="C216">
            <v>0.125</v>
          </cell>
          <cell r="D216">
            <v>2.41</v>
          </cell>
          <cell r="E216">
            <v>1</v>
          </cell>
          <cell r="F216">
            <v>0</v>
          </cell>
          <cell r="G216">
            <v>0</v>
          </cell>
          <cell r="H216">
            <v>0</v>
          </cell>
          <cell r="I216">
            <v>7.0000000000000007E-2</v>
          </cell>
          <cell r="J216">
            <v>0</v>
          </cell>
          <cell r="K216">
            <v>7.0000000000000007E-2</v>
          </cell>
          <cell r="L216">
            <v>0</v>
          </cell>
          <cell r="M216">
            <v>0</v>
          </cell>
          <cell r="N216">
            <v>0</v>
          </cell>
          <cell r="O216">
            <v>0</v>
          </cell>
          <cell r="P216">
            <v>2</v>
          </cell>
        </row>
        <row r="217">
          <cell r="B217">
            <v>80</v>
          </cell>
          <cell r="C217">
            <v>0.125</v>
          </cell>
          <cell r="D217">
            <v>2.41</v>
          </cell>
          <cell r="E217">
            <v>1</v>
          </cell>
          <cell r="F217">
            <v>0</v>
          </cell>
          <cell r="G217">
            <v>0</v>
          </cell>
          <cell r="H217">
            <v>0</v>
          </cell>
          <cell r="I217">
            <v>7.0000000000000007E-2</v>
          </cell>
          <cell r="J217">
            <v>0</v>
          </cell>
          <cell r="K217">
            <v>7.0000000000000007E-2</v>
          </cell>
          <cell r="L217">
            <v>0</v>
          </cell>
          <cell r="M217">
            <v>0</v>
          </cell>
          <cell r="N217">
            <v>0</v>
          </cell>
          <cell r="O217">
            <v>0</v>
          </cell>
          <cell r="P217">
            <v>2</v>
          </cell>
        </row>
        <row r="218">
          <cell r="B218">
            <v>80</v>
          </cell>
          <cell r="C218">
            <v>0.25</v>
          </cell>
          <cell r="D218">
            <v>3.02</v>
          </cell>
          <cell r="E218">
            <v>1</v>
          </cell>
          <cell r="F218">
            <v>0</v>
          </cell>
          <cell r="G218">
            <v>0</v>
          </cell>
          <cell r="H218">
            <v>0</v>
          </cell>
          <cell r="I218">
            <v>7.0000000000000007E-2</v>
          </cell>
          <cell r="J218">
            <v>0</v>
          </cell>
          <cell r="K218">
            <v>7.0000000000000007E-2</v>
          </cell>
          <cell r="L218">
            <v>0</v>
          </cell>
          <cell r="M218">
            <v>0</v>
          </cell>
          <cell r="N218">
            <v>0</v>
          </cell>
          <cell r="O218">
            <v>0</v>
          </cell>
          <cell r="P218">
            <v>2</v>
          </cell>
        </row>
        <row r="219">
          <cell r="B219">
            <v>80</v>
          </cell>
          <cell r="C219">
            <v>0.25</v>
          </cell>
          <cell r="D219">
            <v>3.02</v>
          </cell>
          <cell r="E219">
            <v>1</v>
          </cell>
          <cell r="F219">
            <v>0</v>
          </cell>
          <cell r="G219">
            <v>0</v>
          </cell>
          <cell r="H219">
            <v>0</v>
          </cell>
          <cell r="I219">
            <v>7.0000000000000007E-2</v>
          </cell>
          <cell r="J219">
            <v>0</v>
          </cell>
          <cell r="K219">
            <v>7.0000000000000007E-2</v>
          </cell>
          <cell r="L219">
            <v>0</v>
          </cell>
          <cell r="M219">
            <v>0</v>
          </cell>
          <cell r="N219">
            <v>0</v>
          </cell>
          <cell r="O219">
            <v>0</v>
          </cell>
          <cell r="P219">
            <v>2</v>
          </cell>
        </row>
        <row r="220">
          <cell r="B220">
            <v>80</v>
          </cell>
          <cell r="C220">
            <v>0.25</v>
          </cell>
          <cell r="D220">
            <v>3.02</v>
          </cell>
          <cell r="E220">
            <v>1</v>
          </cell>
          <cell r="F220">
            <v>0</v>
          </cell>
          <cell r="G220">
            <v>0</v>
          </cell>
          <cell r="H220">
            <v>0</v>
          </cell>
          <cell r="I220">
            <v>7.0000000000000007E-2</v>
          </cell>
          <cell r="J220">
            <v>0</v>
          </cell>
          <cell r="K220">
            <v>7.0000000000000007E-2</v>
          </cell>
          <cell r="L220">
            <v>0</v>
          </cell>
          <cell r="M220">
            <v>0</v>
          </cell>
          <cell r="N220">
            <v>0</v>
          </cell>
          <cell r="O220">
            <v>0</v>
          </cell>
          <cell r="P220">
            <v>2</v>
          </cell>
        </row>
        <row r="221">
          <cell r="B221">
            <v>80</v>
          </cell>
          <cell r="C221">
            <v>0.375</v>
          </cell>
          <cell r="D221">
            <v>3.2</v>
          </cell>
          <cell r="E221">
            <v>1</v>
          </cell>
          <cell r="F221">
            <v>0</v>
          </cell>
          <cell r="G221">
            <v>0</v>
          </cell>
          <cell r="H221">
            <v>0</v>
          </cell>
          <cell r="I221">
            <v>7.0000000000000007E-2</v>
          </cell>
          <cell r="J221">
            <v>0</v>
          </cell>
          <cell r="K221">
            <v>7.0000000000000007E-2</v>
          </cell>
          <cell r="L221">
            <v>0</v>
          </cell>
          <cell r="M221">
            <v>0</v>
          </cell>
          <cell r="N221">
            <v>0</v>
          </cell>
          <cell r="O221">
            <v>0</v>
          </cell>
          <cell r="P221">
            <v>2</v>
          </cell>
        </row>
        <row r="222">
          <cell r="B222">
            <v>80</v>
          </cell>
          <cell r="C222">
            <v>0.375</v>
          </cell>
          <cell r="D222">
            <v>3.2</v>
          </cell>
          <cell r="E222">
            <v>1</v>
          </cell>
          <cell r="F222">
            <v>0</v>
          </cell>
          <cell r="G222">
            <v>0</v>
          </cell>
          <cell r="H222">
            <v>0</v>
          </cell>
          <cell r="I222">
            <v>7.0000000000000007E-2</v>
          </cell>
          <cell r="J222">
            <v>0</v>
          </cell>
          <cell r="K222">
            <v>7.0000000000000007E-2</v>
          </cell>
          <cell r="L222">
            <v>0</v>
          </cell>
          <cell r="M222">
            <v>0</v>
          </cell>
          <cell r="N222">
            <v>0</v>
          </cell>
          <cell r="O222">
            <v>0</v>
          </cell>
          <cell r="P222">
            <v>2</v>
          </cell>
        </row>
        <row r="223">
          <cell r="B223">
            <v>80</v>
          </cell>
          <cell r="C223">
            <v>0.375</v>
          </cell>
          <cell r="D223">
            <v>3.2</v>
          </cell>
          <cell r="E223">
            <v>1</v>
          </cell>
          <cell r="F223">
            <v>1</v>
          </cell>
          <cell r="G223">
            <v>1</v>
          </cell>
          <cell r="H223">
            <v>1</v>
          </cell>
          <cell r="I223">
            <v>7.0000000000000007E-2</v>
          </cell>
          <cell r="J223">
            <v>0</v>
          </cell>
          <cell r="K223">
            <v>7.0000000000000007E-2</v>
          </cell>
          <cell r="L223">
            <v>2.12451171875</v>
          </cell>
          <cell r="M223">
            <v>2.12451171875</v>
          </cell>
          <cell r="N223">
            <v>4.7320557945261064E-312</v>
          </cell>
          <cell r="O223">
            <v>80</v>
          </cell>
          <cell r="P223">
            <v>2</v>
          </cell>
          <cell r="Q223">
            <v>3.73</v>
          </cell>
          <cell r="R223">
            <v>1</v>
          </cell>
        </row>
        <row r="224">
          <cell r="B224">
            <v>80</v>
          </cell>
          <cell r="C224">
            <v>0.5</v>
          </cell>
          <cell r="D224">
            <v>3.73</v>
          </cell>
          <cell r="E224">
            <v>1</v>
          </cell>
          <cell r="F224">
            <v>0</v>
          </cell>
          <cell r="G224">
            <v>0</v>
          </cell>
          <cell r="H224">
            <v>0</v>
          </cell>
          <cell r="I224">
            <v>7.0000000000000007E-2</v>
          </cell>
          <cell r="J224">
            <v>0</v>
          </cell>
          <cell r="K224">
            <v>7.0000000000000007E-2</v>
          </cell>
          <cell r="L224">
            <v>0</v>
          </cell>
          <cell r="M224">
            <v>0</v>
          </cell>
          <cell r="N224">
            <v>0</v>
          </cell>
          <cell r="O224">
            <v>0</v>
          </cell>
          <cell r="P224">
            <v>2</v>
          </cell>
        </row>
        <row r="225">
          <cell r="B225">
            <v>80</v>
          </cell>
          <cell r="C225">
            <v>0.5</v>
          </cell>
          <cell r="D225">
            <v>3.73</v>
          </cell>
          <cell r="E225">
            <v>1</v>
          </cell>
          <cell r="F225">
            <v>0</v>
          </cell>
          <cell r="G225">
            <v>0</v>
          </cell>
          <cell r="H225">
            <v>0</v>
          </cell>
          <cell r="I225">
            <v>7.0000000000000007E-2</v>
          </cell>
          <cell r="J225">
            <v>0</v>
          </cell>
          <cell r="K225">
            <v>7.0000000000000007E-2</v>
          </cell>
          <cell r="L225">
            <v>0</v>
          </cell>
          <cell r="M225">
            <v>0</v>
          </cell>
          <cell r="N225">
            <v>0</v>
          </cell>
          <cell r="O225">
            <v>0</v>
          </cell>
          <cell r="P225">
            <v>2</v>
          </cell>
        </row>
        <row r="226">
          <cell r="B226">
            <v>80</v>
          </cell>
          <cell r="C226">
            <v>0.5</v>
          </cell>
          <cell r="D226">
            <v>3.73</v>
          </cell>
          <cell r="E226">
            <v>1</v>
          </cell>
          <cell r="F226">
            <v>0</v>
          </cell>
          <cell r="G226">
            <v>0</v>
          </cell>
          <cell r="H226">
            <v>0</v>
          </cell>
          <cell r="I226">
            <v>7.0000000000000007E-2</v>
          </cell>
          <cell r="J226">
            <v>0</v>
          </cell>
          <cell r="K226">
            <v>7.0000000000000007E-2</v>
          </cell>
          <cell r="L226">
            <v>0</v>
          </cell>
          <cell r="M226">
            <v>0</v>
          </cell>
          <cell r="N226">
            <v>0</v>
          </cell>
          <cell r="O226">
            <v>0</v>
          </cell>
          <cell r="P226">
            <v>2</v>
          </cell>
        </row>
        <row r="227">
          <cell r="B227">
            <v>80</v>
          </cell>
          <cell r="C227">
            <v>0.75</v>
          </cell>
          <cell r="D227">
            <v>3.91</v>
          </cell>
          <cell r="E227">
            <v>1</v>
          </cell>
          <cell r="F227">
            <v>0</v>
          </cell>
          <cell r="G227">
            <v>0</v>
          </cell>
          <cell r="H227">
            <v>0</v>
          </cell>
          <cell r="I227">
            <v>7.0000000000000007E-2</v>
          </cell>
          <cell r="J227">
            <v>0</v>
          </cell>
          <cell r="K227">
            <v>7.0000000000000007E-2</v>
          </cell>
          <cell r="L227">
            <v>0</v>
          </cell>
          <cell r="M227">
            <v>0</v>
          </cell>
          <cell r="N227">
            <v>0</v>
          </cell>
          <cell r="O227">
            <v>0</v>
          </cell>
          <cell r="P227">
            <v>2</v>
          </cell>
        </row>
        <row r="228">
          <cell r="B228">
            <v>80</v>
          </cell>
          <cell r="C228">
            <v>0.75</v>
          </cell>
          <cell r="D228">
            <v>3.91</v>
          </cell>
          <cell r="E228">
            <v>1</v>
          </cell>
          <cell r="F228">
            <v>0</v>
          </cell>
          <cell r="G228">
            <v>0</v>
          </cell>
          <cell r="H228">
            <v>0</v>
          </cell>
          <cell r="I228">
            <v>7.0000000000000007E-2</v>
          </cell>
          <cell r="J228">
            <v>0</v>
          </cell>
          <cell r="K228">
            <v>7.0000000000000007E-2</v>
          </cell>
          <cell r="L228">
            <v>0</v>
          </cell>
          <cell r="M228">
            <v>0</v>
          </cell>
          <cell r="N228">
            <v>0</v>
          </cell>
          <cell r="O228">
            <v>0</v>
          </cell>
          <cell r="P228">
            <v>2</v>
          </cell>
        </row>
        <row r="229">
          <cell r="B229">
            <v>80</v>
          </cell>
          <cell r="C229">
            <v>0.75</v>
          </cell>
          <cell r="D229">
            <v>3.91</v>
          </cell>
          <cell r="E229">
            <v>1</v>
          </cell>
          <cell r="F229">
            <v>0</v>
          </cell>
          <cell r="G229">
            <v>0</v>
          </cell>
          <cell r="H229">
            <v>0</v>
          </cell>
          <cell r="I229">
            <v>7.0000000000000007E-2</v>
          </cell>
          <cell r="J229">
            <v>0</v>
          </cell>
          <cell r="K229">
            <v>7.0000000000000007E-2</v>
          </cell>
          <cell r="L229">
            <v>0</v>
          </cell>
          <cell r="M229">
            <v>0</v>
          </cell>
          <cell r="N229">
            <v>0</v>
          </cell>
          <cell r="O229">
            <v>0</v>
          </cell>
          <cell r="P229">
            <v>2</v>
          </cell>
        </row>
        <row r="230">
          <cell r="B230">
            <v>80</v>
          </cell>
          <cell r="C230">
            <v>1</v>
          </cell>
          <cell r="D230">
            <v>4.55</v>
          </cell>
          <cell r="E230">
            <v>1</v>
          </cell>
          <cell r="F230">
            <v>0</v>
          </cell>
          <cell r="G230">
            <v>0</v>
          </cell>
          <cell r="H230">
            <v>0</v>
          </cell>
          <cell r="I230">
            <v>0.15</v>
          </cell>
          <cell r="J230">
            <v>0</v>
          </cell>
          <cell r="K230">
            <v>0.15</v>
          </cell>
          <cell r="L230">
            <v>0</v>
          </cell>
          <cell r="M230">
            <v>0</v>
          </cell>
          <cell r="N230">
            <v>0</v>
          </cell>
          <cell r="O230">
            <v>0</v>
          </cell>
          <cell r="P230">
            <v>2</v>
          </cell>
        </row>
        <row r="231">
          <cell r="B231">
            <v>80</v>
          </cell>
          <cell r="C231">
            <v>1</v>
          </cell>
          <cell r="D231">
            <v>4.55</v>
          </cell>
          <cell r="E231">
            <v>1</v>
          </cell>
          <cell r="F231">
            <v>0</v>
          </cell>
          <cell r="G231">
            <v>0</v>
          </cell>
          <cell r="H231">
            <v>0</v>
          </cell>
          <cell r="I231">
            <v>0.15</v>
          </cell>
          <cell r="J231">
            <v>0</v>
          </cell>
          <cell r="K231">
            <v>0.15</v>
          </cell>
          <cell r="L231">
            <v>0</v>
          </cell>
          <cell r="M231">
            <v>0</v>
          </cell>
          <cell r="N231">
            <v>0</v>
          </cell>
          <cell r="O231">
            <v>0</v>
          </cell>
          <cell r="P231">
            <v>2</v>
          </cell>
        </row>
        <row r="232">
          <cell r="B232">
            <v>80</v>
          </cell>
          <cell r="C232">
            <v>1</v>
          </cell>
          <cell r="D232">
            <v>4.55</v>
          </cell>
          <cell r="E232">
            <v>1</v>
          </cell>
          <cell r="F232">
            <v>0</v>
          </cell>
          <cell r="G232">
            <v>0</v>
          </cell>
          <cell r="H232">
            <v>0</v>
          </cell>
          <cell r="I232">
            <v>0.15</v>
          </cell>
          <cell r="J232">
            <v>0</v>
          </cell>
          <cell r="K232">
            <v>0.15</v>
          </cell>
          <cell r="L232">
            <v>0</v>
          </cell>
          <cell r="M232">
            <v>0</v>
          </cell>
          <cell r="N232">
            <v>0</v>
          </cell>
          <cell r="O232">
            <v>0</v>
          </cell>
          <cell r="P232">
            <v>2</v>
          </cell>
        </row>
        <row r="233">
          <cell r="B233">
            <v>80</v>
          </cell>
          <cell r="C233">
            <v>1.25</v>
          </cell>
          <cell r="D233">
            <v>4.8499999999999996</v>
          </cell>
          <cell r="E233">
            <v>1</v>
          </cell>
          <cell r="F233">
            <v>0</v>
          </cell>
          <cell r="G233">
            <v>0</v>
          </cell>
          <cell r="H233">
            <v>0</v>
          </cell>
          <cell r="I233">
            <v>0.13</v>
          </cell>
          <cell r="J233">
            <v>0.17</v>
          </cell>
          <cell r="K233">
            <v>0.30000000000000004</v>
          </cell>
          <cell r="L233">
            <v>0</v>
          </cell>
          <cell r="M233">
            <v>0</v>
          </cell>
          <cell r="N233">
            <v>0</v>
          </cell>
          <cell r="O233">
            <v>0</v>
          </cell>
          <cell r="P233">
            <v>2</v>
          </cell>
        </row>
        <row r="234">
          <cell r="B234">
            <v>80</v>
          </cell>
          <cell r="C234">
            <v>1.25</v>
          </cell>
          <cell r="D234">
            <v>4.8499999999999996</v>
          </cell>
          <cell r="E234">
            <v>1</v>
          </cell>
          <cell r="F234">
            <v>0</v>
          </cell>
          <cell r="G234">
            <v>0</v>
          </cell>
          <cell r="H234">
            <v>0</v>
          </cell>
          <cell r="I234">
            <v>0.13</v>
          </cell>
          <cell r="J234">
            <v>0.17</v>
          </cell>
          <cell r="K234">
            <v>0.30000000000000004</v>
          </cell>
          <cell r="L234">
            <v>0</v>
          </cell>
          <cell r="M234">
            <v>0</v>
          </cell>
          <cell r="N234">
            <v>0</v>
          </cell>
          <cell r="O234">
            <v>0</v>
          </cell>
          <cell r="P234">
            <v>2</v>
          </cell>
        </row>
        <row r="235">
          <cell r="B235">
            <v>80</v>
          </cell>
          <cell r="C235">
            <v>1.25</v>
          </cell>
          <cell r="D235">
            <v>4.8499999999999996</v>
          </cell>
          <cell r="E235">
            <v>1</v>
          </cell>
          <cell r="F235">
            <v>0</v>
          </cell>
          <cell r="G235">
            <v>0</v>
          </cell>
          <cell r="H235">
            <v>0</v>
          </cell>
          <cell r="I235">
            <v>0.13</v>
          </cell>
          <cell r="J235">
            <v>0.17</v>
          </cell>
          <cell r="K235">
            <v>0.30000000000000004</v>
          </cell>
          <cell r="L235">
            <v>0</v>
          </cell>
          <cell r="M235">
            <v>0</v>
          </cell>
          <cell r="N235">
            <v>0</v>
          </cell>
          <cell r="O235">
            <v>0</v>
          </cell>
          <cell r="P235">
            <v>2</v>
          </cell>
        </row>
        <row r="236">
          <cell r="B236">
            <v>80</v>
          </cell>
          <cell r="C236">
            <v>1.5</v>
          </cell>
          <cell r="D236">
            <v>5.08</v>
          </cell>
          <cell r="E236">
            <v>1</v>
          </cell>
          <cell r="F236">
            <v>0</v>
          </cell>
          <cell r="G236">
            <v>0</v>
          </cell>
          <cell r="H236">
            <v>0</v>
          </cell>
          <cell r="I236">
            <v>0.15</v>
          </cell>
          <cell r="J236">
            <v>0.15</v>
          </cell>
          <cell r="K236">
            <v>0.3</v>
          </cell>
          <cell r="L236">
            <v>0</v>
          </cell>
          <cell r="M236">
            <v>0</v>
          </cell>
          <cell r="N236">
            <v>0</v>
          </cell>
          <cell r="O236">
            <v>0</v>
          </cell>
          <cell r="P236">
            <v>2</v>
          </cell>
        </row>
        <row r="237">
          <cell r="B237">
            <v>80</v>
          </cell>
          <cell r="C237">
            <v>1.5</v>
          </cell>
          <cell r="D237">
            <v>5.08</v>
          </cell>
          <cell r="E237">
            <v>1</v>
          </cell>
          <cell r="F237">
            <v>0</v>
          </cell>
          <cell r="G237">
            <v>0</v>
          </cell>
          <cell r="H237">
            <v>0</v>
          </cell>
          <cell r="I237">
            <v>0.15</v>
          </cell>
          <cell r="J237">
            <v>0.15</v>
          </cell>
          <cell r="K237">
            <v>0.3</v>
          </cell>
          <cell r="L237">
            <v>0</v>
          </cell>
          <cell r="M237">
            <v>0</v>
          </cell>
          <cell r="N237">
            <v>0</v>
          </cell>
          <cell r="O237">
            <v>0</v>
          </cell>
          <cell r="P237">
            <v>2</v>
          </cell>
          <cell r="R237">
            <v>2</v>
          </cell>
        </row>
        <row r="238">
          <cell r="B238">
            <v>80</v>
          </cell>
          <cell r="C238">
            <v>1.5</v>
          </cell>
          <cell r="D238">
            <v>5.08</v>
          </cell>
          <cell r="E238">
            <v>1</v>
          </cell>
          <cell r="F238">
            <v>0</v>
          </cell>
          <cell r="G238">
            <v>0</v>
          </cell>
          <cell r="H238">
            <v>0</v>
          </cell>
          <cell r="I238">
            <v>0.15</v>
          </cell>
          <cell r="J238">
            <v>0.15</v>
          </cell>
          <cell r="K238">
            <v>0.3</v>
          </cell>
          <cell r="L238">
            <v>0</v>
          </cell>
          <cell r="M238">
            <v>0</v>
          </cell>
          <cell r="N238">
            <v>0</v>
          </cell>
          <cell r="O238">
            <v>0</v>
          </cell>
          <cell r="P238">
            <v>2</v>
          </cell>
        </row>
        <row r="239">
          <cell r="B239">
            <v>80</v>
          </cell>
          <cell r="C239">
            <v>2</v>
          </cell>
          <cell r="D239">
            <v>5.54</v>
          </cell>
          <cell r="E239">
            <v>1</v>
          </cell>
          <cell r="F239">
            <v>0</v>
          </cell>
          <cell r="G239">
            <v>0</v>
          </cell>
          <cell r="H239">
            <v>0</v>
          </cell>
          <cell r="I239">
            <v>0.2</v>
          </cell>
          <cell r="J239">
            <v>0.25</v>
          </cell>
          <cell r="K239">
            <v>0.45</v>
          </cell>
          <cell r="L239">
            <v>0</v>
          </cell>
          <cell r="M239">
            <v>0</v>
          </cell>
          <cell r="N239">
            <v>0</v>
          </cell>
          <cell r="O239">
            <v>0</v>
          </cell>
          <cell r="P239">
            <v>2</v>
          </cell>
        </row>
        <row r="240">
          <cell r="B240">
            <v>80</v>
          </cell>
          <cell r="C240">
            <v>2</v>
          </cell>
          <cell r="D240">
            <v>5.54</v>
          </cell>
          <cell r="E240">
            <v>1</v>
          </cell>
          <cell r="F240">
            <v>0</v>
          </cell>
          <cell r="G240">
            <v>0</v>
          </cell>
          <cell r="H240">
            <v>0</v>
          </cell>
          <cell r="I240">
            <v>0.2</v>
          </cell>
          <cell r="J240">
            <v>0.25</v>
          </cell>
          <cell r="K240">
            <v>0.45</v>
          </cell>
          <cell r="L240">
            <v>0</v>
          </cell>
          <cell r="M240">
            <v>0</v>
          </cell>
          <cell r="N240">
            <v>0</v>
          </cell>
          <cell r="O240">
            <v>0</v>
          </cell>
          <cell r="P240">
            <v>2</v>
          </cell>
        </row>
        <row r="241">
          <cell r="B241">
            <v>80</v>
          </cell>
          <cell r="C241">
            <v>2</v>
          </cell>
          <cell r="D241">
            <v>5.54</v>
          </cell>
          <cell r="E241">
            <v>1</v>
          </cell>
          <cell r="F241">
            <v>0</v>
          </cell>
          <cell r="G241">
            <v>0</v>
          </cell>
          <cell r="H241">
            <v>0</v>
          </cell>
          <cell r="I241">
            <v>0.2</v>
          </cell>
          <cell r="J241">
            <v>0.25</v>
          </cell>
          <cell r="K241">
            <v>0.45</v>
          </cell>
          <cell r="L241">
            <v>0</v>
          </cell>
          <cell r="M241">
            <v>0</v>
          </cell>
          <cell r="N241">
            <v>0</v>
          </cell>
          <cell r="O241">
            <v>0</v>
          </cell>
          <cell r="P241">
            <v>2</v>
          </cell>
        </row>
        <row r="242">
          <cell r="B242">
            <v>80</v>
          </cell>
          <cell r="C242">
            <v>2.5</v>
          </cell>
          <cell r="D242">
            <v>7.01</v>
          </cell>
          <cell r="E242">
            <v>1</v>
          </cell>
          <cell r="F242">
            <v>0</v>
          </cell>
          <cell r="G242">
            <v>0</v>
          </cell>
          <cell r="H242">
            <v>0</v>
          </cell>
          <cell r="I242">
            <v>0.25</v>
          </cell>
          <cell r="J242">
            <v>0.5</v>
          </cell>
          <cell r="K242">
            <v>0.75</v>
          </cell>
          <cell r="L242">
            <v>0</v>
          </cell>
          <cell r="M242">
            <v>0</v>
          </cell>
          <cell r="N242">
            <v>0</v>
          </cell>
          <cell r="O242">
            <v>0</v>
          </cell>
          <cell r="P242">
            <v>2</v>
          </cell>
        </row>
        <row r="243">
          <cell r="B243">
            <v>80</v>
          </cell>
          <cell r="C243">
            <v>3</v>
          </cell>
          <cell r="D243">
            <v>7.62</v>
          </cell>
          <cell r="E243">
            <v>1</v>
          </cell>
          <cell r="F243">
            <v>0</v>
          </cell>
          <cell r="G243">
            <v>0</v>
          </cell>
          <cell r="H243">
            <v>0</v>
          </cell>
          <cell r="I243">
            <v>0.3</v>
          </cell>
          <cell r="J243">
            <v>0.6</v>
          </cell>
          <cell r="K243">
            <v>0.89999999999999991</v>
          </cell>
          <cell r="L243">
            <v>0</v>
          </cell>
          <cell r="M243">
            <v>0</v>
          </cell>
          <cell r="N243">
            <v>0</v>
          </cell>
          <cell r="O243">
            <v>0</v>
          </cell>
          <cell r="P243">
            <v>2</v>
          </cell>
        </row>
        <row r="244">
          <cell r="B244">
            <v>80</v>
          </cell>
          <cell r="C244">
            <v>3.5</v>
          </cell>
          <cell r="D244">
            <v>8.08</v>
          </cell>
          <cell r="E244">
            <v>1</v>
          </cell>
          <cell r="F244">
            <v>0</v>
          </cell>
          <cell r="G244">
            <v>0</v>
          </cell>
          <cell r="H244">
            <v>0</v>
          </cell>
          <cell r="I244">
            <v>0.35</v>
          </cell>
          <cell r="J244">
            <v>0.85</v>
          </cell>
          <cell r="K244">
            <v>1.2</v>
          </cell>
          <cell r="L244">
            <v>0</v>
          </cell>
          <cell r="M244">
            <v>0</v>
          </cell>
          <cell r="N244">
            <v>0</v>
          </cell>
          <cell r="O244">
            <v>0</v>
          </cell>
          <cell r="P244">
            <v>3</v>
          </cell>
        </row>
        <row r="245">
          <cell r="A245">
            <v>3</v>
          </cell>
          <cell r="B245">
            <v>80</v>
          </cell>
          <cell r="C245">
            <v>4</v>
          </cell>
          <cell r="D245">
            <v>8.56</v>
          </cell>
          <cell r="E245">
            <v>1</v>
          </cell>
          <cell r="F245">
            <v>0</v>
          </cell>
          <cell r="G245">
            <v>0</v>
          </cell>
          <cell r="H245">
            <v>0</v>
          </cell>
          <cell r="I245">
            <v>0.41</v>
          </cell>
          <cell r="J245">
            <v>0.93</v>
          </cell>
          <cell r="K245">
            <v>1.34</v>
          </cell>
          <cell r="L245">
            <v>0</v>
          </cell>
          <cell r="M245">
            <v>0</v>
          </cell>
          <cell r="N245">
            <v>0</v>
          </cell>
          <cell r="O245">
            <v>0</v>
          </cell>
          <cell r="P245">
            <v>3</v>
          </cell>
        </row>
        <row r="246">
          <cell r="B246">
            <v>80</v>
          </cell>
          <cell r="C246">
            <v>5</v>
          </cell>
          <cell r="D246">
            <v>9.5299999999999994</v>
          </cell>
          <cell r="E246">
            <v>1</v>
          </cell>
          <cell r="F246">
            <v>0</v>
          </cell>
          <cell r="G246">
            <v>0</v>
          </cell>
          <cell r="H246">
            <v>0</v>
          </cell>
          <cell r="I246">
            <v>0.51</v>
          </cell>
          <cell r="J246">
            <v>1.59</v>
          </cell>
          <cell r="K246">
            <v>2.1</v>
          </cell>
          <cell r="L246">
            <v>0</v>
          </cell>
          <cell r="M246">
            <v>0</v>
          </cell>
          <cell r="N246">
            <v>0</v>
          </cell>
          <cell r="O246">
            <v>0</v>
          </cell>
          <cell r="P246">
            <v>4</v>
          </cell>
        </row>
        <row r="247">
          <cell r="B247">
            <v>80</v>
          </cell>
          <cell r="C247">
            <v>6</v>
          </cell>
          <cell r="D247">
            <v>10.97</v>
          </cell>
          <cell r="E247">
            <v>1.25</v>
          </cell>
          <cell r="F247">
            <v>0</v>
          </cell>
          <cell r="G247">
            <v>0</v>
          </cell>
          <cell r="H247">
            <v>0</v>
          </cell>
          <cell r="I247">
            <v>0.61</v>
          </cell>
          <cell r="J247">
            <v>2.69</v>
          </cell>
          <cell r="K247">
            <v>3.3</v>
          </cell>
          <cell r="L247">
            <v>0</v>
          </cell>
          <cell r="M247">
            <v>0</v>
          </cell>
          <cell r="N247">
            <v>0</v>
          </cell>
          <cell r="O247">
            <v>0</v>
          </cell>
          <cell r="P247">
            <v>4</v>
          </cell>
        </row>
        <row r="248">
          <cell r="B248">
            <v>80</v>
          </cell>
          <cell r="C248">
            <v>8</v>
          </cell>
          <cell r="D248">
            <v>12.7</v>
          </cell>
          <cell r="E248">
            <v>1.25</v>
          </cell>
          <cell r="F248">
            <v>0</v>
          </cell>
          <cell r="G248">
            <v>0</v>
          </cell>
          <cell r="H248">
            <v>0</v>
          </cell>
          <cell r="I248">
            <v>0.81</v>
          </cell>
          <cell r="J248">
            <v>4.58</v>
          </cell>
          <cell r="K248">
            <v>5.3900000000000006</v>
          </cell>
          <cell r="L248">
            <v>0</v>
          </cell>
          <cell r="M248">
            <v>0</v>
          </cell>
          <cell r="N248">
            <v>0</v>
          </cell>
          <cell r="O248">
            <v>0</v>
          </cell>
          <cell r="P248">
            <v>4</v>
          </cell>
        </row>
        <row r="249">
          <cell r="B249">
            <v>80</v>
          </cell>
          <cell r="C249">
            <v>10</v>
          </cell>
          <cell r="D249">
            <v>15.09</v>
          </cell>
          <cell r="E249">
            <v>1.5</v>
          </cell>
          <cell r="F249">
            <v>0</v>
          </cell>
          <cell r="G249">
            <v>0</v>
          </cell>
          <cell r="H249">
            <v>0</v>
          </cell>
          <cell r="I249">
            <v>1.01</v>
          </cell>
          <cell r="J249">
            <v>7.99</v>
          </cell>
          <cell r="K249">
            <v>9</v>
          </cell>
          <cell r="L249">
            <v>0</v>
          </cell>
          <cell r="M249">
            <v>0</v>
          </cell>
          <cell r="N249">
            <v>0</v>
          </cell>
          <cell r="O249">
            <v>0</v>
          </cell>
          <cell r="P249">
            <v>4</v>
          </cell>
        </row>
        <row r="250">
          <cell r="B250">
            <v>80</v>
          </cell>
          <cell r="C250">
            <v>12</v>
          </cell>
          <cell r="D250">
            <v>17.48</v>
          </cell>
          <cell r="E250">
            <v>1.5</v>
          </cell>
          <cell r="F250">
            <v>0</v>
          </cell>
          <cell r="G250">
            <v>0</v>
          </cell>
          <cell r="H250">
            <v>0</v>
          </cell>
          <cell r="I250">
            <v>1.22</v>
          </cell>
          <cell r="J250">
            <v>11.68</v>
          </cell>
          <cell r="K250">
            <v>12.9</v>
          </cell>
          <cell r="L250">
            <v>0</v>
          </cell>
          <cell r="M250">
            <v>0</v>
          </cell>
          <cell r="N250">
            <v>0</v>
          </cell>
          <cell r="O250">
            <v>0</v>
          </cell>
          <cell r="P250">
            <v>6</v>
          </cell>
        </row>
        <row r="251">
          <cell r="B251">
            <v>80</v>
          </cell>
          <cell r="C251">
            <v>14</v>
          </cell>
          <cell r="D251">
            <v>19.05</v>
          </cell>
          <cell r="E251">
            <v>2</v>
          </cell>
          <cell r="F251">
            <v>0</v>
          </cell>
          <cell r="G251">
            <v>0</v>
          </cell>
          <cell r="H251">
            <v>0</v>
          </cell>
          <cell r="I251">
            <v>1.42</v>
          </cell>
          <cell r="J251">
            <v>12.68</v>
          </cell>
          <cell r="K251">
            <v>14.1</v>
          </cell>
          <cell r="L251">
            <v>0</v>
          </cell>
          <cell r="M251">
            <v>0</v>
          </cell>
          <cell r="N251">
            <v>0</v>
          </cell>
          <cell r="O251">
            <v>0</v>
          </cell>
          <cell r="P251">
            <v>6</v>
          </cell>
        </row>
        <row r="252">
          <cell r="B252">
            <v>80</v>
          </cell>
          <cell r="C252">
            <v>16</v>
          </cell>
          <cell r="D252">
            <v>21.44</v>
          </cell>
          <cell r="E252">
            <v>2</v>
          </cell>
          <cell r="F252">
            <v>0</v>
          </cell>
          <cell r="G252">
            <v>0</v>
          </cell>
          <cell r="H252">
            <v>0</v>
          </cell>
          <cell r="I252">
            <v>1.62</v>
          </cell>
          <cell r="J252">
            <v>19.37</v>
          </cell>
          <cell r="K252">
            <v>20.990000000000002</v>
          </cell>
          <cell r="L252">
            <v>0</v>
          </cell>
          <cell r="M252">
            <v>0</v>
          </cell>
          <cell r="N252">
            <v>0</v>
          </cell>
          <cell r="O252">
            <v>0</v>
          </cell>
          <cell r="P252">
            <v>6</v>
          </cell>
        </row>
        <row r="253">
          <cell r="B253">
            <v>80</v>
          </cell>
          <cell r="C253">
            <v>18</v>
          </cell>
          <cell r="D253">
            <v>23.83</v>
          </cell>
          <cell r="E253">
            <v>2</v>
          </cell>
          <cell r="F253">
            <v>0</v>
          </cell>
          <cell r="G253">
            <v>0</v>
          </cell>
          <cell r="H253">
            <v>0</v>
          </cell>
          <cell r="I253">
            <v>1.82</v>
          </cell>
          <cell r="J253">
            <v>26.68</v>
          </cell>
          <cell r="K253">
            <v>28.5</v>
          </cell>
          <cell r="L253">
            <v>0</v>
          </cell>
          <cell r="M253">
            <v>0</v>
          </cell>
          <cell r="N253">
            <v>0</v>
          </cell>
          <cell r="O253">
            <v>0</v>
          </cell>
          <cell r="P253">
            <v>6</v>
          </cell>
        </row>
        <row r="254">
          <cell r="B254">
            <v>80</v>
          </cell>
          <cell r="C254">
            <v>20</v>
          </cell>
          <cell r="D254">
            <v>26.19</v>
          </cell>
          <cell r="E254" t="str">
            <v>N</v>
          </cell>
          <cell r="F254">
            <v>0</v>
          </cell>
          <cell r="G254">
            <v>0</v>
          </cell>
          <cell r="H254">
            <v>0</v>
          </cell>
          <cell r="I254">
            <v>2.0299999999999998</v>
          </cell>
          <cell r="J254">
            <v>36.96</v>
          </cell>
          <cell r="K254">
            <v>38.99</v>
          </cell>
          <cell r="L254">
            <v>0</v>
          </cell>
          <cell r="M254">
            <v>0</v>
          </cell>
          <cell r="N254">
            <v>0</v>
          </cell>
          <cell r="O254">
            <v>0</v>
          </cell>
          <cell r="P254">
            <v>7</v>
          </cell>
        </row>
        <row r="255">
          <cell r="B255">
            <v>80</v>
          </cell>
          <cell r="C255">
            <v>22</v>
          </cell>
          <cell r="D255">
            <v>28.58</v>
          </cell>
          <cell r="E255" t="str">
            <v>N</v>
          </cell>
          <cell r="F255">
            <v>0</v>
          </cell>
          <cell r="G255">
            <v>0</v>
          </cell>
          <cell r="H255">
            <v>0</v>
          </cell>
          <cell r="I255">
            <v>2.23</v>
          </cell>
          <cell r="J255">
            <v>45.77</v>
          </cell>
          <cell r="K255">
            <v>48</v>
          </cell>
          <cell r="L255">
            <v>0</v>
          </cell>
          <cell r="M255">
            <v>0</v>
          </cell>
          <cell r="N255">
            <v>0</v>
          </cell>
          <cell r="O255">
            <v>0</v>
          </cell>
          <cell r="P255">
            <v>8</v>
          </cell>
        </row>
        <row r="256">
          <cell r="B256">
            <v>80</v>
          </cell>
          <cell r="C256">
            <v>24</v>
          </cell>
          <cell r="D256">
            <v>30.96</v>
          </cell>
          <cell r="E256" t="str">
            <v>N</v>
          </cell>
          <cell r="F256">
            <v>0</v>
          </cell>
          <cell r="G256">
            <v>0</v>
          </cell>
          <cell r="H256">
            <v>0</v>
          </cell>
          <cell r="I256">
            <v>2.4300000000000002</v>
          </cell>
          <cell r="J256">
            <v>53.07</v>
          </cell>
          <cell r="K256">
            <v>55.5</v>
          </cell>
          <cell r="L256">
            <v>0</v>
          </cell>
          <cell r="M256">
            <v>0</v>
          </cell>
          <cell r="N256">
            <v>0</v>
          </cell>
          <cell r="O256">
            <v>0</v>
          </cell>
          <cell r="P256">
            <v>8</v>
          </cell>
        </row>
        <row r="257">
          <cell r="A257">
            <v>8</v>
          </cell>
          <cell r="B257" t="str">
            <v>80S</v>
          </cell>
          <cell r="C257">
            <v>0.125</v>
          </cell>
          <cell r="D257">
            <v>2.41</v>
          </cell>
          <cell r="E257">
            <v>1</v>
          </cell>
          <cell r="F257">
            <v>0</v>
          </cell>
          <cell r="G257">
            <v>0</v>
          </cell>
          <cell r="H257">
            <v>0</v>
          </cell>
          <cell r="I257">
            <v>7.0000000000000007E-2</v>
          </cell>
          <cell r="J257">
            <v>0</v>
          </cell>
          <cell r="K257">
            <v>7.0000000000000007E-2</v>
          </cell>
          <cell r="L257">
            <v>0</v>
          </cell>
          <cell r="M257">
            <v>0</v>
          </cell>
          <cell r="N257">
            <v>0</v>
          </cell>
          <cell r="O257">
            <v>0</v>
          </cell>
          <cell r="P257">
            <v>2</v>
          </cell>
        </row>
        <row r="258">
          <cell r="B258" t="str">
            <v>80S</v>
          </cell>
          <cell r="C258">
            <v>0.125</v>
          </cell>
          <cell r="D258">
            <v>2.41</v>
          </cell>
          <cell r="E258">
            <v>1</v>
          </cell>
          <cell r="F258">
            <v>0</v>
          </cell>
          <cell r="G258">
            <v>0</v>
          </cell>
          <cell r="H258">
            <v>0</v>
          </cell>
          <cell r="I258">
            <v>7.0000000000000007E-2</v>
          </cell>
          <cell r="J258">
            <v>0</v>
          </cell>
          <cell r="K258">
            <v>7.0000000000000007E-2</v>
          </cell>
          <cell r="L258">
            <v>0</v>
          </cell>
          <cell r="M258">
            <v>0</v>
          </cell>
          <cell r="N258">
            <v>0</v>
          </cell>
          <cell r="O258">
            <v>0</v>
          </cell>
          <cell r="P258">
            <v>2</v>
          </cell>
        </row>
        <row r="259">
          <cell r="B259" t="str">
            <v>80S</v>
          </cell>
          <cell r="C259">
            <v>0.125</v>
          </cell>
          <cell r="D259">
            <v>2.41</v>
          </cell>
          <cell r="E259">
            <v>1</v>
          </cell>
          <cell r="F259">
            <v>0</v>
          </cell>
          <cell r="G259">
            <v>0</v>
          </cell>
          <cell r="H259">
            <v>0</v>
          </cell>
          <cell r="I259">
            <v>7.0000000000000007E-2</v>
          </cell>
          <cell r="J259">
            <v>0</v>
          </cell>
          <cell r="K259">
            <v>7.0000000000000007E-2</v>
          </cell>
          <cell r="L259">
            <v>0</v>
          </cell>
          <cell r="M259">
            <v>0</v>
          </cell>
          <cell r="N259">
            <v>0</v>
          </cell>
          <cell r="O259">
            <v>0</v>
          </cell>
          <cell r="P259">
            <v>2</v>
          </cell>
        </row>
        <row r="260">
          <cell r="B260" t="str">
            <v>80S</v>
          </cell>
          <cell r="C260">
            <v>0.25</v>
          </cell>
          <cell r="D260">
            <v>3.02</v>
          </cell>
          <cell r="E260">
            <v>1</v>
          </cell>
          <cell r="F260">
            <v>0</v>
          </cell>
          <cell r="G260">
            <v>0</v>
          </cell>
          <cell r="H260">
            <v>0</v>
          </cell>
          <cell r="I260">
            <v>7.0000000000000007E-2</v>
          </cell>
          <cell r="J260">
            <v>0</v>
          </cell>
          <cell r="K260">
            <v>7.0000000000000007E-2</v>
          </cell>
          <cell r="L260">
            <v>0</v>
          </cell>
          <cell r="M260">
            <v>0</v>
          </cell>
          <cell r="N260">
            <v>0</v>
          </cell>
          <cell r="O260">
            <v>0</v>
          </cell>
          <cell r="P260">
            <v>2</v>
          </cell>
        </row>
        <row r="261">
          <cell r="A261">
            <v>2</v>
          </cell>
          <cell r="B261" t="str">
            <v>80S</v>
          </cell>
          <cell r="C261">
            <v>0.25</v>
          </cell>
          <cell r="D261">
            <v>3.02</v>
          </cell>
          <cell r="E261">
            <v>1</v>
          </cell>
          <cell r="F261">
            <v>0</v>
          </cell>
          <cell r="G261">
            <v>0</v>
          </cell>
          <cell r="H261">
            <v>0</v>
          </cell>
          <cell r="I261">
            <v>7.0000000000000007E-2</v>
          </cell>
          <cell r="J261">
            <v>0</v>
          </cell>
          <cell r="K261">
            <v>7.0000000000000007E-2</v>
          </cell>
          <cell r="L261">
            <v>0</v>
          </cell>
          <cell r="M261">
            <v>0</v>
          </cell>
          <cell r="N261">
            <v>0</v>
          </cell>
          <cell r="O261">
            <v>0</v>
          </cell>
          <cell r="P261">
            <v>2</v>
          </cell>
          <cell r="Q261">
            <v>2</v>
          </cell>
          <cell r="R261">
            <v>2</v>
          </cell>
        </row>
        <row r="262">
          <cell r="B262" t="str">
            <v>80S</v>
          </cell>
          <cell r="C262">
            <v>0.25</v>
          </cell>
          <cell r="D262">
            <v>3.02</v>
          </cell>
          <cell r="E262">
            <v>1</v>
          </cell>
          <cell r="F262">
            <v>0</v>
          </cell>
          <cell r="G262">
            <v>0</v>
          </cell>
          <cell r="H262">
            <v>0</v>
          </cell>
          <cell r="I262">
            <v>7.0000000000000007E-2</v>
          </cell>
          <cell r="J262">
            <v>0</v>
          </cell>
          <cell r="K262">
            <v>7.0000000000000007E-2</v>
          </cell>
          <cell r="L262">
            <v>0</v>
          </cell>
          <cell r="M262">
            <v>0</v>
          </cell>
          <cell r="N262">
            <v>0</v>
          </cell>
          <cell r="O262">
            <v>0</v>
          </cell>
          <cell r="P262">
            <v>2</v>
          </cell>
        </row>
        <row r="263">
          <cell r="B263" t="str">
            <v>80S</v>
          </cell>
          <cell r="C263">
            <v>0.375</v>
          </cell>
          <cell r="D263">
            <v>3.2</v>
          </cell>
          <cell r="E263">
            <v>1</v>
          </cell>
          <cell r="F263">
            <v>0</v>
          </cell>
          <cell r="G263">
            <v>0</v>
          </cell>
          <cell r="H263">
            <v>0</v>
          </cell>
          <cell r="I263">
            <v>7.0000000000000007E-2</v>
          </cell>
          <cell r="J263">
            <v>0</v>
          </cell>
          <cell r="K263">
            <v>7.0000000000000007E-2</v>
          </cell>
          <cell r="L263">
            <v>0</v>
          </cell>
          <cell r="M263">
            <v>0</v>
          </cell>
          <cell r="N263">
            <v>0</v>
          </cell>
          <cell r="O263">
            <v>0</v>
          </cell>
          <cell r="P263">
            <v>2</v>
          </cell>
        </row>
        <row r="264">
          <cell r="B264" t="str">
            <v>80S</v>
          </cell>
          <cell r="C264">
            <v>0.375</v>
          </cell>
          <cell r="D264">
            <v>3.2</v>
          </cell>
          <cell r="E264">
            <v>1</v>
          </cell>
          <cell r="F264">
            <v>0</v>
          </cell>
          <cell r="G264">
            <v>0</v>
          </cell>
          <cell r="H264">
            <v>0</v>
          </cell>
          <cell r="I264">
            <v>7.0000000000000007E-2</v>
          </cell>
          <cell r="J264">
            <v>0</v>
          </cell>
          <cell r="K264">
            <v>7.0000000000000007E-2</v>
          </cell>
          <cell r="L264">
            <v>0</v>
          </cell>
          <cell r="M264">
            <v>0</v>
          </cell>
          <cell r="N264">
            <v>0</v>
          </cell>
          <cell r="O264">
            <v>0</v>
          </cell>
          <cell r="P264">
            <v>2</v>
          </cell>
        </row>
        <row r="265">
          <cell r="B265" t="str">
            <v>80S</v>
          </cell>
          <cell r="C265">
            <v>0.375</v>
          </cell>
          <cell r="D265">
            <v>3.2</v>
          </cell>
          <cell r="E265">
            <v>1</v>
          </cell>
          <cell r="F265">
            <v>0</v>
          </cell>
          <cell r="G265">
            <v>0</v>
          </cell>
          <cell r="H265">
            <v>0</v>
          </cell>
          <cell r="I265">
            <v>7.0000000000000007E-2</v>
          </cell>
          <cell r="J265">
            <v>0</v>
          </cell>
          <cell r="K265">
            <v>7.0000000000000007E-2</v>
          </cell>
          <cell r="L265">
            <v>0</v>
          </cell>
          <cell r="M265">
            <v>0</v>
          </cell>
          <cell r="N265">
            <v>0</v>
          </cell>
          <cell r="O265">
            <v>0</v>
          </cell>
          <cell r="P265">
            <v>2</v>
          </cell>
        </row>
        <row r="266">
          <cell r="B266" t="str">
            <v>80S</v>
          </cell>
          <cell r="C266">
            <v>0.5</v>
          </cell>
          <cell r="D266">
            <v>3.73</v>
          </cell>
          <cell r="E266">
            <v>1</v>
          </cell>
          <cell r="F266">
            <v>0</v>
          </cell>
          <cell r="G266">
            <v>0</v>
          </cell>
          <cell r="H266">
            <v>0</v>
          </cell>
          <cell r="I266">
            <v>7.0000000000000007E-2</v>
          </cell>
          <cell r="J266">
            <v>0</v>
          </cell>
          <cell r="K266">
            <v>7.0000000000000007E-2</v>
          </cell>
          <cell r="L266">
            <v>0</v>
          </cell>
          <cell r="M266">
            <v>0</v>
          </cell>
          <cell r="N266">
            <v>0</v>
          </cell>
          <cell r="O266">
            <v>0</v>
          </cell>
          <cell r="P266">
            <v>2</v>
          </cell>
        </row>
        <row r="267">
          <cell r="B267" t="str">
            <v>80S</v>
          </cell>
          <cell r="C267">
            <v>0.5</v>
          </cell>
          <cell r="D267">
            <v>3.73</v>
          </cell>
          <cell r="E267">
            <v>1</v>
          </cell>
          <cell r="F267">
            <v>0</v>
          </cell>
          <cell r="G267">
            <v>0</v>
          </cell>
          <cell r="H267">
            <v>0</v>
          </cell>
          <cell r="I267">
            <v>7.0000000000000007E-2</v>
          </cell>
          <cell r="J267">
            <v>0</v>
          </cell>
          <cell r="K267">
            <v>7.0000000000000007E-2</v>
          </cell>
          <cell r="L267">
            <v>0</v>
          </cell>
          <cell r="M267">
            <v>0</v>
          </cell>
          <cell r="N267">
            <v>0</v>
          </cell>
          <cell r="O267">
            <v>0</v>
          </cell>
          <cell r="P267">
            <v>2</v>
          </cell>
        </row>
        <row r="268">
          <cell r="B268" t="str">
            <v>80S</v>
          </cell>
          <cell r="C268">
            <v>0.5</v>
          </cell>
          <cell r="D268">
            <v>3.73</v>
          </cell>
          <cell r="E268">
            <v>1</v>
          </cell>
          <cell r="F268">
            <v>0</v>
          </cell>
          <cell r="G268">
            <v>0</v>
          </cell>
          <cell r="H268">
            <v>0</v>
          </cell>
          <cell r="I268">
            <v>7.0000000000000007E-2</v>
          </cell>
          <cell r="J268">
            <v>0</v>
          </cell>
          <cell r="K268">
            <v>7.0000000000000007E-2</v>
          </cell>
          <cell r="L268">
            <v>0</v>
          </cell>
          <cell r="M268">
            <v>0</v>
          </cell>
          <cell r="N268">
            <v>0</v>
          </cell>
          <cell r="O268">
            <v>0</v>
          </cell>
          <cell r="P268">
            <v>2</v>
          </cell>
        </row>
        <row r="269">
          <cell r="B269" t="str">
            <v>80S</v>
          </cell>
          <cell r="C269">
            <v>0.75</v>
          </cell>
          <cell r="D269">
            <v>3.91</v>
          </cell>
          <cell r="E269">
            <v>1</v>
          </cell>
          <cell r="F269">
            <v>0</v>
          </cell>
          <cell r="G269">
            <v>0</v>
          </cell>
          <cell r="H269">
            <v>0</v>
          </cell>
          <cell r="I269">
            <v>7.0000000000000007E-2</v>
          </cell>
          <cell r="J269">
            <v>0</v>
          </cell>
          <cell r="K269">
            <v>7.0000000000000007E-2</v>
          </cell>
          <cell r="L269">
            <v>0</v>
          </cell>
          <cell r="M269">
            <v>0</v>
          </cell>
          <cell r="N269">
            <v>0</v>
          </cell>
          <cell r="O269">
            <v>0</v>
          </cell>
          <cell r="P269">
            <v>2</v>
          </cell>
          <cell r="R269">
            <v>2</v>
          </cell>
        </row>
        <row r="270">
          <cell r="B270" t="str">
            <v>80S</v>
          </cell>
          <cell r="C270">
            <v>0.75</v>
          </cell>
          <cell r="D270">
            <v>3.91</v>
          </cell>
          <cell r="E270">
            <v>1</v>
          </cell>
          <cell r="F270">
            <v>0</v>
          </cell>
          <cell r="G270">
            <v>0</v>
          </cell>
          <cell r="H270">
            <v>0</v>
          </cell>
          <cell r="I270">
            <v>7.0000000000000007E-2</v>
          </cell>
          <cell r="J270">
            <v>0</v>
          </cell>
          <cell r="K270">
            <v>7.0000000000000007E-2</v>
          </cell>
          <cell r="L270">
            <v>0</v>
          </cell>
          <cell r="M270">
            <v>0</v>
          </cell>
          <cell r="N270">
            <v>0</v>
          </cell>
          <cell r="O270">
            <v>0</v>
          </cell>
          <cell r="P270">
            <v>2</v>
          </cell>
        </row>
        <row r="271">
          <cell r="B271" t="str">
            <v>80S</v>
          </cell>
          <cell r="C271">
            <v>0.75</v>
          </cell>
          <cell r="D271">
            <v>3.91</v>
          </cell>
          <cell r="E271">
            <v>1</v>
          </cell>
          <cell r="F271">
            <v>0</v>
          </cell>
          <cell r="G271">
            <v>0</v>
          </cell>
          <cell r="H271">
            <v>0</v>
          </cell>
          <cell r="I271">
            <v>7.0000000000000007E-2</v>
          </cell>
          <cell r="J271">
            <v>0</v>
          </cell>
          <cell r="K271">
            <v>7.0000000000000007E-2</v>
          </cell>
          <cell r="L271">
            <v>0</v>
          </cell>
          <cell r="M271">
            <v>0</v>
          </cell>
          <cell r="N271">
            <v>0</v>
          </cell>
          <cell r="O271">
            <v>0</v>
          </cell>
          <cell r="P271">
            <v>2</v>
          </cell>
          <cell r="Q271">
            <v>2</v>
          </cell>
          <cell r="R271">
            <v>2</v>
          </cell>
        </row>
        <row r="272">
          <cell r="B272" t="str">
            <v>80S</v>
          </cell>
          <cell r="C272">
            <v>1</v>
          </cell>
          <cell r="D272">
            <v>4.55</v>
          </cell>
          <cell r="E272">
            <v>1</v>
          </cell>
          <cell r="F272">
            <v>0</v>
          </cell>
          <cell r="G272">
            <v>0</v>
          </cell>
          <cell r="H272">
            <v>0</v>
          </cell>
          <cell r="I272">
            <v>0.15</v>
          </cell>
          <cell r="J272">
            <v>0</v>
          </cell>
          <cell r="K272">
            <v>0.15</v>
          </cell>
          <cell r="L272">
            <v>0</v>
          </cell>
          <cell r="M272">
            <v>0</v>
          </cell>
          <cell r="N272">
            <v>0</v>
          </cell>
          <cell r="O272">
            <v>0</v>
          </cell>
          <cell r="P272">
            <v>2</v>
          </cell>
        </row>
        <row r="273">
          <cell r="B273" t="str">
            <v>80S</v>
          </cell>
          <cell r="C273">
            <v>1</v>
          </cell>
          <cell r="D273">
            <v>4.55</v>
          </cell>
          <cell r="E273">
            <v>1</v>
          </cell>
          <cell r="F273">
            <v>0</v>
          </cell>
          <cell r="G273">
            <v>0</v>
          </cell>
          <cell r="H273">
            <v>0</v>
          </cell>
          <cell r="I273">
            <v>0.15</v>
          </cell>
          <cell r="J273">
            <v>0</v>
          </cell>
          <cell r="K273">
            <v>0.15</v>
          </cell>
          <cell r="L273">
            <v>0</v>
          </cell>
          <cell r="M273">
            <v>0</v>
          </cell>
          <cell r="N273">
            <v>0</v>
          </cell>
          <cell r="O273">
            <v>0</v>
          </cell>
          <cell r="P273">
            <v>2</v>
          </cell>
        </row>
        <row r="274">
          <cell r="B274" t="str">
            <v>80S</v>
          </cell>
          <cell r="C274">
            <v>1</v>
          </cell>
          <cell r="D274">
            <v>4.55</v>
          </cell>
          <cell r="E274">
            <v>1</v>
          </cell>
          <cell r="F274">
            <v>0</v>
          </cell>
          <cell r="G274">
            <v>0</v>
          </cell>
          <cell r="H274">
            <v>0</v>
          </cell>
          <cell r="I274">
            <v>0.15</v>
          </cell>
          <cell r="J274">
            <v>0</v>
          </cell>
          <cell r="K274">
            <v>0.15</v>
          </cell>
          <cell r="L274">
            <v>0</v>
          </cell>
          <cell r="M274">
            <v>0</v>
          </cell>
          <cell r="N274">
            <v>0</v>
          </cell>
          <cell r="O274">
            <v>0</v>
          </cell>
          <cell r="P274">
            <v>2</v>
          </cell>
        </row>
        <row r="275">
          <cell r="B275" t="str">
            <v>80S</v>
          </cell>
          <cell r="C275">
            <v>1.25</v>
          </cell>
          <cell r="D275">
            <v>4.8499999999999996</v>
          </cell>
          <cell r="E275">
            <v>1</v>
          </cell>
          <cell r="F275">
            <v>0</v>
          </cell>
          <cell r="G275">
            <v>0</v>
          </cell>
          <cell r="H275">
            <v>0</v>
          </cell>
          <cell r="I275">
            <v>0.13</v>
          </cell>
          <cell r="J275">
            <v>0.17</v>
          </cell>
          <cell r="K275">
            <v>0.30000000000000004</v>
          </cell>
          <cell r="L275">
            <v>0</v>
          </cell>
          <cell r="M275">
            <v>0</v>
          </cell>
          <cell r="N275">
            <v>0</v>
          </cell>
          <cell r="O275">
            <v>0</v>
          </cell>
          <cell r="P275">
            <v>2</v>
          </cell>
        </row>
        <row r="276">
          <cell r="B276" t="str">
            <v>80S</v>
          </cell>
          <cell r="C276">
            <v>1.25</v>
          </cell>
          <cell r="D276">
            <v>4.8499999999999996</v>
          </cell>
          <cell r="E276">
            <v>1</v>
          </cell>
          <cell r="F276">
            <v>0</v>
          </cell>
          <cell r="G276">
            <v>0</v>
          </cell>
          <cell r="H276">
            <v>0</v>
          </cell>
          <cell r="I276">
            <v>0.13</v>
          </cell>
          <cell r="J276">
            <v>0.17</v>
          </cell>
          <cell r="K276">
            <v>0.30000000000000004</v>
          </cell>
          <cell r="L276">
            <v>0</v>
          </cell>
          <cell r="M276">
            <v>0</v>
          </cell>
          <cell r="N276">
            <v>0</v>
          </cell>
          <cell r="O276">
            <v>0</v>
          </cell>
          <cell r="P276">
            <v>2</v>
          </cell>
        </row>
        <row r="277">
          <cell r="B277" t="str">
            <v>80S</v>
          </cell>
          <cell r="C277">
            <v>1.25</v>
          </cell>
          <cell r="D277">
            <v>4.8499999999999996</v>
          </cell>
          <cell r="E277">
            <v>1</v>
          </cell>
          <cell r="F277">
            <v>0</v>
          </cell>
          <cell r="G277">
            <v>0</v>
          </cell>
          <cell r="H277">
            <v>0</v>
          </cell>
          <cell r="I277">
            <v>0.13</v>
          </cell>
          <cell r="J277">
            <v>0.17</v>
          </cell>
          <cell r="K277">
            <v>0.30000000000000004</v>
          </cell>
          <cell r="L277">
            <v>0</v>
          </cell>
          <cell r="M277">
            <v>0</v>
          </cell>
          <cell r="N277">
            <v>0</v>
          </cell>
          <cell r="O277">
            <v>0</v>
          </cell>
          <cell r="P277">
            <v>2</v>
          </cell>
        </row>
        <row r="278">
          <cell r="B278" t="str">
            <v>80S</v>
          </cell>
          <cell r="C278">
            <v>1.5</v>
          </cell>
          <cell r="D278">
            <v>5.08</v>
          </cell>
          <cell r="E278">
            <v>1</v>
          </cell>
          <cell r="F278">
            <v>0</v>
          </cell>
          <cell r="G278">
            <v>0</v>
          </cell>
          <cell r="H278">
            <v>0</v>
          </cell>
          <cell r="I278">
            <v>0.15</v>
          </cell>
          <cell r="J278">
            <v>0.15</v>
          </cell>
          <cell r="K278">
            <v>0.3</v>
          </cell>
          <cell r="L278">
            <v>0</v>
          </cell>
          <cell r="M278">
            <v>0</v>
          </cell>
          <cell r="N278">
            <v>0</v>
          </cell>
          <cell r="O278">
            <v>0</v>
          </cell>
          <cell r="P278">
            <v>2</v>
          </cell>
        </row>
        <row r="279">
          <cell r="B279" t="str">
            <v>80S</v>
          </cell>
          <cell r="C279">
            <v>1.5</v>
          </cell>
          <cell r="D279">
            <v>5.08</v>
          </cell>
          <cell r="E279">
            <v>1</v>
          </cell>
          <cell r="F279">
            <v>0</v>
          </cell>
          <cell r="G279">
            <v>0</v>
          </cell>
          <cell r="H279">
            <v>0</v>
          </cell>
          <cell r="I279">
            <v>0.15</v>
          </cell>
          <cell r="J279">
            <v>0.15</v>
          </cell>
          <cell r="K279">
            <v>0.3</v>
          </cell>
          <cell r="L279">
            <v>0</v>
          </cell>
          <cell r="M279">
            <v>0</v>
          </cell>
          <cell r="N279">
            <v>0</v>
          </cell>
          <cell r="O279">
            <v>0</v>
          </cell>
          <cell r="P279">
            <v>2</v>
          </cell>
        </row>
        <row r="280">
          <cell r="B280" t="str">
            <v>80S</v>
          </cell>
          <cell r="C280">
            <v>1.5</v>
          </cell>
          <cell r="D280">
            <v>5.08</v>
          </cell>
          <cell r="E280">
            <v>1</v>
          </cell>
          <cell r="F280">
            <v>0</v>
          </cell>
          <cell r="G280">
            <v>0</v>
          </cell>
          <cell r="H280">
            <v>0</v>
          </cell>
          <cell r="I280">
            <v>0.15</v>
          </cell>
          <cell r="J280">
            <v>0.15</v>
          </cell>
          <cell r="K280">
            <v>0.3</v>
          </cell>
          <cell r="L280">
            <v>0</v>
          </cell>
          <cell r="M280">
            <v>0</v>
          </cell>
          <cell r="N280">
            <v>0</v>
          </cell>
          <cell r="O280">
            <v>0</v>
          </cell>
          <cell r="P280">
            <v>2</v>
          </cell>
        </row>
        <row r="281">
          <cell r="B281" t="str">
            <v>80S</v>
          </cell>
          <cell r="C281">
            <v>2</v>
          </cell>
          <cell r="D281">
            <v>5.54</v>
          </cell>
          <cell r="E281">
            <v>1</v>
          </cell>
          <cell r="F281">
            <v>0</v>
          </cell>
          <cell r="G281">
            <v>0</v>
          </cell>
          <cell r="H281">
            <v>0</v>
          </cell>
          <cell r="I281">
            <v>0.2</v>
          </cell>
          <cell r="J281">
            <v>0.25</v>
          </cell>
          <cell r="K281">
            <v>0.45</v>
          </cell>
          <cell r="L281">
            <v>0</v>
          </cell>
          <cell r="M281">
            <v>0</v>
          </cell>
          <cell r="N281">
            <v>0</v>
          </cell>
          <cell r="O281">
            <v>0</v>
          </cell>
          <cell r="P281">
            <v>2</v>
          </cell>
        </row>
        <row r="282">
          <cell r="B282" t="str">
            <v>80S</v>
          </cell>
          <cell r="C282">
            <v>2</v>
          </cell>
          <cell r="D282">
            <v>5.54</v>
          </cell>
          <cell r="E282">
            <v>1</v>
          </cell>
          <cell r="F282">
            <v>0</v>
          </cell>
          <cell r="G282">
            <v>0</v>
          </cell>
          <cell r="H282">
            <v>0</v>
          </cell>
          <cell r="I282">
            <v>0.2</v>
          </cell>
          <cell r="J282">
            <v>0.25</v>
          </cell>
          <cell r="K282">
            <v>0.45</v>
          </cell>
          <cell r="L282">
            <v>0</v>
          </cell>
          <cell r="M282">
            <v>0</v>
          </cell>
          <cell r="N282">
            <v>0</v>
          </cell>
          <cell r="O282">
            <v>0</v>
          </cell>
          <cell r="P282">
            <v>2</v>
          </cell>
        </row>
        <row r="283">
          <cell r="B283" t="str">
            <v>80S</v>
          </cell>
          <cell r="C283">
            <v>2</v>
          </cell>
          <cell r="D283">
            <v>5.54</v>
          </cell>
          <cell r="E283">
            <v>1</v>
          </cell>
          <cell r="F283">
            <v>0</v>
          </cell>
          <cell r="G283">
            <v>0</v>
          </cell>
          <cell r="H283">
            <v>0</v>
          </cell>
          <cell r="I283">
            <v>0.2</v>
          </cell>
          <cell r="J283">
            <v>0.25</v>
          </cell>
          <cell r="K283">
            <v>0.45</v>
          </cell>
          <cell r="L283">
            <v>0</v>
          </cell>
          <cell r="M283">
            <v>0</v>
          </cell>
          <cell r="N283">
            <v>0</v>
          </cell>
          <cell r="O283">
            <v>0</v>
          </cell>
          <cell r="P283">
            <v>2</v>
          </cell>
        </row>
        <row r="284">
          <cell r="B284" t="str">
            <v>80S</v>
          </cell>
          <cell r="C284">
            <v>2.5</v>
          </cell>
          <cell r="D284">
            <v>7.01</v>
          </cell>
          <cell r="E284">
            <v>1</v>
          </cell>
          <cell r="F284">
            <v>0</v>
          </cell>
          <cell r="G284">
            <v>0</v>
          </cell>
          <cell r="H284">
            <v>0</v>
          </cell>
          <cell r="I284">
            <v>0.25</v>
          </cell>
          <cell r="J284">
            <v>0.5</v>
          </cell>
          <cell r="K284">
            <v>0.75</v>
          </cell>
          <cell r="L284">
            <v>0</v>
          </cell>
          <cell r="M284">
            <v>0</v>
          </cell>
          <cell r="N284">
            <v>0</v>
          </cell>
          <cell r="O284">
            <v>0</v>
          </cell>
          <cell r="P284">
            <v>2</v>
          </cell>
        </row>
        <row r="285">
          <cell r="B285" t="str">
            <v>80S</v>
          </cell>
          <cell r="C285">
            <v>3</v>
          </cell>
          <cell r="D285">
            <v>7.62</v>
          </cell>
          <cell r="E285">
            <v>1</v>
          </cell>
          <cell r="F285">
            <v>0</v>
          </cell>
          <cell r="G285">
            <v>0</v>
          </cell>
          <cell r="H285">
            <v>0</v>
          </cell>
          <cell r="I285">
            <v>0.3</v>
          </cell>
          <cell r="J285">
            <v>0.6</v>
          </cell>
          <cell r="K285">
            <v>0.89999999999999991</v>
          </cell>
          <cell r="L285">
            <v>0</v>
          </cell>
          <cell r="M285">
            <v>0</v>
          </cell>
          <cell r="N285">
            <v>0</v>
          </cell>
          <cell r="O285">
            <v>0</v>
          </cell>
          <cell r="P285">
            <v>2</v>
          </cell>
        </row>
        <row r="286">
          <cell r="B286" t="str">
            <v>80S</v>
          </cell>
          <cell r="C286">
            <v>3.5</v>
          </cell>
          <cell r="D286">
            <v>8.08</v>
          </cell>
          <cell r="E286">
            <v>1</v>
          </cell>
          <cell r="F286">
            <v>0</v>
          </cell>
          <cell r="G286">
            <v>0</v>
          </cell>
          <cell r="H286">
            <v>0</v>
          </cell>
          <cell r="I286">
            <v>0.35</v>
          </cell>
          <cell r="J286">
            <v>0.85</v>
          </cell>
          <cell r="K286">
            <v>1.2</v>
          </cell>
          <cell r="L286">
            <v>0</v>
          </cell>
          <cell r="M286">
            <v>0</v>
          </cell>
          <cell r="N286">
            <v>0</v>
          </cell>
          <cell r="O286">
            <v>0</v>
          </cell>
          <cell r="P286">
            <v>3</v>
          </cell>
        </row>
        <row r="287">
          <cell r="A287" t="str">
            <v>80S</v>
          </cell>
          <cell r="B287" t="str">
            <v>80S</v>
          </cell>
          <cell r="C287">
            <v>4</v>
          </cell>
          <cell r="D287">
            <v>8.56</v>
          </cell>
          <cell r="E287">
            <v>1</v>
          </cell>
          <cell r="F287">
            <v>0</v>
          </cell>
          <cell r="G287">
            <v>0</v>
          </cell>
          <cell r="H287">
            <v>0</v>
          </cell>
          <cell r="I287">
            <v>0.41</v>
          </cell>
          <cell r="J287">
            <v>0.93</v>
          </cell>
          <cell r="K287">
            <v>1.34</v>
          </cell>
          <cell r="L287">
            <v>0</v>
          </cell>
          <cell r="M287">
            <v>0</v>
          </cell>
          <cell r="N287">
            <v>0</v>
          </cell>
          <cell r="O287">
            <v>0</v>
          </cell>
          <cell r="P287">
            <v>3</v>
          </cell>
        </row>
        <row r="288">
          <cell r="B288" t="str">
            <v>80S</v>
          </cell>
          <cell r="C288">
            <v>5</v>
          </cell>
          <cell r="D288">
            <v>9.5299999999999994</v>
          </cell>
          <cell r="E288">
            <v>1</v>
          </cell>
          <cell r="F288">
            <v>0</v>
          </cell>
          <cell r="G288">
            <v>0</v>
          </cell>
          <cell r="H288">
            <v>0</v>
          </cell>
          <cell r="I288">
            <v>0.51</v>
          </cell>
          <cell r="J288">
            <v>1.59</v>
          </cell>
          <cell r="K288">
            <v>2.1</v>
          </cell>
          <cell r="L288">
            <v>0</v>
          </cell>
          <cell r="M288">
            <v>0</v>
          </cell>
          <cell r="N288">
            <v>0</v>
          </cell>
          <cell r="O288">
            <v>0</v>
          </cell>
          <cell r="P288">
            <v>4</v>
          </cell>
        </row>
        <row r="289">
          <cell r="B289" t="str">
            <v>80S</v>
          </cell>
          <cell r="C289">
            <v>6</v>
          </cell>
          <cell r="D289">
            <v>10.97</v>
          </cell>
          <cell r="E289">
            <v>1.25</v>
          </cell>
          <cell r="F289">
            <v>0</v>
          </cell>
          <cell r="G289">
            <v>0</v>
          </cell>
          <cell r="H289">
            <v>0</v>
          </cell>
          <cell r="I289">
            <v>0.61</v>
          </cell>
          <cell r="J289">
            <v>2.69</v>
          </cell>
          <cell r="K289">
            <v>3.3</v>
          </cell>
          <cell r="L289">
            <v>0</v>
          </cell>
          <cell r="M289">
            <v>0</v>
          </cell>
          <cell r="N289">
            <v>0</v>
          </cell>
          <cell r="O289">
            <v>0</v>
          </cell>
          <cell r="P289">
            <v>4</v>
          </cell>
        </row>
        <row r="290">
          <cell r="B290" t="str">
            <v>80S</v>
          </cell>
          <cell r="C290">
            <v>8</v>
          </cell>
          <cell r="D290">
            <v>12.7</v>
          </cell>
          <cell r="E290">
            <v>1.25</v>
          </cell>
          <cell r="F290">
            <v>0</v>
          </cell>
          <cell r="G290">
            <v>0</v>
          </cell>
          <cell r="H290">
            <v>0</v>
          </cell>
          <cell r="I290">
            <v>0.81</v>
          </cell>
          <cell r="J290">
            <v>4.58</v>
          </cell>
          <cell r="K290">
            <v>5.3900000000000006</v>
          </cell>
          <cell r="L290">
            <v>0</v>
          </cell>
          <cell r="M290">
            <v>0</v>
          </cell>
          <cell r="N290">
            <v>0</v>
          </cell>
          <cell r="O290">
            <v>0</v>
          </cell>
          <cell r="P290">
            <v>4</v>
          </cell>
        </row>
        <row r="291">
          <cell r="B291" t="str">
            <v>80S</v>
          </cell>
          <cell r="C291">
            <v>10</v>
          </cell>
          <cell r="D291">
            <v>12.7</v>
          </cell>
          <cell r="E291">
            <v>1.25</v>
          </cell>
          <cell r="F291">
            <v>0</v>
          </cell>
          <cell r="G291">
            <v>0</v>
          </cell>
          <cell r="H291">
            <v>0</v>
          </cell>
          <cell r="I291">
            <v>1.01</v>
          </cell>
          <cell r="J291">
            <v>5.74</v>
          </cell>
          <cell r="K291">
            <v>6.75</v>
          </cell>
          <cell r="L291">
            <v>0</v>
          </cell>
          <cell r="M291">
            <v>0</v>
          </cell>
          <cell r="N291">
            <v>0</v>
          </cell>
          <cell r="O291">
            <v>0</v>
          </cell>
          <cell r="P291">
            <v>4</v>
          </cell>
        </row>
        <row r="292">
          <cell r="B292" t="str">
            <v>80S</v>
          </cell>
          <cell r="C292">
            <v>12</v>
          </cell>
          <cell r="D292">
            <v>12.7</v>
          </cell>
          <cell r="E292">
            <v>1.25</v>
          </cell>
          <cell r="F292">
            <v>0</v>
          </cell>
          <cell r="G292">
            <v>0</v>
          </cell>
          <cell r="H292">
            <v>0</v>
          </cell>
          <cell r="I292">
            <v>1.22</v>
          </cell>
          <cell r="J292">
            <v>6.73</v>
          </cell>
          <cell r="K292">
            <v>7.95</v>
          </cell>
          <cell r="L292">
            <v>0</v>
          </cell>
          <cell r="M292">
            <v>0</v>
          </cell>
          <cell r="N292">
            <v>0</v>
          </cell>
          <cell r="O292">
            <v>0</v>
          </cell>
          <cell r="P292">
            <v>6</v>
          </cell>
        </row>
        <row r="293">
          <cell r="B293">
            <v>100</v>
          </cell>
          <cell r="C293">
            <v>8</v>
          </cell>
          <cell r="D293">
            <v>15.09</v>
          </cell>
          <cell r="E293">
            <v>1.5</v>
          </cell>
          <cell r="F293">
            <v>0</v>
          </cell>
          <cell r="G293">
            <v>0</v>
          </cell>
          <cell r="H293">
            <v>0</v>
          </cell>
          <cell r="I293">
            <v>0.81</v>
          </cell>
          <cell r="J293">
            <v>6.09</v>
          </cell>
          <cell r="K293">
            <v>6.9</v>
          </cell>
          <cell r="L293">
            <v>0</v>
          </cell>
          <cell r="M293">
            <v>0</v>
          </cell>
          <cell r="N293">
            <v>0</v>
          </cell>
          <cell r="O293">
            <v>0</v>
          </cell>
          <cell r="P293">
            <v>4</v>
          </cell>
        </row>
        <row r="294">
          <cell r="B294">
            <v>100</v>
          </cell>
          <cell r="C294">
            <v>10</v>
          </cell>
          <cell r="D294">
            <v>18.260000000000002</v>
          </cell>
          <cell r="E294">
            <v>1.5</v>
          </cell>
          <cell r="F294">
            <v>0</v>
          </cell>
          <cell r="G294">
            <v>0</v>
          </cell>
          <cell r="H294">
            <v>0</v>
          </cell>
          <cell r="I294">
            <v>1.01</v>
          </cell>
          <cell r="J294">
            <v>11.44</v>
          </cell>
          <cell r="K294">
            <v>12.45</v>
          </cell>
          <cell r="L294">
            <v>0</v>
          </cell>
          <cell r="M294">
            <v>0</v>
          </cell>
          <cell r="N294">
            <v>0</v>
          </cell>
          <cell r="O294">
            <v>0</v>
          </cell>
          <cell r="P294">
            <v>4</v>
          </cell>
        </row>
        <row r="295">
          <cell r="B295">
            <v>100</v>
          </cell>
          <cell r="C295">
            <v>12</v>
          </cell>
          <cell r="D295">
            <v>21.44</v>
          </cell>
          <cell r="E295">
            <v>2</v>
          </cell>
          <cell r="F295">
            <v>0</v>
          </cell>
          <cell r="G295">
            <v>0</v>
          </cell>
          <cell r="H295">
            <v>0</v>
          </cell>
          <cell r="I295">
            <v>1.22</v>
          </cell>
          <cell r="J295">
            <v>15.28</v>
          </cell>
          <cell r="K295">
            <v>16.5</v>
          </cell>
          <cell r="L295">
            <v>0</v>
          </cell>
          <cell r="M295">
            <v>0</v>
          </cell>
          <cell r="N295">
            <v>0</v>
          </cell>
          <cell r="O295">
            <v>0</v>
          </cell>
          <cell r="P295">
            <v>6</v>
          </cell>
        </row>
        <row r="296">
          <cell r="B296">
            <v>100</v>
          </cell>
          <cell r="C296">
            <v>14</v>
          </cell>
          <cell r="D296">
            <v>23.83</v>
          </cell>
          <cell r="E296">
            <v>2</v>
          </cell>
          <cell r="F296">
            <v>0</v>
          </cell>
          <cell r="G296">
            <v>0</v>
          </cell>
          <cell r="H296">
            <v>0</v>
          </cell>
          <cell r="I296">
            <v>1.42</v>
          </cell>
          <cell r="J296">
            <v>21.07</v>
          </cell>
          <cell r="K296">
            <v>22.490000000000002</v>
          </cell>
          <cell r="L296">
            <v>0</v>
          </cell>
          <cell r="M296">
            <v>0</v>
          </cell>
          <cell r="N296">
            <v>0</v>
          </cell>
          <cell r="O296">
            <v>0</v>
          </cell>
          <cell r="P296">
            <v>6</v>
          </cell>
        </row>
        <row r="297">
          <cell r="B297">
            <v>100</v>
          </cell>
          <cell r="C297">
            <v>16</v>
          </cell>
          <cell r="D297">
            <v>26.19</v>
          </cell>
          <cell r="E297" t="str">
            <v>N</v>
          </cell>
          <cell r="F297">
            <v>0</v>
          </cell>
          <cell r="G297">
            <v>0</v>
          </cell>
          <cell r="H297">
            <v>0</v>
          </cell>
          <cell r="I297">
            <v>1.62</v>
          </cell>
          <cell r="J297">
            <v>28.38</v>
          </cell>
          <cell r="K297">
            <v>30</v>
          </cell>
          <cell r="L297">
            <v>0</v>
          </cell>
          <cell r="M297">
            <v>0</v>
          </cell>
          <cell r="N297">
            <v>0</v>
          </cell>
          <cell r="O297">
            <v>0</v>
          </cell>
          <cell r="P297">
            <v>6</v>
          </cell>
        </row>
        <row r="298">
          <cell r="B298">
            <v>100</v>
          </cell>
          <cell r="C298">
            <v>18</v>
          </cell>
          <cell r="D298">
            <v>29.36</v>
          </cell>
          <cell r="E298" t="str">
            <v>N</v>
          </cell>
          <cell r="F298">
            <v>0</v>
          </cell>
          <cell r="G298">
            <v>0</v>
          </cell>
          <cell r="H298">
            <v>0</v>
          </cell>
          <cell r="I298">
            <v>1.82</v>
          </cell>
          <cell r="J298">
            <v>37.17</v>
          </cell>
          <cell r="K298">
            <v>38.99</v>
          </cell>
          <cell r="L298">
            <v>0</v>
          </cell>
          <cell r="M298">
            <v>0</v>
          </cell>
          <cell r="N298">
            <v>0</v>
          </cell>
          <cell r="O298">
            <v>0</v>
          </cell>
          <cell r="P298">
            <v>6</v>
          </cell>
        </row>
        <row r="299">
          <cell r="B299">
            <v>100</v>
          </cell>
          <cell r="C299">
            <v>20</v>
          </cell>
          <cell r="D299">
            <v>32.54</v>
          </cell>
          <cell r="E299" t="str">
            <v>N</v>
          </cell>
          <cell r="F299">
            <v>0</v>
          </cell>
          <cell r="G299">
            <v>0</v>
          </cell>
          <cell r="H299">
            <v>0</v>
          </cell>
          <cell r="I299">
            <v>2.0299999999999998</v>
          </cell>
          <cell r="J299">
            <v>45.97</v>
          </cell>
          <cell r="K299">
            <v>48</v>
          </cell>
          <cell r="L299">
            <v>0</v>
          </cell>
          <cell r="M299">
            <v>0</v>
          </cell>
          <cell r="N299">
            <v>0</v>
          </cell>
          <cell r="O299">
            <v>0</v>
          </cell>
          <cell r="P299">
            <v>7</v>
          </cell>
        </row>
        <row r="300">
          <cell r="B300">
            <v>100</v>
          </cell>
          <cell r="C300">
            <v>22</v>
          </cell>
          <cell r="D300">
            <v>34.93</v>
          </cell>
          <cell r="E300" t="str">
            <v>N</v>
          </cell>
          <cell r="F300">
            <v>0</v>
          </cell>
          <cell r="G300">
            <v>0</v>
          </cell>
          <cell r="H300">
            <v>0</v>
          </cell>
          <cell r="I300">
            <v>2.23</v>
          </cell>
          <cell r="J300">
            <v>65.27</v>
          </cell>
          <cell r="K300">
            <v>67.5</v>
          </cell>
          <cell r="L300">
            <v>0</v>
          </cell>
          <cell r="M300">
            <v>0</v>
          </cell>
          <cell r="N300">
            <v>0</v>
          </cell>
          <cell r="O300">
            <v>0</v>
          </cell>
          <cell r="P300">
            <v>8</v>
          </cell>
        </row>
        <row r="301">
          <cell r="B301">
            <v>100</v>
          </cell>
          <cell r="C301">
            <v>24</v>
          </cell>
          <cell r="D301">
            <v>38.89</v>
          </cell>
          <cell r="E301" t="str">
            <v>N</v>
          </cell>
          <cell r="F301">
            <v>0</v>
          </cell>
          <cell r="G301">
            <v>0</v>
          </cell>
          <cell r="H301">
            <v>0</v>
          </cell>
          <cell r="I301">
            <v>2.4300000000000002</v>
          </cell>
          <cell r="J301">
            <v>75.56</v>
          </cell>
          <cell r="K301">
            <v>77.990000000000009</v>
          </cell>
          <cell r="L301">
            <v>0</v>
          </cell>
          <cell r="M301">
            <v>0</v>
          </cell>
          <cell r="N301">
            <v>0</v>
          </cell>
          <cell r="O301">
            <v>0</v>
          </cell>
          <cell r="P301">
            <v>8</v>
          </cell>
        </row>
        <row r="302">
          <cell r="B302">
            <v>120</v>
          </cell>
          <cell r="C302">
            <v>4</v>
          </cell>
          <cell r="D302">
            <v>11.13</v>
          </cell>
          <cell r="E302">
            <v>1.25</v>
          </cell>
          <cell r="F302">
            <v>0</v>
          </cell>
          <cell r="G302">
            <v>0</v>
          </cell>
          <cell r="H302">
            <v>0</v>
          </cell>
          <cell r="I302">
            <v>0.41</v>
          </cell>
          <cell r="J302">
            <v>1.84</v>
          </cell>
          <cell r="K302">
            <v>2.25</v>
          </cell>
          <cell r="L302">
            <v>0</v>
          </cell>
          <cell r="M302">
            <v>0</v>
          </cell>
          <cell r="N302">
            <v>0</v>
          </cell>
          <cell r="O302">
            <v>0</v>
          </cell>
          <cell r="P302">
            <v>4</v>
          </cell>
        </row>
        <row r="303">
          <cell r="B303">
            <v>120</v>
          </cell>
          <cell r="C303">
            <v>5</v>
          </cell>
          <cell r="D303">
            <v>12.7</v>
          </cell>
          <cell r="E303">
            <v>1.25</v>
          </cell>
          <cell r="F303">
            <v>0</v>
          </cell>
          <cell r="G303">
            <v>0</v>
          </cell>
          <cell r="H303">
            <v>0</v>
          </cell>
          <cell r="I303">
            <v>0.51</v>
          </cell>
          <cell r="J303">
            <v>2.94</v>
          </cell>
          <cell r="K303">
            <v>3.45</v>
          </cell>
          <cell r="L303">
            <v>0</v>
          </cell>
          <cell r="M303">
            <v>0</v>
          </cell>
          <cell r="N303">
            <v>0</v>
          </cell>
          <cell r="O303">
            <v>0</v>
          </cell>
          <cell r="P303">
            <v>4</v>
          </cell>
        </row>
        <row r="304">
          <cell r="B304">
            <v>120</v>
          </cell>
          <cell r="C304">
            <v>6</v>
          </cell>
          <cell r="D304">
            <v>14.27</v>
          </cell>
          <cell r="E304">
            <v>1.25</v>
          </cell>
          <cell r="F304">
            <v>0</v>
          </cell>
          <cell r="G304">
            <v>0</v>
          </cell>
          <cell r="H304">
            <v>0</v>
          </cell>
          <cell r="I304">
            <v>0.61</v>
          </cell>
          <cell r="J304">
            <v>4.1900000000000004</v>
          </cell>
          <cell r="K304">
            <v>4.8000000000000007</v>
          </cell>
          <cell r="L304">
            <v>0</v>
          </cell>
          <cell r="M304">
            <v>0</v>
          </cell>
          <cell r="N304">
            <v>0</v>
          </cell>
          <cell r="O304">
            <v>0</v>
          </cell>
          <cell r="P304">
            <v>4</v>
          </cell>
        </row>
        <row r="305">
          <cell r="B305">
            <v>120</v>
          </cell>
          <cell r="C305">
            <v>8</v>
          </cell>
          <cell r="D305">
            <v>18.260000000000002</v>
          </cell>
          <cell r="E305">
            <v>1.5</v>
          </cell>
          <cell r="F305">
            <v>0</v>
          </cell>
          <cell r="G305">
            <v>0</v>
          </cell>
          <cell r="H305">
            <v>0</v>
          </cell>
          <cell r="I305">
            <v>0.81</v>
          </cell>
          <cell r="J305">
            <v>9.23</v>
          </cell>
          <cell r="K305">
            <v>10.040000000000001</v>
          </cell>
          <cell r="L305">
            <v>0</v>
          </cell>
          <cell r="M305">
            <v>0</v>
          </cell>
          <cell r="N305">
            <v>0</v>
          </cell>
          <cell r="O305">
            <v>0</v>
          </cell>
          <cell r="P305">
            <v>4</v>
          </cell>
        </row>
        <row r="306">
          <cell r="B306">
            <v>120</v>
          </cell>
          <cell r="C306">
            <v>10</v>
          </cell>
          <cell r="D306">
            <v>21.44</v>
          </cell>
          <cell r="E306">
            <v>2</v>
          </cell>
          <cell r="F306">
            <v>0</v>
          </cell>
          <cell r="G306">
            <v>0</v>
          </cell>
          <cell r="H306">
            <v>0</v>
          </cell>
          <cell r="I306">
            <v>1.01</v>
          </cell>
          <cell r="J306">
            <v>12.49</v>
          </cell>
          <cell r="K306">
            <v>13.5</v>
          </cell>
          <cell r="L306">
            <v>0</v>
          </cell>
          <cell r="M306">
            <v>0</v>
          </cell>
          <cell r="N306">
            <v>0</v>
          </cell>
          <cell r="O306">
            <v>0</v>
          </cell>
          <cell r="P306">
            <v>4</v>
          </cell>
        </row>
        <row r="307">
          <cell r="B307">
            <v>120</v>
          </cell>
          <cell r="C307">
            <v>12</v>
          </cell>
          <cell r="D307">
            <v>25.4</v>
          </cell>
          <cell r="E307" t="str">
            <v>N</v>
          </cell>
          <cell r="F307">
            <v>0</v>
          </cell>
          <cell r="G307">
            <v>0</v>
          </cell>
          <cell r="H307">
            <v>0</v>
          </cell>
          <cell r="I307">
            <v>1.22</v>
          </cell>
          <cell r="J307">
            <v>21.27</v>
          </cell>
          <cell r="K307">
            <v>22.49</v>
          </cell>
          <cell r="L307">
            <v>0</v>
          </cell>
          <cell r="M307">
            <v>0</v>
          </cell>
          <cell r="N307">
            <v>0</v>
          </cell>
          <cell r="O307">
            <v>0</v>
          </cell>
          <cell r="P307">
            <v>6</v>
          </cell>
        </row>
        <row r="308">
          <cell r="B308">
            <v>120</v>
          </cell>
          <cell r="C308">
            <v>14</v>
          </cell>
          <cell r="D308">
            <v>27.79</v>
          </cell>
          <cell r="E308" t="str">
            <v>N</v>
          </cell>
          <cell r="F308">
            <v>0</v>
          </cell>
          <cell r="G308">
            <v>0</v>
          </cell>
          <cell r="H308">
            <v>0</v>
          </cell>
          <cell r="I308">
            <v>1.42</v>
          </cell>
          <cell r="J308">
            <v>25.58</v>
          </cell>
          <cell r="K308">
            <v>27</v>
          </cell>
          <cell r="L308">
            <v>0</v>
          </cell>
          <cell r="M308">
            <v>0</v>
          </cell>
          <cell r="N308">
            <v>0</v>
          </cell>
          <cell r="O308">
            <v>0</v>
          </cell>
          <cell r="P308">
            <v>6</v>
          </cell>
        </row>
        <row r="309">
          <cell r="B309">
            <v>120</v>
          </cell>
          <cell r="C309">
            <v>16</v>
          </cell>
          <cell r="D309">
            <v>30.96</v>
          </cell>
          <cell r="E309" t="str">
            <v>N</v>
          </cell>
          <cell r="F309">
            <v>0</v>
          </cell>
          <cell r="G309">
            <v>0</v>
          </cell>
          <cell r="H309">
            <v>0</v>
          </cell>
          <cell r="I309">
            <v>1.62</v>
          </cell>
          <cell r="J309">
            <v>35.880000000000003</v>
          </cell>
          <cell r="K309">
            <v>37.5</v>
          </cell>
          <cell r="L309">
            <v>0</v>
          </cell>
          <cell r="M309">
            <v>0</v>
          </cell>
          <cell r="N309">
            <v>0</v>
          </cell>
          <cell r="O309">
            <v>0</v>
          </cell>
          <cell r="P309">
            <v>6</v>
          </cell>
        </row>
        <row r="310">
          <cell r="B310">
            <v>120</v>
          </cell>
          <cell r="C310">
            <v>18</v>
          </cell>
          <cell r="D310">
            <v>34.93</v>
          </cell>
          <cell r="E310" t="str">
            <v>N</v>
          </cell>
          <cell r="F310">
            <v>0</v>
          </cell>
          <cell r="G310">
            <v>0</v>
          </cell>
          <cell r="H310">
            <v>0</v>
          </cell>
          <cell r="I310">
            <v>1.82</v>
          </cell>
          <cell r="J310">
            <v>47.68</v>
          </cell>
          <cell r="K310">
            <v>49.5</v>
          </cell>
          <cell r="L310">
            <v>0</v>
          </cell>
          <cell r="M310">
            <v>0</v>
          </cell>
          <cell r="N310">
            <v>0</v>
          </cell>
          <cell r="O310">
            <v>0</v>
          </cell>
          <cell r="P310">
            <v>6</v>
          </cell>
        </row>
        <row r="311">
          <cell r="B311">
            <v>120</v>
          </cell>
          <cell r="C311">
            <v>20</v>
          </cell>
          <cell r="D311">
            <v>38.1</v>
          </cell>
          <cell r="E311" t="str">
            <v>N</v>
          </cell>
          <cell r="F311">
            <v>0</v>
          </cell>
          <cell r="G311">
            <v>0</v>
          </cell>
          <cell r="H311">
            <v>0</v>
          </cell>
          <cell r="I311">
            <v>2.0299999999999998</v>
          </cell>
          <cell r="J311">
            <v>62.47</v>
          </cell>
          <cell r="K311">
            <v>64.5</v>
          </cell>
          <cell r="L311">
            <v>0</v>
          </cell>
          <cell r="M311">
            <v>0</v>
          </cell>
          <cell r="N311">
            <v>0</v>
          </cell>
          <cell r="O311">
            <v>0</v>
          </cell>
          <cell r="P311">
            <v>7</v>
          </cell>
        </row>
        <row r="312">
          <cell r="B312">
            <v>120</v>
          </cell>
          <cell r="C312">
            <v>22</v>
          </cell>
          <cell r="D312">
            <v>41.28</v>
          </cell>
          <cell r="E312" t="str">
            <v>N</v>
          </cell>
          <cell r="F312">
            <v>0</v>
          </cell>
          <cell r="G312">
            <v>0</v>
          </cell>
          <cell r="H312">
            <v>0</v>
          </cell>
          <cell r="I312">
            <v>2.23</v>
          </cell>
          <cell r="J312">
            <v>84.76</v>
          </cell>
          <cell r="K312">
            <v>86.990000000000009</v>
          </cell>
          <cell r="L312">
            <v>0</v>
          </cell>
          <cell r="M312">
            <v>0</v>
          </cell>
          <cell r="N312">
            <v>0</v>
          </cell>
          <cell r="O312">
            <v>0</v>
          </cell>
          <cell r="P312">
            <v>8</v>
          </cell>
        </row>
        <row r="313">
          <cell r="B313">
            <v>120</v>
          </cell>
          <cell r="C313">
            <v>24</v>
          </cell>
          <cell r="D313">
            <v>46.02</v>
          </cell>
          <cell r="E313" t="str">
            <v>N</v>
          </cell>
          <cell r="F313">
            <v>0</v>
          </cell>
          <cell r="G313">
            <v>0</v>
          </cell>
          <cell r="H313">
            <v>0</v>
          </cell>
          <cell r="I313">
            <v>2.4300000000000002</v>
          </cell>
          <cell r="J313">
            <v>98.07</v>
          </cell>
          <cell r="K313">
            <v>100.5</v>
          </cell>
          <cell r="L313">
            <v>100.5</v>
          </cell>
          <cell r="M313">
            <v>100.5</v>
          </cell>
          <cell r="N313">
            <v>100.5</v>
          </cell>
          <cell r="O313">
            <v>100.5</v>
          </cell>
          <cell r="P313">
            <v>8</v>
          </cell>
          <cell r="Q313">
            <v>8</v>
          </cell>
          <cell r="R313">
            <v>8</v>
          </cell>
        </row>
        <row r="314">
          <cell r="B314">
            <v>140</v>
          </cell>
          <cell r="C314">
            <v>8</v>
          </cell>
          <cell r="D314">
            <v>20.62</v>
          </cell>
          <cell r="E314">
            <v>2</v>
          </cell>
          <cell r="F314">
            <v>0</v>
          </cell>
          <cell r="G314">
            <v>0</v>
          </cell>
          <cell r="H314">
            <v>0</v>
          </cell>
          <cell r="I314">
            <v>0.81</v>
          </cell>
          <cell r="J314">
            <v>10.130000000000001</v>
          </cell>
          <cell r="K314">
            <v>10.940000000000001</v>
          </cell>
          <cell r="L314">
            <v>0</v>
          </cell>
          <cell r="M314">
            <v>0</v>
          </cell>
          <cell r="N314">
            <v>0</v>
          </cell>
          <cell r="O314">
            <v>0</v>
          </cell>
          <cell r="P314">
            <v>4</v>
          </cell>
        </row>
        <row r="315">
          <cell r="B315">
            <v>140</v>
          </cell>
          <cell r="C315">
            <v>10</v>
          </cell>
          <cell r="D315">
            <v>25.4</v>
          </cell>
          <cell r="E315" t="str">
            <v>N</v>
          </cell>
          <cell r="F315">
            <v>0</v>
          </cell>
          <cell r="G315">
            <v>0</v>
          </cell>
          <cell r="H315">
            <v>0</v>
          </cell>
          <cell r="I315">
            <v>1.01</v>
          </cell>
          <cell r="J315">
            <v>18.48</v>
          </cell>
          <cell r="K315">
            <v>19.490000000000002</v>
          </cell>
          <cell r="L315">
            <v>0</v>
          </cell>
          <cell r="M315">
            <v>0</v>
          </cell>
          <cell r="N315">
            <v>0</v>
          </cell>
          <cell r="O315">
            <v>0</v>
          </cell>
          <cell r="P315">
            <v>4</v>
          </cell>
        </row>
        <row r="316">
          <cell r="B316">
            <v>140</v>
          </cell>
          <cell r="C316">
            <v>12</v>
          </cell>
          <cell r="D316">
            <v>28.58</v>
          </cell>
          <cell r="E316" t="str">
            <v>N</v>
          </cell>
          <cell r="F316">
            <v>0</v>
          </cell>
          <cell r="G316">
            <v>0</v>
          </cell>
          <cell r="H316">
            <v>0</v>
          </cell>
          <cell r="I316">
            <v>1.22</v>
          </cell>
          <cell r="J316">
            <v>25.78</v>
          </cell>
          <cell r="K316">
            <v>27</v>
          </cell>
          <cell r="L316">
            <v>0</v>
          </cell>
          <cell r="M316">
            <v>0</v>
          </cell>
          <cell r="N316">
            <v>0</v>
          </cell>
          <cell r="O316">
            <v>0</v>
          </cell>
          <cell r="P316">
            <v>6</v>
          </cell>
        </row>
        <row r="317">
          <cell r="B317">
            <v>140</v>
          </cell>
          <cell r="C317">
            <v>14</v>
          </cell>
          <cell r="D317">
            <v>31.75</v>
          </cell>
          <cell r="E317" t="str">
            <v>N</v>
          </cell>
          <cell r="F317">
            <v>0</v>
          </cell>
          <cell r="G317">
            <v>0</v>
          </cell>
          <cell r="H317">
            <v>0</v>
          </cell>
          <cell r="I317">
            <v>1.42</v>
          </cell>
          <cell r="J317">
            <v>31.58</v>
          </cell>
          <cell r="K317">
            <v>33</v>
          </cell>
          <cell r="L317">
            <v>0</v>
          </cell>
          <cell r="M317">
            <v>0</v>
          </cell>
          <cell r="N317">
            <v>0</v>
          </cell>
          <cell r="O317">
            <v>0</v>
          </cell>
          <cell r="P317">
            <v>6</v>
          </cell>
        </row>
        <row r="318">
          <cell r="B318">
            <v>140</v>
          </cell>
          <cell r="C318">
            <v>16</v>
          </cell>
          <cell r="D318">
            <v>36.53</v>
          </cell>
          <cell r="E318" t="str">
            <v>N</v>
          </cell>
          <cell r="F318">
            <v>0</v>
          </cell>
          <cell r="G318">
            <v>0</v>
          </cell>
          <cell r="H318">
            <v>0</v>
          </cell>
          <cell r="I318">
            <v>1.62</v>
          </cell>
          <cell r="J318">
            <v>44.87</v>
          </cell>
          <cell r="K318">
            <v>46.489999999999995</v>
          </cell>
          <cell r="L318">
            <v>0</v>
          </cell>
          <cell r="M318">
            <v>0</v>
          </cell>
          <cell r="N318">
            <v>0</v>
          </cell>
          <cell r="O318">
            <v>0</v>
          </cell>
          <cell r="P318">
            <v>6</v>
          </cell>
        </row>
        <row r="319">
          <cell r="B319">
            <v>140</v>
          </cell>
          <cell r="C319">
            <v>18</v>
          </cell>
          <cell r="D319">
            <v>39.67</v>
          </cell>
          <cell r="E319" t="str">
            <v>N</v>
          </cell>
          <cell r="F319">
            <v>0</v>
          </cell>
          <cell r="G319">
            <v>0</v>
          </cell>
          <cell r="H319">
            <v>0</v>
          </cell>
          <cell r="I319">
            <v>1.82</v>
          </cell>
          <cell r="J319">
            <v>59.68</v>
          </cell>
          <cell r="K319">
            <v>61.5</v>
          </cell>
          <cell r="L319">
            <v>0</v>
          </cell>
          <cell r="M319">
            <v>0</v>
          </cell>
          <cell r="N319">
            <v>0</v>
          </cell>
          <cell r="O319">
            <v>0</v>
          </cell>
          <cell r="P319">
            <v>6</v>
          </cell>
        </row>
        <row r="320">
          <cell r="B320">
            <v>140</v>
          </cell>
          <cell r="C320">
            <v>20</v>
          </cell>
          <cell r="D320">
            <v>44.45</v>
          </cell>
          <cell r="E320" t="str">
            <v>N</v>
          </cell>
          <cell r="F320">
            <v>0</v>
          </cell>
          <cell r="G320">
            <v>0</v>
          </cell>
          <cell r="H320">
            <v>0</v>
          </cell>
          <cell r="I320">
            <v>2.0299999999999998</v>
          </cell>
          <cell r="J320">
            <v>78.959999999999994</v>
          </cell>
          <cell r="K320">
            <v>80.989999999999995</v>
          </cell>
          <cell r="L320">
            <v>0</v>
          </cell>
          <cell r="M320">
            <v>0</v>
          </cell>
          <cell r="N320">
            <v>0</v>
          </cell>
          <cell r="O320">
            <v>0</v>
          </cell>
          <cell r="P320">
            <v>7</v>
          </cell>
        </row>
        <row r="321">
          <cell r="B321">
            <v>140</v>
          </cell>
          <cell r="C321">
            <v>22</v>
          </cell>
          <cell r="D321">
            <v>47.63</v>
          </cell>
          <cell r="E321" t="str">
            <v>N</v>
          </cell>
          <cell r="F321">
            <v>0</v>
          </cell>
          <cell r="G321">
            <v>0</v>
          </cell>
          <cell r="H321">
            <v>0</v>
          </cell>
          <cell r="I321">
            <v>2.23</v>
          </cell>
          <cell r="J321">
            <v>108.77</v>
          </cell>
          <cell r="K321">
            <v>111</v>
          </cell>
          <cell r="L321">
            <v>0</v>
          </cell>
          <cell r="M321">
            <v>0</v>
          </cell>
          <cell r="N321">
            <v>0</v>
          </cell>
          <cell r="O321">
            <v>0</v>
          </cell>
          <cell r="P321">
            <v>8</v>
          </cell>
        </row>
        <row r="322">
          <cell r="B322">
            <v>140</v>
          </cell>
          <cell r="C322">
            <v>24</v>
          </cell>
          <cell r="D322">
            <v>52.37</v>
          </cell>
          <cell r="E322" t="str">
            <v>N</v>
          </cell>
          <cell r="F322">
            <v>0</v>
          </cell>
          <cell r="G322">
            <v>0</v>
          </cell>
          <cell r="H322">
            <v>0</v>
          </cell>
          <cell r="I322">
            <v>2.4300000000000002</v>
          </cell>
          <cell r="J322">
            <v>126.57</v>
          </cell>
          <cell r="K322">
            <v>129</v>
          </cell>
          <cell r="L322">
            <v>0</v>
          </cell>
          <cell r="M322">
            <v>0</v>
          </cell>
          <cell r="N322">
            <v>0</v>
          </cell>
          <cell r="O322">
            <v>0</v>
          </cell>
          <cell r="P322">
            <v>8</v>
          </cell>
        </row>
        <row r="323">
          <cell r="B323">
            <v>160</v>
          </cell>
          <cell r="C323">
            <v>0.5</v>
          </cell>
          <cell r="D323">
            <v>4.78</v>
          </cell>
          <cell r="E323">
            <v>1</v>
          </cell>
          <cell r="F323">
            <v>0</v>
          </cell>
          <cell r="G323">
            <v>0</v>
          </cell>
          <cell r="H323">
            <v>0</v>
          </cell>
          <cell r="I323">
            <v>7.0000000000000007E-2</v>
          </cell>
          <cell r="J323">
            <v>0.08</v>
          </cell>
          <cell r="K323">
            <v>0.15000000000000002</v>
          </cell>
          <cell r="L323">
            <v>0</v>
          </cell>
          <cell r="M323">
            <v>0</v>
          </cell>
          <cell r="N323">
            <v>0</v>
          </cell>
          <cell r="O323">
            <v>0</v>
          </cell>
          <cell r="P323">
            <v>2</v>
          </cell>
        </row>
        <row r="324">
          <cell r="B324">
            <v>160</v>
          </cell>
          <cell r="C324">
            <v>0.5</v>
          </cell>
          <cell r="D324">
            <v>4.78</v>
          </cell>
          <cell r="E324">
            <v>1</v>
          </cell>
          <cell r="F324">
            <v>0</v>
          </cell>
          <cell r="G324">
            <v>0</v>
          </cell>
          <cell r="H324">
            <v>0</v>
          </cell>
          <cell r="I324">
            <v>7.0000000000000007E-2</v>
          </cell>
          <cell r="J324">
            <v>0.08</v>
          </cell>
          <cell r="K324">
            <v>0.15000000000000002</v>
          </cell>
          <cell r="L324">
            <v>0</v>
          </cell>
          <cell r="M324">
            <v>0</v>
          </cell>
          <cell r="N324">
            <v>0</v>
          </cell>
          <cell r="O324">
            <v>0</v>
          </cell>
          <cell r="P324">
            <v>2</v>
          </cell>
        </row>
        <row r="325">
          <cell r="B325">
            <v>160</v>
          </cell>
          <cell r="C325">
            <v>0.5</v>
          </cell>
          <cell r="D325">
            <v>4.78</v>
          </cell>
          <cell r="E325">
            <v>1</v>
          </cell>
          <cell r="F325">
            <v>0</v>
          </cell>
          <cell r="G325">
            <v>0</v>
          </cell>
          <cell r="H325">
            <v>0</v>
          </cell>
          <cell r="I325">
            <v>7.0000000000000007E-2</v>
          </cell>
          <cell r="J325">
            <v>0.08</v>
          </cell>
          <cell r="K325">
            <v>0.15000000000000002</v>
          </cell>
          <cell r="L325">
            <v>0</v>
          </cell>
          <cell r="M325">
            <v>0</v>
          </cell>
          <cell r="N325">
            <v>0</v>
          </cell>
          <cell r="O325">
            <v>0</v>
          </cell>
          <cell r="P325">
            <v>2</v>
          </cell>
        </row>
        <row r="326">
          <cell r="B326">
            <v>160</v>
          </cell>
          <cell r="C326">
            <v>0.75</v>
          </cell>
          <cell r="D326">
            <v>5.56</v>
          </cell>
          <cell r="E326">
            <v>1</v>
          </cell>
          <cell r="F326">
            <v>0</v>
          </cell>
          <cell r="G326">
            <v>0</v>
          </cell>
          <cell r="H326">
            <v>0</v>
          </cell>
          <cell r="I326">
            <v>0.08</v>
          </cell>
          <cell r="J326">
            <v>7.0000000000000007E-2</v>
          </cell>
          <cell r="K326">
            <v>0.15000000000000002</v>
          </cell>
          <cell r="L326">
            <v>0</v>
          </cell>
          <cell r="M326">
            <v>0</v>
          </cell>
          <cell r="N326">
            <v>0</v>
          </cell>
          <cell r="O326">
            <v>0</v>
          </cell>
          <cell r="P326">
            <v>2</v>
          </cell>
        </row>
        <row r="327">
          <cell r="B327">
            <v>160</v>
          </cell>
          <cell r="C327">
            <v>0.75</v>
          </cell>
          <cell r="D327">
            <v>5.56</v>
          </cell>
          <cell r="E327">
            <v>1</v>
          </cell>
          <cell r="F327">
            <v>0</v>
          </cell>
          <cell r="G327">
            <v>0</v>
          </cell>
          <cell r="H327">
            <v>0</v>
          </cell>
          <cell r="I327">
            <v>0.08</v>
          </cell>
          <cell r="J327">
            <v>7.0000000000000007E-2</v>
          </cell>
          <cell r="K327">
            <v>0.15000000000000002</v>
          </cell>
          <cell r="L327">
            <v>0</v>
          </cell>
          <cell r="M327">
            <v>0</v>
          </cell>
          <cell r="N327">
            <v>0</v>
          </cell>
          <cell r="O327">
            <v>0</v>
          </cell>
          <cell r="P327">
            <v>2</v>
          </cell>
        </row>
        <row r="328">
          <cell r="B328">
            <v>160</v>
          </cell>
          <cell r="C328">
            <v>0.75</v>
          </cell>
          <cell r="D328">
            <v>5.56</v>
          </cell>
          <cell r="E328">
            <v>1</v>
          </cell>
          <cell r="F328">
            <v>0</v>
          </cell>
          <cell r="G328">
            <v>0</v>
          </cell>
          <cell r="H328">
            <v>0</v>
          </cell>
          <cell r="I328">
            <v>0.08</v>
          </cell>
          <cell r="J328">
            <v>7.0000000000000007E-2</v>
          </cell>
          <cell r="K328">
            <v>0.15000000000000002</v>
          </cell>
          <cell r="L328">
            <v>0</v>
          </cell>
          <cell r="M328">
            <v>0</v>
          </cell>
          <cell r="N328">
            <v>0</v>
          </cell>
          <cell r="O328">
            <v>0</v>
          </cell>
          <cell r="P328">
            <v>2</v>
          </cell>
        </row>
        <row r="329">
          <cell r="B329">
            <v>160</v>
          </cell>
          <cell r="C329">
            <v>1</v>
          </cell>
          <cell r="D329">
            <v>6.35</v>
          </cell>
          <cell r="E329">
            <v>1</v>
          </cell>
          <cell r="F329">
            <v>0</v>
          </cell>
          <cell r="G329">
            <v>0</v>
          </cell>
          <cell r="H329">
            <v>0</v>
          </cell>
          <cell r="I329">
            <v>0.1</v>
          </cell>
          <cell r="J329">
            <v>0.35</v>
          </cell>
          <cell r="K329">
            <v>0.44999999999999996</v>
          </cell>
          <cell r="L329">
            <v>0</v>
          </cell>
          <cell r="M329">
            <v>0</v>
          </cell>
          <cell r="N329">
            <v>0</v>
          </cell>
          <cell r="O329">
            <v>0</v>
          </cell>
          <cell r="P329">
            <v>2</v>
          </cell>
        </row>
        <row r="330">
          <cell r="B330">
            <v>160</v>
          </cell>
          <cell r="C330">
            <v>1</v>
          </cell>
          <cell r="D330">
            <v>6.35</v>
          </cell>
          <cell r="E330">
            <v>1</v>
          </cell>
          <cell r="F330">
            <v>0</v>
          </cell>
          <cell r="G330">
            <v>0</v>
          </cell>
          <cell r="H330">
            <v>0</v>
          </cell>
          <cell r="I330">
            <v>0.1</v>
          </cell>
          <cell r="J330">
            <v>0.35</v>
          </cell>
          <cell r="K330">
            <v>0.44999999999999996</v>
          </cell>
          <cell r="L330">
            <v>0</v>
          </cell>
          <cell r="M330">
            <v>0</v>
          </cell>
          <cell r="N330">
            <v>0</v>
          </cell>
          <cell r="O330">
            <v>0</v>
          </cell>
          <cell r="P330">
            <v>2</v>
          </cell>
        </row>
        <row r="331">
          <cell r="B331">
            <v>160</v>
          </cell>
          <cell r="C331">
            <v>1</v>
          </cell>
          <cell r="D331">
            <v>6.35</v>
          </cell>
          <cell r="E331">
            <v>1</v>
          </cell>
          <cell r="F331">
            <v>0</v>
          </cell>
          <cell r="G331">
            <v>0</v>
          </cell>
          <cell r="H331">
            <v>0</v>
          </cell>
          <cell r="I331">
            <v>0.1</v>
          </cell>
          <cell r="J331">
            <v>0.35</v>
          </cell>
          <cell r="K331">
            <v>0.44999999999999996</v>
          </cell>
          <cell r="L331">
            <v>0</v>
          </cell>
          <cell r="M331">
            <v>0</v>
          </cell>
          <cell r="N331">
            <v>0</v>
          </cell>
          <cell r="O331">
            <v>0</v>
          </cell>
          <cell r="P331">
            <v>2</v>
          </cell>
        </row>
        <row r="332">
          <cell r="B332">
            <v>160</v>
          </cell>
          <cell r="C332">
            <v>1.25</v>
          </cell>
          <cell r="D332">
            <v>6.35</v>
          </cell>
          <cell r="E332">
            <v>1</v>
          </cell>
          <cell r="F332">
            <v>0</v>
          </cell>
          <cell r="G332">
            <v>0</v>
          </cell>
          <cell r="H332">
            <v>0</v>
          </cell>
          <cell r="I332">
            <v>0.13</v>
          </cell>
          <cell r="J332">
            <v>0.32</v>
          </cell>
          <cell r="K332">
            <v>0.45</v>
          </cell>
          <cell r="L332">
            <v>0</v>
          </cell>
          <cell r="M332">
            <v>0</v>
          </cell>
          <cell r="N332">
            <v>0</v>
          </cell>
          <cell r="O332">
            <v>0</v>
          </cell>
          <cell r="P332">
            <v>2</v>
          </cell>
        </row>
        <row r="333">
          <cell r="B333">
            <v>160</v>
          </cell>
          <cell r="C333">
            <v>1.25</v>
          </cell>
          <cell r="D333">
            <v>6.35</v>
          </cell>
          <cell r="E333">
            <v>1</v>
          </cell>
          <cell r="F333">
            <v>0</v>
          </cell>
          <cell r="G333">
            <v>0</v>
          </cell>
          <cell r="H333">
            <v>0</v>
          </cell>
          <cell r="I333">
            <v>0.13</v>
          </cell>
          <cell r="J333">
            <v>0.32</v>
          </cell>
          <cell r="K333">
            <v>0.45</v>
          </cell>
          <cell r="L333">
            <v>0</v>
          </cell>
          <cell r="M333">
            <v>0</v>
          </cell>
          <cell r="N333">
            <v>0</v>
          </cell>
          <cell r="O333">
            <v>0</v>
          </cell>
          <cell r="P333">
            <v>2</v>
          </cell>
        </row>
        <row r="334">
          <cell r="B334">
            <v>160</v>
          </cell>
          <cell r="C334">
            <v>1.25</v>
          </cell>
          <cell r="D334">
            <v>6.35</v>
          </cell>
          <cell r="E334">
            <v>1</v>
          </cell>
          <cell r="F334">
            <v>0</v>
          </cell>
          <cell r="G334">
            <v>0</v>
          </cell>
          <cell r="H334">
            <v>0</v>
          </cell>
          <cell r="I334">
            <v>0.13</v>
          </cell>
          <cell r="J334">
            <v>0.32</v>
          </cell>
          <cell r="K334">
            <v>0.45</v>
          </cell>
          <cell r="L334">
            <v>0</v>
          </cell>
          <cell r="M334">
            <v>0</v>
          </cell>
          <cell r="N334">
            <v>0</v>
          </cell>
          <cell r="O334">
            <v>0</v>
          </cell>
          <cell r="P334">
            <v>2</v>
          </cell>
        </row>
        <row r="335">
          <cell r="B335">
            <v>160</v>
          </cell>
          <cell r="C335">
            <v>1.5</v>
          </cell>
          <cell r="D335">
            <v>7.14</v>
          </cell>
          <cell r="E335">
            <v>1</v>
          </cell>
          <cell r="F335">
            <v>0</v>
          </cell>
          <cell r="G335">
            <v>0</v>
          </cell>
          <cell r="H335">
            <v>0</v>
          </cell>
          <cell r="I335">
            <v>0.15</v>
          </cell>
          <cell r="J335">
            <v>0.45</v>
          </cell>
          <cell r="K335">
            <v>0.6</v>
          </cell>
          <cell r="L335">
            <v>0</v>
          </cell>
          <cell r="M335">
            <v>0</v>
          </cell>
          <cell r="N335">
            <v>0</v>
          </cell>
          <cell r="O335">
            <v>0</v>
          </cell>
          <cell r="P335">
            <v>2</v>
          </cell>
        </row>
        <row r="336">
          <cell r="B336">
            <v>160</v>
          </cell>
          <cell r="C336">
            <v>1.5</v>
          </cell>
          <cell r="D336">
            <v>7.14</v>
          </cell>
          <cell r="E336">
            <v>1</v>
          </cell>
          <cell r="F336">
            <v>0</v>
          </cell>
          <cell r="G336">
            <v>0</v>
          </cell>
          <cell r="H336">
            <v>0</v>
          </cell>
          <cell r="I336">
            <v>0.15</v>
          </cell>
          <cell r="J336">
            <v>0.45</v>
          </cell>
          <cell r="K336">
            <v>0.6</v>
          </cell>
          <cell r="L336">
            <v>0</v>
          </cell>
          <cell r="M336">
            <v>0</v>
          </cell>
          <cell r="N336">
            <v>0</v>
          </cell>
          <cell r="O336">
            <v>0</v>
          </cell>
          <cell r="P336">
            <v>2</v>
          </cell>
        </row>
        <row r="337">
          <cell r="B337">
            <v>160</v>
          </cell>
          <cell r="C337">
            <v>1.5</v>
          </cell>
          <cell r="D337">
            <v>7.14</v>
          </cell>
          <cell r="E337">
            <v>1</v>
          </cell>
          <cell r="F337">
            <v>0</v>
          </cell>
          <cell r="G337">
            <v>0</v>
          </cell>
          <cell r="H337">
            <v>0</v>
          </cell>
          <cell r="I337">
            <v>0.15</v>
          </cell>
          <cell r="J337">
            <v>0.45</v>
          </cell>
          <cell r="K337">
            <v>0.6</v>
          </cell>
          <cell r="L337">
            <v>0</v>
          </cell>
          <cell r="M337">
            <v>0</v>
          </cell>
          <cell r="N337">
            <v>0</v>
          </cell>
          <cell r="O337">
            <v>0</v>
          </cell>
          <cell r="P337">
            <v>2</v>
          </cell>
        </row>
        <row r="338">
          <cell r="B338">
            <v>160</v>
          </cell>
          <cell r="C338">
            <v>2</v>
          </cell>
          <cell r="D338">
            <v>8.74</v>
          </cell>
          <cell r="E338">
            <v>1</v>
          </cell>
          <cell r="F338">
            <v>0</v>
          </cell>
          <cell r="G338">
            <v>0</v>
          </cell>
          <cell r="H338">
            <v>0</v>
          </cell>
          <cell r="I338">
            <v>0.2</v>
          </cell>
          <cell r="J338">
            <v>0.7</v>
          </cell>
          <cell r="K338">
            <v>0.89999999999999991</v>
          </cell>
          <cell r="L338">
            <v>0</v>
          </cell>
          <cell r="M338">
            <v>0</v>
          </cell>
          <cell r="N338">
            <v>0</v>
          </cell>
          <cell r="O338">
            <v>0</v>
          </cell>
          <cell r="P338">
            <v>4</v>
          </cell>
        </row>
        <row r="339">
          <cell r="B339">
            <v>160</v>
          </cell>
          <cell r="C339">
            <v>2</v>
          </cell>
          <cell r="D339">
            <v>8.74</v>
          </cell>
          <cell r="E339">
            <v>1</v>
          </cell>
          <cell r="F339">
            <v>0</v>
          </cell>
          <cell r="G339">
            <v>0</v>
          </cell>
          <cell r="H339">
            <v>0</v>
          </cell>
          <cell r="I339">
            <v>0.2</v>
          </cell>
          <cell r="J339">
            <v>0.7</v>
          </cell>
          <cell r="K339">
            <v>0.89999999999999991</v>
          </cell>
          <cell r="L339">
            <v>0</v>
          </cell>
          <cell r="M339">
            <v>0</v>
          </cell>
          <cell r="N339">
            <v>0</v>
          </cell>
          <cell r="O339">
            <v>0</v>
          </cell>
          <cell r="P339">
            <v>4</v>
          </cell>
        </row>
        <row r="340">
          <cell r="B340">
            <v>160</v>
          </cell>
          <cell r="C340">
            <v>2</v>
          </cell>
          <cell r="D340">
            <v>8.74</v>
          </cell>
          <cell r="E340">
            <v>1</v>
          </cell>
          <cell r="F340">
            <v>0</v>
          </cell>
          <cell r="G340">
            <v>0</v>
          </cell>
          <cell r="H340">
            <v>0</v>
          </cell>
          <cell r="I340">
            <v>0.2</v>
          </cell>
          <cell r="J340">
            <v>0.7</v>
          </cell>
          <cell r="K340">
            <v>0.89999999999999991</v>
          </cell>
          <cell r="L340">
            <v>0</v>
          </cell>
          <cell r="M340">
            <v>0</v>
          </cell>
          <cell r="N340">
            <v>0</v>
          </cell>
          <cell r="O340">
            <v>0</v>
          </cell>
          <cell r="P340">
            <v>4</v>
          </cell>
        </row>
        <row r="341">
          <cell r="B341">
            <v>160</v>
          </cell>
          <cell r="C341">
            <v>2.5</v>
          </cell>
          <cell r="D341">
            <v>9.5299999999999994</v>
          </cell>
          <cell r="E341">
            <v>1</v>
          </cell>
          <cell r="F341">
            <v>0</v>
          </cell>
          <cell r="G341">
            <v>0</v>
          </cell>
          <cell r="H341">
            <v>0</v>
          </cell>
          <cell r="I341">
            <v>0.25</v>
          </cell>
          <cell r="J341">
            <v>0.8</v>
          </cell>
          <cell r="K341">
            <v>1.05</v>
          </cell>
          <cell r="L341">
            <v>0</v>
          </cell>
          <cell r="M341">
            <v>0</v>
          </cell>
          <cell r="N341">
            <v>0</v>
          </cell>
          <cell r="O341">
            <v>0</v>
          </cell>
          <cell r="P341">
            <v>4</v>
          </cell>
        </row>
        <row r="342">
          <cell r="B342">
            <v>160</v>
          </cell>
          <cell r="C342">
            <v>3</v>
          </cell>
          <cell r="D342">
            <v>11.13</v>
          </cell>
          <cell r="E342">
            <v>1.25</v>
          </cell>
          <cell r="F342">
            <v>0</v>
          </cell>
          <cell r="G342">
            <v>0</v>
          </cell>
          <cell r="H342">
            <v>0</v>
          </cell>
          <cell r="I342">
            <v>0.3</v>
          </cell>
          <cell r="J342">
            <v>1.5</v>
          </cell>
          <cell r="K342">
            <v>1.8</v>
          </cell>
          <cell r="L342">
            <v>0</v>
          </cell>
          <cell r="M342">
            <v>0</v>
          </cell>
          <cell r="N342">
            <v>0</v>
          </cell>
          <cell r="O342">
            <v>0</v>
          </cell>
          <cell r="P342">
            <v>4</v>
          </cell>
        </row>
        <row r="343">
          <cell r="B343">
            <v>160</v>
          </cell>
          <cell r="C343">
            <v>4</v>
          </cell>
          <cell r="D343">
            <v>13.49</v>
          </cell>
          <cell r="E343">
            <v>1.25</v>
          </cell>
          <cell r="F343">
            <v>0</v>
          </cell>
          <cell r="G343">
            <v>0</v>
          </cell>
          <cell r="H343">
            <v>0</v>
          </cell>
          <cell r="I343">
            <v>0.41</v>
          </cell>
          <cell r="J343">
            <v>2.59</v>
          </cell>
          <cell r="K343">
            <v>3</v>
          </cell>
          <cell r="L343">
            <v>0</v>
          </cell>
          <cell r="M343">
            <v>0</v>
          </cell>
          <cell r="N343">
            <v>0</v>
          </cell>
          <cell r="O343">
            <v>0</v>
          </cell>
          <cell r="P343">
            <v>4</v>
          </cell>
        </row>
        <row r="344">
          <cell r="B344">
            <v>160</v>
          </cell>
          <cell r="C344">
            <v>5</v>
          </cell>
          <cell r="D344">
            <v>15.88</v>
          </cell>
          <cell r="E344">
            <v>1.5</v>
          </cell>
          <cell r="F344">
            <v>1.5</v>
          </cell>
          <cell r="G344">
            <v>0</v>
          </cell>
          <cell r="H344">
            <v>0</v>
          </cell>
          <cell r="I344">
            <v>0.51</v>
          </cell>
          <cell r="J344">
            <v>4.29</v>
          </cell>
          <cell r="K344">
            <v>4.8</v>
          </cell>
          <cell r="L344">
            <v>4</v>
          </cell>
          <cell r="M344">
            <v>0</v>
          </cell>
          <cell r="N344">
            <v>0</v>
          </cell>
          <cell r="O344">
            <v>160</v>
          </cell>
          <cell r="P344">
            <v>4</v>
          </cell>
          <cell r="Q344">
            <v>4</v>
          </cell>
          <cell r="R344">
            <v>7.2784507436844332E-312</v>
          </cell>
        </row>
        <row r="345">
          <cell r="B345">
            <v>160</v>
          </cell>
          <cell r="C345">
            <v>6</v>
          </cell>
          <cell r="D345">
            <v>18.260000000000002</v>
          </cell>
          <cell r="E345">
            <v>1.5</v>
          </cell>
          <cell r="F345">
            <v>0</v>
          </cell>
          <cell r="G345">
            <v>0</v>
          </cell>
          <cell r="H345">
            <v>0</v>
          </cell>
          <cell r="I345">
            <v>0.61</v>
          </cell>
          <cell r="J345">
            <v>7.04</v>
          </cell>
          <cell r="K345">
            <v>7.65</v>
          </cell>
          <cell r="L345">
            <v>0</v>
          </cell>
          <cell r="M345">
            <v>0</v>
          </cell>
          <cell r="N345">
            <v>0</v>
          </cell>
          <cell r="O345">
            <v>0</v>
          </cell>
          <cell r="P345">
            <v>4</v>
          </cell>
        </row>
        <row r="346">
          <cell r="B346">
            <v>160</v>
          </cell>
          <cell r="C346">
            <v>8</v>
          </cell>
          <cell r="D346">
            <v>23.01</v>
          </cell>
          <cell r="E346">
            <v>2</v>
          </cell>
          <cell r="F346">
            <v>0</v>
          </cell>
          <cell r="G346">
            <v>0</v>
          </cell>
          <cell r="H346">
            <v>0</v>
          </cell>
          <cell r="I346">
            <v>0.81</v>
          </cell>
          <cell r="J346">
            <v>11.19</v>
          </cell>
          <cell r="K346">
            <v>12</v>
          </cell>
          <cell r="L346">
            <v>0</v>
          </cell>
          <cell r="M346">
            <v>0</v>
          </cell>
          <cell r="N346">
            <v>0</v>
          </cell>
          <cell r="O346">
            <v>0</v>
          </cell>
          <cell r="P346">
            <v>4</v>
          </cell>
        </row>
        <row r="347">
          <cell r="B347">
            <v>160</v>
          </cell>
          <cell r="C347">
            <v>10</v>
          </cell>
          <cell r="D347">
            <v>28.58</v>
          </cell>
          <cell r="E347" t="str">
            <v>N</v>
          </cell>
          <cell r="F347">
            <v>0</v>
          </cell>
          <cell r="G347">
            <v>0</v>
          </cell>
          <cell r="H347">
            <v>0</v>
          </cell>
          <cell r="I347">
            <v>1.01</v>
          </cell>
          <cell r="J347">
            <v>21.48</v>
          </cell>
          <cell r="K347">
            <v>22.490000000000002</v>
          </cell>
          <cell r="L347">
            <v>0</v>
          </cell>
          <cell r="M347">
            <v>0</v>
          </cell>
          <cell r="N347">
            <v>0</v>
          </cell>
          <cell r="O347">
            <v>0</v>
          </cell>
          <cell r="P347">
            <v>4</v>
          </cell>
        </row>
        <row r="348">
          <cell r="B348">
            <v>160</v>
          </cell>
          <cell r="C348">
            <v>12</v>
          </cell>
          <cell r="D348">
            <v>33.32</v>
          </cell>
          <cell r="E348" t="str">
            <v>N</v>
          </cell>
          <cell r="F348">
            <v>0</v>
          </cell>
          <cell r="G348">
            <v>0</v>
          </cell>
          <cell r="H348">
            <v>0</v>
          </cell>
          <cell r="I348">
            <v>1.22</v>
          </cell>
          <cell r="J348">
            <v>31.78</v>
          </cell>
          <cell r="K348">
            <v>33</v>
          </cell>
          <cell r="L348">
            <v>0</v>
          </cell>
          <cell r="M348">
            <v>0</v>
          </cell>
          <cell r="N348">
            <v>0</v>
          </cell>
          <cell r="O348">
            <v>0</v>
          </cell>
          <cell r="P348">
            <v>6</v>
          </cell>
        </row>
        <row r="349">
          <cell r="B349">
            <v>160</v>
          </cell>
          <cell r="C349">
            <v>14</v>
          </cell>
          <cell r="D349">
            <v>35.71</v>
          </cell>
          <cell r="E349" t="str">
            <v>N</v>
          </cell>
          <cell r="F349">
            <v>0</v>
          </cell>
          <cell r="G349">
            <v>0</v>
          </cell>
          <cell r="H349">
            <v>0</v>
          </cell>
          <cell r="I349">
            <v>1.42</v>
          </cell>
          <cell r="J349">
            <v>39.07</v>
          </cell>
          <cell r="K349">
            <v>40.49</v>
          </cell>
          <cell r="L349">
            <v>0</v>
          </cell>
          <cell r="M349">
            <v>0</v>
          </cell>
          <cell r="N349">
            <v>0</v>
          </cell>
          <cell r="O349">
            <v>0</v>
          </cell>
          <cell r="P349">
            <v>6</v>
          </cell>
        </row>
        <row r="350">
          <cell r="A350">
            <v>160</v>
          </cell>
          <cell r="B350">
            <v>160</v>
          </cell>
          <cell r="C350">
            <v>16</v>
          </cell>
          <cell r="D350">
            <v>40.49</v>
          </cell>
          <cell r="E350" t="str">
            <v>N</v>
          </cell>
          <cell r="F350">
            <v>0</v>
          </cell>
          <cell r="G350">
            <v>0</v>
          </cell>
          <cell r="H350">
            <v>0</v>
          </cell>
          <cell r="I350">
            <v>1.62</v>
          </cell>
          <cell r="J350">
            <v>53.88</v>
          </cell>
          <cell r="K350">
            <v>55.5</v>
          </cell>
          <cell r="L350">
            <v>0</v>
          </cell>
          <cell r="M350">
            <v>0</v>
          </cell>
          <cell r="N350">
            <v>0</v>
          </cell>
          <cell r="O350">
            <v>0</v>
          </cell>
          <cell r="P350">
            <v>6</v>
          </cell>
        </row>
        <row r="351">
          <cell r="B351">
            <v>160</v>
          </cell>
          <cell r="C351">
            <v>18</v>
          </cell>
          <cell r="D351">
            <v>45.24</v>
          </cell>
          <cell r="E351" t="str">
            <v>N</v>
          </cell>
          <cell r="F351">
            <v>0</v>
          </cell>
          <cell r="G351">
            <v>0</v>
          </cell>
          <cell r="H351">
            <v>0</v>
          </cell>
          <cell r="I351">
            <v>1.82</v>
          </cell>
          <cell r="J351">
            <v>71.680000000000007</v>
          </cell>
          <cell r="K351">
            <v>73.5</v>
          </cell>
          <cell r="L351">
            <v>0</v>
          </cell>
          <cell r="M351">
            <v>0</v>
          </cell>
          <cell r="N351">
            <v>0</v>
          </cell>
          <cell r="O351">
            <v>0</v>
          </cell>
          <cell r="P351">
            <v>6</v>
          </cell>
        </row>
        <row r="352">
          <cell r="B352">
            <v>160</v>
          </cell>
          <cell r="C352">
            <v>20</v>
          </cell>
          <cell r="D352">
            <v>50.01</v>
          </cell>
          <cell r="E352" t="str">
            <v>N</v>
          </cell>
          <cell r="F352">
            <v>0</v>
          </cell>
          <cell r="G352">
            <v>0</v>
          </cell>
          <cell r="H352">
            <v>0</v>
          </cell>
          <cell r="I352">
            <v>2.0299999999999998</v>
          </cell>
          <cell r="J352">
            <v>93.97</v>
          </cell>
          <cell r="K352">
            <v>96</v>
          </cell>
          <cell r="L352">
            <v>0</v>
          </cell>
          <cell r="M352">
            <v>0</v>
          </cell>
          <cell r="N352">
            <v>0</v>
          </cell>
          <cell r="O352">
            <v>0</v>
          </cell>
          <cell r="P352">
            <v>7</v>
          </cell>
        </row>
        <row r="353">
          <cell r="B353">
            <v>160</v>
          </cell>
          <cell r="C353">
            <v>22</v>
          </cell>
          <cell r="D353">
            <v>53.98</v>
          </cell>
          <cell r="E353" t="str">
            <v>N</v>
          </cell>
          <cell r="F353">
            <v>0</v>
          </cell>
          <cell r="G353">
            <v>0</v>
          </cell>
          <cell r="H353">
            <v>0</v>
          </cell>
          <cell r="I353">
            <v>2.23</v>
          </cell>
          <cell r="J353">
            <v>132.77000000000001</v>
          </cell>
          <cell r="K353">
            <v>135</v>
          </cell>
          <cell r="L353">
            <v>0</v>
          </cell>
          <cell r="M353">
            <v>0</v>
          </cell>
          <cell r="N353">
            <v>0</v>
          </cell>
          <cell r="O353">
            <v>0</v>
          </cell>
          <cell r="P353">
            <v>8</v>
          </cell>
        </row>
        <row r="354">
          <cell r="B354">
            <v>160</v>
          </cell>
          <cell r="C354">
            <v>24</v>
          </cell>
          <cell r="D354">
            <v>59.54</v>
          </cell>
          <cell r="E354" t="str">
            <v>N</v>
          </cell>
          <cell r="F354">
            <v>0</v>
          </cell>
          <cell r="G354">
            <v>0</v>
          </cell>
          <cell r="H354">
            <v>0</v>
          </cell>
          <cell r="I354">
            <v>2.4300000000000002</v>
          </cell>
          <cell r="J354">
            <v>162.56</v>
          </cell>
          <cell r="K354">
            <v>164.99</v>
          </cell>
          <cell r="L354">
            <v>0</v>
          </cell>
          <cell r="M354">
            <v>0</v>
          </cell>
          <cell r="N354">
            <v>0</v>
          </cell>
          <cell r="O354">
            <v>0</v>
          </cell>
          <cell r="P354">
            <v>8</v>
          </cell>
        </row>
        <row r="355">
          <cell r="B355" t="str">
            <v>STD</v>
          </cell>
          <cell r="C355">
            <v>0.125</v>
          </cell>
          <cell r="D355">
            <v>1.73</v>
          </cell>
          <cell r="E355">
            <v>1</v>
          </cell>
          <cell r="F355">
            <v>0</v>
          </cell>
          <cell r="G355">
            <v>0</v>
          </cell>
          <cell r="H355">
            <v>0</v>
          </cell>
          <cell r="I355">
            <v>7.0000000000000007E-2</v>
          </cell>
          <cell r="J355">
            <v>0</v>
          </cell>
          <cell r="K355">
            <v>7.0000000000000007E-2</v>
          </cell>
          <cell r="L355">
            <v>0</v>
          </cell>
          <cell r="M355">
            <v>0</v>
          </cell>
          <cell r="N355">
            <v>0</v>
          </cell>
          <cell r="O355">
            <v>0</v>
          </cell>
          <cell r="P355">
            <v>2</v>
          </cell>
        </row>
        <row r="356">
          <cell r="B356" t="str">
            <v>STD</v>
          </cell>
          <cell r="C356">
            <v>0.125</v>
          </cell>
          <cell r="D356">
            <v>1.73</v>
          </cell>
          <cell r="E356">
            <v>1</v>
          </cell>
          <cell r="F356">
            <v>0</v>
          </cell>
          <cell r="G356">
            <v>0</v>
          </cell>
          <cell r="H356">
            <v>0</v>
          </cell>
          <cell r="I356">
            <v>7.0000000000000007E-2</v>
          </cell>
          <cell r="J356">
            <v>0</v>
          </cell>
          <cell r="K356">
            <v>7.0000000000000007E-2</v>
          </cell>
          <cell r="L356">
            <v>0</v>
          </cell>
          <cell r="M356">
            <v>0</v>
          </cell>
          <cell r="N356">
            <v>0</v>
          </cell>
          <cell r="O356">
            <v>0</v>
          </cell>
          <cell r="P356">
            <v>2</v>
          </cell>
        </row>
        <row r="357">
          <cell r="B357" t="str">
            <v>STD</v>
          </cell>
          <cell r="C357">
            <v>0.125</v>
          </cell>
          <cell r="D357">
            <v>1.73</v>
          </cell>
          <cell r="E357">
            <v>1</v>
          </cell>
          <cell r="F357">
            <v>0</v>
          </cell>
          <cell r="G357">
            <v>0</v>
          </cell>
          <cell r="H357">
            <v>0</v>
          </cell>
          <cell r="I357">
            <v>7.0000000000000007E-2</v>
          </cell>
          <cell r="J357">
            <v>0</v>
          </cell>
          <cell r="K357">
            <v>7.0000000000000007E-2</v>
          </cell>
          <cell r="L357">
            <v>0</v>
          </cell>
          <cell r="M357">
            <v>0</v>
          </cell>
          <cell r="N357">
            <v>0</v>
          </cell>
          <cell r="O357">
            <v>0</v>
          </cell>
          <cell r="P357">
            <v>2</v>
          </cell>
        </row>
        <row r="358">
          <cell r="B358" t="str">
            <v>STD</v>
          </cell>
          <cell r="C358">
            <v>0.25</v>
          </cell>
          <cell r="D358">
            <v>2.2400000000000002</v>
          </cell>
          <cell r="E358">
            <v>1</v>
          </cell>
          <cell r="F358">
            <v>0</v>
          </cell>
          <cell r="G358">
            <v>0</v>
          </cell>
          <cell r="H358">
            <v>0</v>
          </cell>
          <cell r="I358">
            <v>7.0000000000000007E-2</v>
          </cell>
          <cell r="J358">
            <v>0</v>
          </cell>
          <cell r="K358">
            <v>7.0000000000000007E-2</v>
          </cell>
          <cell r="L358">
            <v>0</v>
          </cell>
          <cell r="M358">
            <v>0</v>
          </cell>
          <cell r="N358">
            <v>0</v>
          </cell>
          <cell r="O358">
            <v>0</v>
          </cell>
          <cell r="P358">
            <v>2</v>
          </cell>
        </row>
        <row r="359">
          <cell r="B359" t="str">
            <v>STD</v>
          </cell>
          <cell r="C359">
            <v>0.25</v>
          </cell>
          <cell r="D359">
            <v>2.2400000000000002</v>
          </cell>
          <cell r="E359">
            <v>1</v>
          </cell>
          <cell r="F359">
            <v>0</v>
          </cell>
          <cell r="G359">
            <v>0</v>
          </cell>
          <cell r="H359">
            <v>0</v>
          </cell>
          <cell r="I359">
            <v>7.0000000000000007E-2</v>
          </cell>
          <cell r="J359">
            <v>0</v>
          </cell>
          <cell r="K359">
            <v>7.0000000000000007E-2</v>
          </cell>
          <cell r="L359">
            <v>0</v>
          </cell>
          <cell r="M359">
            <v>0</v>
          </cell>
          <cell r="N359">
            <v>0</v>
          </cell>
          <cell r="O359">
            <v>0</v>
          </cell>
          <cell r="P359">
            <v>2</v>
          </cell>
        </row>
        <row r="360">
          <cell r="B360" t="str">
            <v>STD</v>
          </cell>
          <cell r="C360">
            <v>0.25</v>
          </cell>
          <cell r="D360">
            <v>2.2400000000000002</v>
          </cell>
          <cell r="E360">
            <v>1</v>
          </cell>
          <cell r="F360">
            <v>0</v>
          </cell>
          <cell r="G360">
            <v>0</v>
          </cell>
          <cell r="H360">
            <v>0</v>
          </cell>
          <cell r="I360">
            <v>7.0000000000000007E-2</v>
          </cell>
          <cell r="J360">
            <v>0</v>
          </cell>
          <cell r="K360">
            <v>7.0000000000000007E-2</v>
          </cell>
          <cell r="L360">
            <v>0</v>
          </cell>
          <cell r="M360">
            <v>0</v>
          </cell>
          <cell r="N360">
            <v>0</v>
          </cell>
          <cell r="O360">
            <v>0</v>
          </cell>
          <cell r="P360">
            <v>2</v>
          </cell>
        </row>
        <row r="361">
          <cell r="B361" t="str">
            <v>STD</v>
          </cell>
          <cell r="C361">
            <v>0.375</v>
          </cell>
          <cell r="D361">
            <v>2.31</v>
          </cell>
          <cell r="E361">
            <v>1</v>
          </cell>
          <cell r="F361">
            <v>0</v>
          </cell>
          <cell r="G361">
            <v>0</v>
          </cell>
          <cell r="H361">
            <v>0</v>
          </cell>
          <cell r="I361">
            <v>7.0000000000000007E-2</v>
          </cell>
          <cell r="J361">
            <v>0</v>
          </cell>
          <cell r="K361">
            <v>7.0000000000000007E-2</v>
          </cell>
          <cell r="L361">
            <v>0</v>
          </cell>
          <cell r="M361">
            <v>0</v>
          </cell>
          <cell r="N361">
            <v>0</v>
          </cell>
          <cell r="O361">
            <v>0</v>
          </cell>
          <cell r="P361">
            <v>2</v>
          </cell>
        </row>
        <row r="362">
          <cell r="B362" t="str">
            <v>STD</v>
          </cell>
          <cell r="C362">
            <v>0.375</v>
          </cell>
          <cell r="D362">
            <v>2.31</v>
          </cell>
          <cell r="E362">
            <v>1</v>
          </cell>
          <cell r="F362">
            <v>0</v>
          </cell>
          <cell r="G362">
            <v>0</v>
          </cell>
          <cell r="H362">
            <v>0</v>
          </cell>
          <cell r="I362">
            <v>7.0000000000000007E-2</v>
          </cell>
          <cell r="J362">
            <v>0</v>
          </cell>
          <cell r="K362">
            <v>7.0000000000000007E-2</v>
          </cell>
          <cell r="L362">
            <v>0</v>
          </cell>
          <cell r="M362">
            <v>0</v>
          </cell>
          <cell r="N362">
            <v>0</v>
          </cell>
          <cell r="O362">
            <v>0</v>
          </cell>
          <cell r="P362">
            <v>2</v>
          </cell>
        </row>
        <row r="363">
          <cell r="B363" t="str">
            <v>STD</v>
          </cell>
          <cell r="C363">
            <v>0.375</v>
          </cell>
          <cell r="D363">
            <v>2.31</v>
          </cell>
          <cell r="E363">
            <v>1</v>
          </cell>
          <cell r="F363">
            <v>0</v>
          </cell>
          <cell r="G363">
            <v>0</v>
          </cell>
          <cell r="H363">
            <v>0</v>
          </cell>
          <cell r="I363">
            <v>7.0000000000000007E-2</v>
          </cell>
          <cell r="J363">
            <v>0</v>
          </cell>
          <cell r="K363">
            <v>7.0000000000000007E-2</v>
          </cell>
          <cell r="L363">
            <v>0</v>
          </cell>
          <cell r="M363">
            <v>0</v>
          </cell>
          <cell r="N363">
            <v>0</v>
          </cell>
          <cell r="O363">
            <v>0</v>
          </cell>
          <cell r="P363">
            <v>2</v>
          </cell>
        </row>
        <row r="364">
          <cell r="B364" t="str">
            <v>STD</v>
          </cell>
          <cell r="C364">
            <v>0.5</v>
          </cell>
          <cell r="D364">
            <v>2.77</v>
          </cell>
          <cell r="E364">
            <v>1</v>
          </cell>
          <cell r="F364">
            <v>0</v>
          </cell>
          <cell r="G364">
            <v>0</v>
          </cell>
          <cell r="H364">
            <v>0</v>
          </cell>
          <cell r="I364">
            <v>7.0000000000000007E-2</v>
          </cell>
          <cell r="J364">
            <v>0</v>
          </cell>
          <cell r="K364">
            <v>7.0000000000000007E-2</v>
          </cell>
          <cell r="L364">
            <v>0</v>
          </cell>
          <cell r="M364">
            <v>0</v>
          </cell>
          <cell r="N364">
            <v>0</v>
          </cell>
          <cell r="O364">
            <v>0</v>
          </cell>
          <cell r="P364">
            <v>2</v>
          </cell>
        </row>
        <row r="365">
          <cell r="B365" t="str">
            <v>STD</v>
          </cell>
          <cell r="C365">
            <v>0.5</v>
          </cell>
          <cell r="D365">
            <v>2.77</v>
          </cell>
          <cell r="E365">
            <v>1</v>
          </cell>
          <cell r="F365">
            <v>0</v>
          </cell>
          <cell r="G365">
            <v>0</v>
          </cell>
          <cell r="H365">
            <v>0</v>
          </cell>
          <cell r="I365">
            <v>7.0000000000000007E-2</v>
          </cell>
          <cell r="J365">
            <v>0</v>
          </cell>
          <cell r="K365">
            <v>7.0000000000000007E-2</v>
          </cell>
          <cell r="L365">
            <v>0</v>
          </cell>
          <cell r="M365">
            <v>0</v>
          </cell>
          <cell r="N365">
            <v>0</v>
          </cell>
          <cell r="O365">
            <v>0</v>
          </cell>
          <cell r="P365">
            <v>2</v>
          </cell>
        </row>
        <row r="366">
          <cell r="B366" t="str">
            <v>STD</v>
          </cell>
          <cell r="C366">
            <v>0.5</v>
          </cell>
          <cell r="D366">
            <v>2.77</v>
          </cell>
          <cell r="E366">
            <v>1</v>
          </cell>
          <cell r="F366">
            <v>0</v>
          </cell>
          <cell r="G366">
            <v>0</v>
          </cell>
          <cell r="H366">
            <v>0</v>
          </cell>
          <cell r="I366">
            <v>7.0000000000000007E-2</v>
          </cell>
          <cell r="J366">
            <v>0</v>
          </cell>
          <cell r="K366">
            <v>7.0000000000000007E-2</v>
          </cell>
          <cell r="L366">
            <v>0</v>
          </cell>
          <cell r="M366">
            <v>0</v>
          </cell>
          <cell r="N366">
            <v>0</v>
          </cell>
          <cell r="O366">
            <v>0</v>
          </cell>
          <cell r="P366">
            <v>2</v>
          </cell>
        </row>
        <row r="367">
          <cell r="B367" t="str">
            <v>STD</v>
          </cell>
          <cell r="C367">
            <v>0.75</v>
          </cell>
          <cell r="D367">
            <v>2.87</v>
          </cell>
          <cell r="E367">
            <v>1</v>
          </cell>
          <cell r="F367">
            <v>0</v>
          </cell>
          <cell r="G367">
            <v>0</v>
          </cell>
          <cell r="H367">
            <v>0</v>
          </cell>
          <cell r="I367">
            <v>7.0000000000000007E-2</v>
          </cell>
          <cell r="J367">
            <v>0</v>
          </cell>
          <cell r="K367">
            <v>7.0000000000000007E-2</v>
          </cell>
          <cell r="L367">
            <v>0</v>
          </cell>
          <cell r="M367">
            <v>0</v>
          </cell>
          <cell r="N367">
            <v>0</v>
          </cell>
          <cell r="O367">
            <v>0</v>
          </cell>
          <cell r="P367">
            <v>2</v>
          </cell>
        </row>
        <row r="368">
          <cell r="B368" t="str">
            <v>STD</v>
          </cell>
          <cell r="C368">
            <v>0.75</v>
          </cell>
          <cell r="D368">
            <v>2.87</v>
          </cell>
          <cell r="E368">
            <v>1</v>
          </cell>
          <cell r="F368">
            <v>0</v>
          </cell>
          <cell r="G368">
            <v>0</v>
          </cell>
          <cell r="H368">
            <v>0</v>
          </cell>
          <cell r="I368">
            <v>7.0000000000000007E-2</v>
          </cell>
          <cell r="J368">
            <v>0</v>
          </cell>
          <cell r="K368">
            <v>7.0000000000000007E-2</v>
          </cell>
          <cell r="L368">
            <v>0</v>
          </cell>
          <cell r="M368">
            <v>0</v>
          </cell>
          <cell r="N368">
            <v>0</v>
          </cell>
          <cell r="O368">
            <v>0</v>
          </cell>
          <cell r="P368">
            <v>2</v>
          </cell>
        </row>
        <row r="369">
          <cell r="B369" t="str">
            <v>STD</v>
          </cell>
          <cell r="C369">
            <v>0.75</v>
          </cell>
          <cell r="D369">
            <v>2.87</v>
          </cell>
          <cell r="E369">
            <v>1</v>
          </cell>
          <cell r="F369">
            <v>0</v>
          </cell>
          <cell r="G369">
            <v>0</v>
          </cell>
          <cell r="H369">
            <v>0</v>
          </cell>
          <cell r="I369">
            <v>7.0000000000000007E-2</v>
          </cell>
          <cell r="J369">
            <v>0</v>
          </cell>
          <cell r="K369">
            <v>7.0000000000000007E-2</v>
          </cell>
          <cell r="L369">
            <v>0</v>
          </cell>
          <cell r="M369">
            <v>0</v>
          </cell>
          <cell r="N369">
            <v>0</v>
          </cell>
          <cell r="O369">
            <v>0</v>
          </cell>
          <cell r="P369">
            <v>2</v>
          </cell>
        </row>
        <row r="370">
          <cell r="B370" t="str">
            <v>STD</v>
          </cell>
          <cell r="C370">
            <v>1</v>
          </cell>
          <cell r="D370">
            <v>3.38</v>
          </cell>
          <cell r="E370">
            <v>1</v>
          </cell>
          <cell r="F370">
            <v>0</v>
          </cell>
          <cell r="G370">
            <v>0</v>
          </cell>
          <cell r="H370">
            <v>0</v>
          </cell>
          <cell r="I370">
            <v>0.12</v>
          </cell>
          <cell r="J370">
            <v>0</v>
          </cell>
          <cell r="K370">
            <v>0.12</v>
          </cell>
          <cell r="L370">
            <v>0</v>
          </cell>
          <cell r="M370">
            <v>0</v>
          </cell>
          <cell r="N370">
            <v>0</v>
          </cell>
          <cell r="O370">
            <v>0</v>
          </cell>
          <cell r="P370">
            <v>2</v>
          </cell>
        </row>
        <row r="371">
          <cell r="B371" t="str">
            <v>STD</v>
          </cell>
          <cell r="C371">
            <v>1</v>
          </cell>
          <cell r="D371">
            <v>3.38</v>
          </cell>
          <cell r="E371">
            <v>1</v>
          </cell>
          <cell r="F371">
            <v>0</v>
          </cell>
          <cell r="G371">
            <v>0</v>
          </cell>
          <cell r="H371">
            <v>0</v>
          </cell>
          <cell r="I371">
            <v>0.12</v>
          </cell>
          <cell r="J371">
            <v>0</v>
          </cell>
          <cell r="K371">
            <v>0.12</v>
          </cell>
          <cell r="L371">
            <v>0</v>
          </cell>
          <cell r="M371">
            <v>0</v>
          </cell>
          <cell r="N371">
            <v>0</v>
          </cell>
          <cell r="O371">
            <v>0</v>
          </cell>
          <cell r="P371">
            <v>2</v>
          </cell>
        </row>
        <row r="372">
          <cell r="B372" t="str">
            <v>STD</v>
          </cell>
          <cell r="C372">
            <v>1</v>
          </cell>
          <cell r="D372">
            <v>3.38</v>
          </cell>
          <cell r="E372">
            <v>1</v>
          </cell>
          <cell r="F372">
            <v>0</v>
          </cell>
          <cell r="G372">
            <v>0</v>
          </cell>
          <cell r="H372">
            <v>0</v>
          </cell>
          <cell r="I372">
            <v>0.12</v>
          </cell>
          <cell r="J372">
            <v>0</v>
          </cell>
          <cell r="K372">
            <v>0.12</v>
          </cell>
          <cell r="L372">
            <v>0</v>
          </cell>
          <cell r="M372">
            <v>0</v>
          </cell>
          <cell r="N372">
            <v>0</v>
          </cell>
          <cell r="O372">
            <v>0</v>
          </cell>
          <cell r="P372">
            <v>2</v>
          </cell>
        </row>
        <row r="373">
          <cell r="B373" t="str">
            <v>STD</v>
          </cell>
          <cell r="C373">
            <v>1.25</v>
          </cell>
          <cell r="D373">
            <v>3.56</v>
          </cell>
          <cell r="E373">
            <v>1</v>
          </cell>
          <cell r="F373">
            <v>0</v>
          </cell>
          <cell r="G373">
            <v>0</v>
          </cell>
          <cell r="H373">
            <v>0</v>
          </cell>
          <cell r="I373">
            <v>0.15</v>
          </cell>
          <cell r="J373">
            <v>0</v>
          </cell>
          <cell r="K373">
            <v>0.15</v>
          </cell>
          <cell r="L373">
            <v>0</v>
          </cell>
          <cell r="M373">
            <v>0</v>
          </cell>
          <cell r="N373">
            <v>0</v>
          </cell>
          <cell r="O373">
            <v>0</v>
          </cell>
          <cell r="P373">
            <v>2</v>
          </cell>
        </row>
        <row r="374">
          <cell r="B374" t="str">
            <v>STD</v>
          </cell>
          <cell r="C374">
            <v>1.25</v>
          </cell>
          <cell r="D374">
            <v>3.56</v>
          </cell>
          <cell r="E374">
            <v>1</v>
          </cell>
          <cell r="F374">
            <v>0</v>
          </cell>
          <cell r="G374">
            <v>0</v>
          </cell>
          <cell r="H374">
            <v>0</v>
          </cell>
          <cell r="I374">
            <v>0.15</v>
          </cell>
          <cell r="J374">
            <v>0</v>
          </cell>
          <cell r="K374">
            <v>0.15</v>
          </cell>
          <cell r="L374">
            <v>0</v>
          </cell>
          <cell r="M374">
            <v>0</v>
          </cell>
          <cell r="N374">
            <v>0</v>
          </cell>
          <cell r="O374">
            <v>0</v>
          </cell>
          <cell r="P374">
            <v>2</v>
          </cell>
        </row>
        <row r="375">
          <cell r="B375" t="str">
            <v>STD</v>
          </cell>
          <cell r="C375">
            <v>1.25</v>
          </cell>
          <cell r="D375">
            <v>3.56</v>
          </cell>
          <cell r="E375">
            <v>1</v>
          </cell>
          <cell r="F375">
            <v>0</v>
          </cell>
          <cell r="G375">
            <v>0</v>
          </cell>
          <cell r="H375">
            <v>0</v>
          </cell>
          <cell r="I375">
            <v>0.15</v>
          </cell>
          <cell r="J375">
            <v>0.14999997615814209</v>
          </cell>
          <cell r="K375">
            <v>0.15</v>
          </cell>
          <cell r="L375">
            <v>0</v>
          </cell>
          <cell r="M375">
            <v>0</v>
          </cell>
          <cell r="N375">
            <v>0</v>
          </cell>
          <cell r="O375">
            <v>0</v>
          </cell>
          <cell r="P375">
            <v>2</v>
          </cell>
        </row>
        <row r="376">
          <cell r="B376" t="str">
            <v>STD</v>
          </cell>
          <cell r="C376">
            <v>1.5</v>
          </cell>
          <cell r="D376">
            <v>3.68</v>
          </cell>
          <cell r="E376">
            <v>1</v>
          </cell>
          <cell r="F376">
            <v>0</v>
          </cell>
          <cell r="G376">
            <v>0</v>
          </cell>
          <cell r="H376">
            <v>0</v>
          </cell>
          <cell r="I376">
            <v>0.15</v>
          </cell>
          <cell r="J376">
            <v>0</v>
          </cell>
          <cell r="K376">
            <v>0.15</v>
          </cell>
          <cell r="L376">
            <v>0</v>
          </cell>
          <cell r="M376">
            <v>0</v>
          </cell>
          <cell r="N376">
            <v>0</v>
          </cell>
          <cell r="O376">
            <v>0</v>
          </cell>
          <cell r="P376">
            <v>2</v>
          </cell>
        </row>
        <row r="377">
          <cell r="B377" t="str">
            <v>STD</v>
          </cell>
          <cell r="C377">
            <v>1.5</v>
          </cell>
          <cell r="D377">
            <v>3.68</v>
          </cell>
          <cell r="E377">
            <v>1</v>
          </cell>
          <cell r="F377">
            <v>0</v>
          </cell>
          <cell r="G377">
            <v>0</v>
          </cell>
          <cell r="H377">
            <v>0</v>
          </cell>
          <cell r="I377">
            <v>0.15</v>
          </cell>
          <cell r="J377">
            <v>0</v>
          </cell>
          <cell r="K377">
            <v>0.15</v>
          </cell>
          <cell r="L377">
            <v>0</v>
          </cell>
          <cell r="M377">
            <v>0</v>
          </cell>
          <cell r="N377">
            <v>0</v>
          </cell>
          <cell r="O377">
            <v>0</v>
          </cell>
          <cell r="P377">
            <v>2</v>
          </cell>
        </row>
        <row r="378">
          <cell r="B378" t="str">
            <v>STD</v>
          </cell>
          <cell r="C378">
            <v>1.5</v>
          </cell>
          <cell r="D378">
            <v>3.68</v>
          </cell>
          <cell r="E378">
            <v>1</v>
          </cell>
          <cell r="F378">
            <v>0</v>
          </cell>
          <cell r="G378">
            <v>0</v>
          </cell>
          <cell r="H378">
            <v>0</v>
          </cell>
          <cell r="I378">
            <v>0.15</v>
          </cell>
          <cell r="J378">
            <v>0</v>
          </cell>
          <cell r="K378">
            <v>0.15</v>
          </cell>
          <cell r="L378">
            <v>0</v>
          </cell>
          <cell r="M378">
            <v>0</v>
          </cell>
          <cell r="N378">
            <v>0</v>
          </cell>
          <cell r="O378">
            <v>0</v>
          </cell>
          <cell r="P378">
            <v>2</v>
          </cell>
        </row>
        <row r="379">
          <cell r="B379" t="str">
            <v>STD</v>
          </cell>
          <cell r="C379">
            <v>2</v>
          </cell>
          <cell r="D379">
            <v>3.91</v>
          </cell>
          <cell r="E379">
            <v>1</v>
          </cell>
          <cell r="F379">
            <v>0</v>
          </cell>
          <cell r="G379">
            <v>0</v>
          </cell>
          <cell r="H379">
            <v>0</v>
          </cell>
          <cell r="I379">
            <v>0.3</v>
          </cell>
          <cell r="J379">
            <v>0</v>
          </cell>
          <cell r="K379">
            <v>0.3</v>
          </cell>
          <cell r="L379">
            <v>0</v>
          </cell>
          <cell r="M379">
            <v>0</v>
          </cell>
          <cell r="N379">
            <v>0</v>
          </cell>
          <cell r="O379">
            <v>0</v>
          </cell>
          <cell r="P379">
            <v>2</v>
          </cell>
        </row>
        <row r="380">
          <cell r="B380" t="str">
            <v>STD</v>
          </cell>
          <cell r="C380">
            <v>2</v>
          </cell>
          <cell r="D380">
            <v>3.91</v>
          </cell>
          <cell r="E380">
            <v>1</v>
          </cell>
          <cell r="F380">
            <v>0</v>
          </cell>
          <cell r="G380">
            <v>0</v>
          </cell>
          <cell r="H380">
            <v>0</v>
          </cell>
          <cell r="I380">
            <v>0.3</v>
          </cell>
          <cell r="J380">
            <v>0</v>
          </cell>
          <cell r="K380">
            <v>0.3</v>
          </cell>
          <cell r="L380">
            <v>0</v>
          </cell>
          <cell r="M380">
            <v>0</v>
          </cell>
          <cell r="N380">
            <v>0</v>
          </cell>
          <cell r="O380">
            <v>0</v>
          </cell>
          <cell r="P380">
            <v>2</v>
          </cell>
        </row>
        <row r="381">
          <cell r="B381" t="str">
            <v>STD</v>
          </cell>
          <cell r="C381">
            <v>2</v>
          </cell>
          <cell r="D381">
            <v>3.91</v>
          </cell>
          <cell r="E381">
            <v>1</v>
          </cell>
          <cell r="F381">
            <v>0</v>
          </cell>
          <cell r="G381">
            <v>0</v>
          </cell>
          <cell r="H381">
            <v>0</v>
          </cell>
          <cell r="I381">
            <v>0.3</v>
          </cell>
          <cell r="J381">
            <v>0</v>
          </cell>
          <cell r="K381">
            <v>0.3</v>
          </cell>
          <cell r="L381">
            <v>0</v>
          </cell>
          <cell r="M381">
            <v>0</v>
          </cell>
          <cell r="N381">
            <v>0</v>
          </cell>
          <cell r="O381">
            <v>0</v>
          </cell>
          <cell r="P381">
            <v>2</v>
          </cell>
        </row>
        <row r="382">
          <cell r="B382" t="str">
            <v>STD</v>
          </cell>
          <cell r="C382">
            <v>2.5</v>
          </cell>
          <cell r="D382">
            <v>5.16</v>
          </cell>
          <cell r="E382">
            <v>1</v>
          </cell>
          <cell r="F382">
            <v>0</v>
          </cell>
          <cell r="G382">
            <v>0</v>
          </cell>
          <cell r="H382">
            <v>0</v>
          </cell>
          <cell r="I382">
            <v>0.25</v>
          </cell>
          <cell r="J382">
            <v>0.2</v>
          </cell>
          <cell r="K382">
            <v>0.45</v>
          </cell>
          <cell r="L382">
            <v>0</v>
          </cell>
          <cell r="M382">
            <v>0</v>
          </cell>
          <cell r="N382">
            <v>0</v>
          </cell>
          <cell r="O382">
            <v>0</v>
          </cell>
          <cell r="P382">
            <v>2</v>
          </cell>
        </row>
        <row r="383">
          <cell r="B383" t="str">
            <v>STD</v>
          </cell>
          <cell r="C383">
            <v>3</v>
          </cell>
          <cell r="D383">
            <v>5.49</v>
          </cell>
          <cell r="E383">
            <v>1</v>
          </cell>
          <cell r="F383">
            <v>0</v>
          </cell>
          <cell r="G383">
            <v>0</v>
          </cell>
          <cell r="H383">
            <v>0</v>
          </cell>
          <cell r="I383">
            <v>0.3</v>
          </cell>
          <cell r="J383">
            <v>0.3</v>
          </cell>
          <cell r="K383">
            <v>0.6</v>
          </cell>
          <cell r="L383">
            <v>0</v>
          </cell>
          <cell r="M383">
            <v>0</v>
          </cell>
          <cell r="N383">
            <v>0</v>
          </cell>
          <cell r="O383">
            <v>0</v>
          </cell>
          <cell r="P383">
            <v>2</v>
          </cell>
        </row>
        <row r="384">
          <cell r="B384" t="str">
            <v>STD</v>
          </cell>
          <cell r="C384">
            <v>3.5</v>
          </cell>
          <cell r="D384">
            <v>5.74</v>
          </cell>
          <cell r="E384">
            <v>1</v>
          </cell>
          <cell r="F384">
            <v>0</v>
          </cell>
          <cell r="G384">
            <v>0</v>
          </cell>
          <cell r="H384">
            <v>0</v>
          </cell>
          <cell r="I384">
            <v>0.35</v>
          </cell>
          <cell r="J384">
            <v>0.4</v>
          </cell>
          <cell r="K384">
            <v>0.75</v>
          </cell>
          <cell r="L384">
            <v>0</v>
          </cell>
          <cell r="M384">
            <v>0</v>
          </cell>
          <cell r="N384">
            <v>0</v>
          </cell>
          <cell r="O384">
            <v>0</v>
          </cell>
          <cell r="P384">
            <v>3</v>
          </cell>
        </row>
        <row r="385">
          <cell r="B385" t="str">
            <v>STD</v>
          </cell>
          <cell r="C385">
            <v>4</v>
          </cell>
          <cell r="D385">
            <v>6.02</v>
          </cell>
          <cell r="E385">
            <v>1</v>
          </cell>
          <cell r="F385">
            <v>0</v>
          </cell>
          <cell r="G385">
            <v>0</v>
          </cell>
          <cell r="H385">
            <v>0</v>
          </cell>
          <cell r="I385">
            <v>0.41</v>
          </cell>
          <cell r="J385">
            <v>0.49</v>
          </cell>
          <cell r="K385">
            <v>0.89999999999999991</v>
          </cell>
          <cell r="L385">
            <v>0</v>
          </cell>
          <cell r="M385">
            <v>0</v>
          </cell>
          <cell r="N385">
            <v>0</v>
          </cell>
          <cell r="O385">
            <v>0</v>
          </cell>
          <cell r="P385">
            <v>3</v>
          </cell>
        </row>
        <row r="386">
          <cell r="B386" t="str">
            <v>STD</v>
          </cell>
          <cell r="C386">
            <v>5</v>
          </cell>
          <cell r="D386">
            <v>6.55</v>
          </cell>
          <cell r="E386">
            <v>1</v>
          </cell>
          <cell r="F386">
            <v>0</v>
          </cell>
          <cell r="G386">
            <v>0</v>
          </cell>
          <cell r="H386">
            <v>0</v>
          </cell>
          <cell r="I386">
            <v>0.51</v>
          </cell>
          <cell r="J386">
            <v>0.54</v>
          </cell>
          <cell r="K386">
            <v>1.05</v>
          </cell>
          <cell r="L386">
            <v>0</v>
          </cell>
          <cell r="M386">
            <v>0</v>
          </cell>
          <cell r="N386">
            <v>0</v>
          </cell>
          <cell r="O386">
            <v>0</v>
          </cell>
          <cell r="P386">
            <v>4</v>
          </cell>
        </row>
        <row r="387">
          <cell r="B387" t="str">
            <v>STD</v>
          </cell>
          <cell r="C387">
            <v>6</v>
          </cell>
          <cell r="D387">
            <v>7.11</v>
          </cell>
          <cell r="E387">
            <v>1</v>
          </cell>
          <cell r="F387">
            <v>0</v>
          </cell>
          <cell r="G387">
            <v>0</v>
          </cell>
          <cell r="H387">
            <v>0</v>
          </cell>
          <cell r="I387">
            <v>0.61</v>
          </cell>
          <cell r="J387">
            <v>1.04</v>
          </cell>
          <cell r="K387">
            <v>1.65</v>
          </cell>
          <cell r="L387">
            <v>0</v>
          </cell>
          <cell r="M387">
            <v>0</v>
          </cell>
          <cell r="N387">
            <v>0</v>
          </cell>
          <cell r="O387">
            <v>0</v>
          </cell>
          <cell r="P387">
            <v>4</v>
          </cell>
        </row>
        <row r="388">
          <cell r="B388" t="str">
            <v>STD</v>
          </cell>
          <cell r="C388">
            <v>8</v>
          </cell>
          <cell r="D388">
            <v>8.18</v>
          </cell>
          <cell r="E388">
            <v>1</v>
          </cell>
          <cell r="F388">
            <v>0</v>
          </cell>
          <cell r="G388">
            <v>0</v>
          </cell>
          <cell r="H388">
            <v>0</v>
          </cell>
          <cell r="I388">
            <v>0.81</v>
          </cell>
          <cell r="J388">
            <v>1.73</v>
          </cell>
          <cell r="K388">
            <v>2.54</v>
          </cell>
          <cell r="L388">
            <v>0</v>
          </cell>
          <cell r="M388">
            <v>0</v>
          </cell>
          <cell r="N388">
            <v>0</v>
          </cell>
          <cell r="O388">
            <v>0</v>
          </cell>
          <cell r="P388">
            <v>4</v>
          </cell>
        </row>
        <row r="389">
          <cell r="B389" t="str">
            <v>STD</v>
          </cell>
          <cell r="C389">
            <v>10</v>
          </cell>
          <cell r="D389">
            <v>9.27</v>
          </cell>
          <cell r="E389">
            <v>1</v>
          </cell>
          <cell r="F389">
            <v>0</v>
          </cell>
          <cell r="G389">
            <v>0</v>
          </cell>
          <cell r="H389">
            <v>0</v>
          </cell>
          <cell r="I389">
            <v>1.01</v>
          </cell>
          <cell r="J389">
            <v>3.04</v>
          </cell>
          <cell r="K389">
            <v>4.05</v>
          </cell>
          <cell r="L389">
            <v>0</v>
          </cell>
          <cell r="M389">
            <v>0</v>
          </cell>
          <cell r="N389">
            <v>0</v>
          </cell>
          <cell r="O389">
            <v>0</v>
          </cell>
          <cell r="P389">
            <v>4</v>
          </cell>
        </row>
        <row r="390">
          <cell r="B390" t="str">
            <v>STD</v>
          </cell>
          <cell r="C390">
            <v>12</v>
          </cell>
          <cell r="D390">
            <v>9.5299999999999994</v>
          </cell>
          <cell r="E390">
            <v>1</v>
          </cell>
          <cell r="F390">
            <v>0</v>
          </cell>
          <cell r="G390">
            <v>0</v>
          </cell>
          <cell r="H390">
            <v>0</v>
          </cell>
          <cell r="I390">
            <v>1.22</v>
          </cell>
          <cell r="J390">
            <v>3.28</v>
          </cell>
          <cell r="K390">
            <v>4.5</v>
          </cell>
          <cell r="L390">
            <v>0</v>
          </cell>
          <cell r="M390">
            <v>0</v>
          </cell>
          <cell r="N390">
            <v>0</v>
          </cell>
          <cell r="O390">
            <v>0</v>
          </cell>
          <cell r="P390">
            <v>6</v>
          </cell>
        </row>
        <row r="391">
          <cell r="B391" t="str">
            <v>STD</v>
          </cell>
          <cell r="C391">
            <v>14</v>
          </cell>
          <cell r="D391">
            <v>9.5299999999999994</v>
          </cell>
          <cell r="E391">
            <v>1</v>
          </cell>
          <cell r="F391">
            <v>0</v>
          </cell>
          <cell r="G391">
            <v>0</v>
          </cell>
          <cell r="H391">
            <v>0</v>
          </cell>
          <cell r="I391">
            <v>1.42</v>
          </cell>
          <cell r="J391">
            <v>3.97</v>
          </cell>
          <cell r="K391">
            <v>5.3900000000000006</v>
          </cell>
          <cell r="L391">
            <v>0</v>
          </cell>
          <cell r="M391">
            <v>0</v>
          </cell>
          <cell r="N391">
            <v>0</v>
          </cell>
          <cell r="O391">
            <v>0</v>
          </cell>
          <cell r="P391">
            <v>6</v>
          </cell>
        </row>
        <row r="392">
          <cell r="B392" t="str">
            <v>STD</v>
          </cell>
          <cell r="C392">
            <v>16</v>
          </cell>
          <cell r="D392">
            <v>9.5299999999999994</v>
          </cell>
          <cell r="E392">
            <v>1</v>
          </cell>
          <cell r="F392">
            <v>0</v>
          </cell>
          <cell r="G392">
            <v>0</v>
          </cell>
          <cell r="H392">
            <v>0</v>
          </cell>
          <cell r="I392">
            <v>1.62</v>
          </cell>
          <cell r="J392">
            <v>4.68</v>
          </cell>
          <cell r="K392">
            <v>6.3</v>
          </cell>
          <cell r="L392">
            <v>0</v>
          </cell>
          <cell r="M392">
            <v>0</v>
          </cell>
          <cell r="N392">
            <v>0</v>
          </cell>
          <cell r="O392">
            <v>0</v>
          </cell>
          <cell r="P392">
            <v>6</v>
          </cell>
        </row>
        <row r="393">
          <cell r="B393" t="str">
            <v>STD</v>
          </cell>
          <cell r="C393">
            <v>18</v>
          </cell>
          <cell r="D393">
            <v>9.5299999999999994</v>
          </cell>
          <cell r="E393">
            <v>1</v>
          </cell>
          <cell r="F393">
            <v>0</v>
          </cell>
          <cell r="G393">
            <v>0</v>
          </cell>
          <cell r="H393">
            <v>0</v>
          </cell>
          <cell r="I393">
            <v>1.82</v>
          </cell>
          <cell r="J393">
            <v>5.38</v>
          </cell>
          <cell r="K393">
            <v>7.2</v>
          </cell>
          <cell r="L393">
            <v>0</v>
          </cell>
          <cell r="M393">
            <v>0</v>
          </cell>
          <cell r="N393">
            <v>0</v>
          </cell>
          <cell r="O393">
            <v>0</v>
          </cell>
          <cell r="P393">
            <v>6</v>
          </cell>
        </row>
        <row r="394">
          <cell r="B394" t="str">
            <v>STD</v>
          </cell>
          <cell r="C394">
            <v>20</v>
          </cell>
          <cell r="D394">
            <v>9.5299999999999994</v>
          </cell>
          <cell r="E394">
            <v>1</v>
          </cell>
          <cell r="F394">
            <v>0</v>
          </cell>
          <cell r="G394">
            <v>0</v>
          </cell>
          <cell r="H394">
            <v>0</v>
          </cell>
          <cell r="I394">
            <v>2.0299999999999998</v>
          </cell>
          <cell r="J394">
            <v>5.47</v>
          </cell>
          <cell r="K394">
            <v>7.5</v>
          </cell>
          <cell r="L394">
            <v>0</v>
          </cell>
          <cell r="M394">
            <v>0</v>
          </cell>
          <cell r="N394">
            <v>0</v>
          </cell>
          <cell r="O394">
            <v>0</v>
          </cell>
          <cell r="P394">
            <v>7</v>
          </cell>
        </row>
        <row r="395">
          <cell r="B395" t="str">
            <v>STD</v>
          </cell>
          <cell r="C395">
            <v>22</v>
          </cell>
          <cell r="D395">
            <v>9.5299999999999994</v>
          </cell>
          <cell r="E395">
            <v>1</v>
          </cell>
          <cell r="F395">
            <v>0</v>
          </cell>
          <cell r="G395">
            <v>0</v>
          </cell>
          <cell r="H395">
            <v>0</v>
          </cell>
          <cell r="I395">
            <v>2.23</v>
          </cell>
          <cell r="J395">
            <v>6.47</v>
          </cell>
          <cell r="K395">
            <v>8.6999999999999993</v>
          </cell>
          <cell r="L395">
            <v>0</v>
          </cell>
          <cell r="M395">
            <v>0</v>
          </cell>
          <cell r="N395">
            <v>0</v>
          </cell>
          <cell r="O395">
            <v>0</v>
          </cell>
          <cell r="P395">
            <v>8</v>
          </cell>
        </row>
        <row r="396">
          <cell r="B396" t="str">
            <v>STD</v>
          </cell>
          <cell r="C396">
            <v>24</v>
          </cell>
          <cell r="D396">
            <v>9.5299999999999994</v>
          </cell>
          <cell r="E396">
            <v>1</v>
          </cell>
          <cell r="F396">
            <v>0</v>
          </cell>
          <cell r="G396">
            <v>0</v>
          </cell>
          <cell r="H396">
            <v>0</v>
          </cell>
          <cell r="I396">
            <v>2.4300000000000002</v>
          </cell>
          <cell r="J396">
            <v>6.57</v>
          </cell>
          <cell r="K396">
            <v>9</v>
          </cell>
          <cell r="L396">
            <v>0</v>
          </cell>
          <cell r="M396">
            <v>0</v>
          </cell>
          <cell r="N396">
            <v>0</v>
          </cell>
          <cell r="O396">
            <v>0</v>
          </cell>
          <cell r="P396">
            <v>8</v>
          </cell>
        </row>
        <row r="397">
          <cell r="B397" t="str">
            <v>STD</v>
          </cell>
          <cell r="C397">
            <v>26</v>
          </cell>
          <cell r="D397">
            <v>9.5299999999999994</v>
          </cell>
          <cell r="E397">
            <v>1</v>
          </cell>
          <cell r="F397">
            <v>0</v>
          </cell>
          <cell r="G397">
            <v>0</v>
          </cell>
          <cell r="H397">
            <v>0</v>
          </cell>
          <cell r="I397">
            <v>2.64</v>
          </cell>
          <cell r="J397">
            <v>7.7</v>
          </cell>
          <cell r="K397">
            <v>10.34</v>
          </cell>
          <cell r="L397">
            <v>0</v>
          </cell>
          <cell r="M397">
            <v>0</v>
          </cell>
          <cell r="N397">
            <v>0</v>
          </cell>
          <cell r="O397">
            <v>0</v>
          </cell>
          <cell r="P397">
            <v>9</v>
          </cell>
        </row>
        <row r="398">
          <cell r="B398" t="str">
            <v>STD</v>
          </cell>
          <cell r="C398">
            <v>28</v>
          </cell>
          <cell r="D398">
            <v>9.5299999999999994</v>
          </cell>
          <cell r="E398">
            <v>1</v>
          </cell>
          <cell r="F398">
            <v>0</v>
          </cell>
          <cell r="G398">
            <v>0</v>
          </cell>
          <cell r="H398">
            <v>0</v>
          </cell>
          <cell r="I398">
            <v>2.84</v>
          </cell>
          <cell r="J398">
            <v>8.25</v>
          </cell>
          <cell r="K398">
            <v>11.09</v>
          </cell>
          <cell r="L398">
            <v>0</v>
          </cell>
          <cell r="M398">
            <v>0</v>
          </cell>
          <cell r="N398">
            <v>0</v>
          </cell>
          <cell r="O398">
            <v>0</v>
          </cell>
          <cell r="P398">
            <v>9</v>
          </cell>
        </row>
        <row r="399">
          <cell r="B399" t="str">
            <v>STD</v>
          </cell>
          <cell r="C399">
            <v>30</v>
          </cell>
          <cell r="D399">
            <v>9.5299999999999994</v>
          </cell>
          <cell r="E399">
            <v>1</v>
          </cell>
          <cell r="F399">
            <v>0</v>
          </cell>
          <cell r="G399">
            <v>0</v>
          </cell>
          <cell r="H399">
            <v>0</v>
          </cell>
          <cell r="I399">
            <v>3.04</v>
          </cell>
          <cell r="J399">
            <v>8.9600000000000009</v>
          </cell>
          <cell r="K399">
            <v>12</v>
          </cell>
          <cell r="L399">
            <v>0</v>
          </cell>
          <cell r="M399">
            <v>0</v>
          </cell>
          <cell r="N399">
            <v>0</v>
          </cell>
          <cell r="O399">
            <v>0</v>
          </cell>
          <cell r="P399">
            <v>10</v>
          </cell>
        </row>
        <row r="400">
          <cell r="B400" t="str">
            <v>STD</v>
          </cell>
          <cell r="C400">
            <v>32</v>
          </cell>
          <cell r="D400">
            <v>9.5299999999999994</v>
          </cell>
          <cell r="E400">
            <v>1</v>
          </cell>
          <cell r="F400">
            <v>0</v>
          </cell>
          <cell r="G400">
            <v>0</v>
          </cell>
          <cell r="H400">
            <v>0</v>
          </cell>
          <cell r="I400">
            <v>3.24</v>
          </cell>
          <cell r="J400">
            <v>9.51</v>
          </cell>
          <cell r="K400">
            <v>12.75</v>
          </cell>
          <cell r="L400">
            <v>0</v>
          </cell>
          <cell r="M400">
            <v>0</v>
          </cell>
          <cell r="N400">
            <v>0</v>
          </cell>
          <cell r="O400">
            <v>0</v>
          </cell>
          <cell r="P400">
            <v>11</v>
          </cell>
        </row>
        <row r="401">
          <cell r="B401" t="str">
            <v>STD</v>
          </cell>
          <cell r="C401">
            <v>34</v>
          </cell>
          <cell r="D401">
            <v>9.5299999999999994</v>
          </cell>
          <cell r="E401">
            <v>1</v>
          </cell>
          <cell r="F401">
            <v>0</v>
          </cell>
          <cell r="G401">
            <v>0</v>
          </cell>
          <cell r="H401">
            <v>0</v>
          </cell>
          <cell r="I401">
            <v>3.45</v>
          </cell>
          <cell r="J401">
            <v>10.050000000000001</v>
          </cell>
          <cell r="K401">
            <v>13.5</v>
          </cell>
          <cell r="L401">
            <v>0</v>
          </cell>
          <cell r="M401">
            <v>0</v>
          </cell>
          <cell r="N401">
            <v>0</v>
          </cell>
          <cell r="O401">
            <v>0</v>
          </cell>
          <cell r="P401">
            <v>12</v>
          </cell>
        </row>
        <row r="402">
          <cell r="B402" t="str">
            <v>STD</v>
          </cell>
          <cell r="C402">
            <v>36</v>
          </cell>
          <cell r="D402">
            <v>9.5299999999999994</v>
          </cell>
          <cell r="E402">
            <v>1</v>
          </cell>
          <cell r="F402">
            <v>0</v>
          </cell>
          <cell r="G402">
            <v>0</v>
          </cell>
          <cell r="H402">
            <v>0</v>
          </cell>
          <cell r="I402">
            <v>3.65</v>
          </cell>
          <cell r="J402">
            <v>10.6</v>
          </cell>
          <cell r="K402">
            <v>14.25</v>
          </cell>
          <cell r="L402">
            <v>0</v>
          </cell>
          <cell r="M402">
            <v>0</v>
          </cell>
          <cell r="N402">
            <v>0</v>
          </cell>
          <cell r="O402">
            <v>0</v>
          </cell>
          <cell r="P402">
            <v>12</v>
          </cell>
        </row>
        <row r="403">
          <cell r="B403" t="str">
            <v>STD</v>
          </cell>
          <cell r="C403">
            <v>38</v>
          </cell>
          <cell r="D403">
            <v>9.5299999999999994</v>
          </cell>
          <cell r="E403">
            <v>1</v>
          </cell>
          <cell r="F403">
            <v>0</v>
          </cell>
          <cell r="G403">
            <v>0</v>
          </cell>
          <cell r="H403">
            <v>0</v>
          </cell>
          <cell r="I403">
            <v>3.85</v>
          </cell>
          <cell r="J403">
            <v>11.23</v>
          </cell>
          <cell r="K403">
            <v>15.08</v>
          </cell>
          <cell r="L403">
            <v>0</v>
          </cell>
          <cell r="M403">
            <v>0</v>
          </cell>
          <cell r="N403">
            <v>0</v>
          </cell>
          <cell r="O403">
            <v>0</v>
          </cell>
          <cell r="P403">
            <v>13</v>
          </cell>
        </row>
        <row r="404">
          <cell r="B404" t="str">
            <v>STD</v>
          </cell>
          <cell r="C404">
            <v>40</v>
          </cell>
          <cell r="D404">
            <v>9.5299999999999994</v>
          </cell>
          <cell r="E404">
            <v>1</v>
          </cell>
          <cell r="F404">
            <v>0</v>
          </cell>
          <cell r="G404">
            <v>0</v>
          </cell>
          <cell r="H404">
            <v>0</v>
          </cell>
          <cell r="I404">
            <v>4.0599999999999996</v>
          </cell>
          <cell r="J404">
            <v>11.66</v>
          </cell>
          <cell r="K404">
            <v>15.719999999999999</v>
          </cell>
          <cell r="L404">
            <v>0</v>
          </cell>
          <cell r="M404">
            <v>0</v>
          </cell>
          <cell r="N404">
            <v>0</v>
          </cell>
          <cell r="O404">
            <v>0</v>
          </cell>
          <cell r="P404">
            <v>14</v>
          </cell>
        </row>
        <row r="405">
          <cell r="B405" t="str">
            <v>STD</v>
          </cell>
          <cell r="C405">
            <v>42</v>
          </cell>
          <cell r="D405">
            <v>9.5299999999999994</v>
          </cell>
          <cell r="E405">
            <v>1</v>
          </cell>
          <cell r="F405">
            <v>0</v>
          </cell>
          <cell r="G405">
            <v>0</v>
          </cell>
          <cell r="H405">
            <v>0</v>
          </cell>
          <cell r="I405">
            <v>4.26</v>
          </cell>
          <cell r="J405">
            <v>12.24</v>
          </cell>
          <cell r="K405">
            <v>16.5</v>
          </cell>
          <cell r="L405">
            <v>0</v>
          </cell>
          <cell r="M405">
            <v>0</v>
          </cell>
          <cell r="N405">
            <v>0</v>
          </cell>
          <cell r="O405">
            <v>0</v>
          </cell>
          <cell r="P405">
            <v>14</v>
          </cell>
        </row>
        <row r="406">
          <cell r="B406" t="str">
            <v>STD</v>
          </cell>
          <cell r="C406">
            <v>44</v>
          </cell>
          <cell r="D406">
            <v>9.5299999999999994</v>
          </cell>
          <cell r="E406">
            <v>1</v>
          </cell>
          <cell r="F406">
            <v>0</v>
          </cell>
          <cell r="G406">
            <v>0</v>
          </cell>
          <cell r="H406">
            <v>0</v>
          </cell>
          <cell r="I406">
            <v>4.47</v>
          </cell>
          <cell r="J406">
            <v>17.54</v>
          </cell>
          <cell r="K406">
            <v>22.009999999999998</v>
          </cell>
          <cell r="L406">
            <v>0</v>
          </cell>
          <cell r="M406">
            <v>0</v>
          </cell>
          <cell r="N406">
            <v>0</v>
          </cell>
          <cell r="O406">
            <v>0</v>
          </cell>
          <cell r="P406">
            <v>15</v>
          </cell>
        </row>
        <row r="407">
          <cell r="B407" t="str">
            <v>STD</v>
          </cell>
          <cell r="C407">
            <v>46</v>
          </cell>
          <cell r="D407">
            <v>9.5299999999999994</v>
          </cell>
          <cell r="E407">
            <v>1</v>
          </cell>
          <cell r="F407">
            <v>0</v>
          </cell>
          <cell r="G407">
            <v>0</v>
          </cell>
          <cell r="H407">
            <v>0</v>
          </cell>
          <cell r="I407">
            <v>4.67</v>
          </cell>
          <cell r="J407">
            <v>18.329999999999998</v>
          </cell>
          <cell r="K407">
            <v>23</v>
          </cell>
          <cell r="L407">
            <v>0</v>
          </cell>
          <cell r="M407">
            <v>0</v>
          </cell>
          <cell r="N407">
            <v>0</v>
          </cell>
          <cell r="O407">
            <v>0</v>
          </cell>
          <cell r="P407">
            <v>16</v>
          </cell>
        </row>
        <row r="408">
          <cell r="B408" t="str">
            <v>STD</v>
          </cell>
          <cell r="C408">
            <v>48</v>
          </cell>
          <cell r="D408">
            <v>9.5299999999999994</v>
          </cell>
          <cell r="E408">
            <v>1</v>
          </cell>
          <cell r="F408">
            <v>0</v>
          </cell>
          <cell r="G408">
            <v>0</v>
          </cell>
          <cell r="H408">
            <v>0</v>
          </cell>
          <cell r="I408">
            <v>4.87</v>
          </cell>
          <cell r="J408">
            <v>19.13</v>
          </cell>
          <cell r="K408">
            <v>24</v>
          </cell>
          <cell r="L408">
            <v>0</v>
          </cell>
          <cell r="M408">
            <v>0</v>
          </cell>
          <cell r="N408">
            <v>0</v>
          </cell>
          <cell r="O408">
            <v>0</v>
          </cell>
          <cell r="P408">
            <v>16</v>
          </cell>
        </row>
        <row r="409">
          <cell r="B409" t="str">
            <v xml:space="preserve">XS </v>
          </cell>
          <cell r="C409">
            <v>0.125</v>
          </cell>
          <cell r="D409">
            <v>2.41</v>
          </cell>
          <cell r="E409">
            <v>1</v>
          </cell>
          <cell r="F409">
            <v>0</v>
          </cell>
          <cell r="G409">
            <v>0</v>
          </cell>
          <cell r="H409">
            <v>0</v>
          </cell>
          <cell r="I409">
            <v>7.0000000000000007E-2</v>
          </cell>
          <cell r="J409">
            <v>0</v>
          </cell>
          <cell r="K409">
            <v>7.0000000000000007E-2</v>
          </cell>
          <cell r="L409">
            <v>0</v>
          </cell>
          <cell r="M409">
            <v>0</v>
          </cell>
          <cell r="N409">
            <v>0</v>
          </cell>
          <cell r="O409">
            <v>0</v>
          </cell>
          <cell r="P409">
            <v>2</v>
          </cell>
        </row>
        <row r="410">
          <cell r="B410" t="str">
            <v xml:space="preserve">XS </v>
          </cell>
          <cell r="C410">
            <v>0.125</v>
          </cell>
          <cell r="D410">
            <v>2.41</v>
          </cell>
          <cell r="E410">
            <v>1</v>
          </cell>
          <cell r="F410">
            <v>0</v>
          </cell>
          <cell r="G410">
            <v>0</v>
          </cell>
          <cell r="H410">
            <v>0</v>
          </cell>
          <cell r="I410">
            <v>7.0000000000000007E-2</v>
          </cell>
          <cell r="J410">
            <v>0</v>
          </cell>
          <cell r="K410">
            <v>7.0000000000000007E-2</v>
          </cell>
          <cell r="L410">
            <v>0</v>
          </cell>
          <cell r="M410">
            <v>0</v>
          </cell>
          <cell r="N410">
            <v>0</v>
          </cell>
          <cell r="O410">
            <v>0</v>
          </cell>
          <cell r="P410">
            <v>2</v>
          </cell>
        </row>
        <row r="411">
          <cell r="B411" t="str">
            <v xml:space="preserve">XS </v>
          </cell>
          <cell r="C411">
            <v>0.125</v>
          </cell>
          <cell r="D411">
            <v>2.41</v>
          </cell>
          <cell r="E411">
            <v>1</v>
          </cell>
          <cell r="F411">
            <v>0</v>
          </cell>
          <cell r="G411">
            <v>0</v>
          </cell>
          <cell r="H411">
            <v>0</v>
          </cell>
          <cell r="I411">
            <v>7.0000000000000007E-2</v>
          </cell>
          <cell r="J411">
            <v>0</v>
          </cell>
          <cell r="K411">
            <v>7.0000000000000007E-2</v>
          </cell>
          <cell r="L411">
            <v>0</v>
          </cell>
          <cell r="M411">
            <v>0</v>
          </cell>
          <cell r="N411">
            <v>0</v>
          </cell>
          <cell r="O411">
            <v>0</v>
          </cell>
          <cell r="P411">
            <v>2</v>
          </cell>
        </row>
        <row r="412">
          <cell r="B412" t="str">
            <v xml:space="preserve">XS </v>
          </cell>
          <cell r="C412">
            <v>0.25</v>
          </cell>
          <cell r="D412">
            <v>3.02</v>
          </cell>
          <cell r="E412">
            <v>1</v>
          </cell>
          <cell r="F412">
            <v>1</v>
          </cell>
          <cell r="G412">
            <v>0</v>
          </cell>
          <cell r="H412">
            <v>0</v>
          </cell>
          <cell r="I412">
            <v>7.0000000000000007E-2</v>
          </cell>
          <cell r="J412">
            <v>0</v>
          </cell>
          <cell r="K412">
            <v>7.0000000000000007E-2</v>
          </cell>
          <cell r="L412">
            <v>0</v>
          </cell>
          <cell r="M412">
            <v>0</v>
          </cell>
          <cell r="N412">
            <v>0</v>
          </cell>
          <cell r="O412">
            <v>0</v>
          </cell>
          <cell r="P412">
            <v>2</v>
          </cell>
        </row>
        <row r="413">
          <cell r="B413" t="str">
            <v xml:space="preserve">XS </v>
          </cell>
          <cell r="C413">
            <v>0.25</v>
          </cell>
          <cell r="D413">
            <v>3.02</v>
          </cell>
          <cell r="E413">
            <v>1</v>
          </cell>
          <cell r="F413">
            <v>0</v>
          </cell>
          <cell r="G413">
            <v>0</v>
          </cell>
          <cell r="H413">
            <v>0</v>
          </cell>
          <cell r="I413">
            <v>7.0000000000000007E-2</v>
          </cell>
          <cell r="J413">
            <v>0</v>
          </cell>
          <cell r="K413">
            <v>7.0000000000000007E-2</v>
          </cell>
          <cell r="L413">
            <v>0</v>
          </cell>
          <cell r="M413">
            <v>0</v>
          </cell>
          <cell r="N413">
            <v>0</v>
          </cell>
          <cell r="O413">
            <v>0</v>
          </cell>
          <cell r="P413">
            <v>2</v>
          </cell>
        </row>
        <row r="414">
          <cell r="B414" t="str">
            <v xml:space="preserve">XS </v>
          </cell>
          <cell r="C414">
            <v>0.25</v>
          </cell>
          <cell r="D414">
            <v>3.02</v>
          </cell>
          <cell r="E414">
            <v>1</v>
          </cell>
          <cell r="F414">
            <v>0</v>
          </cell>
          <cell r="G414">
            <v>0</v>
          </cell>
          <cell r="H414">
            <v>0</v>
          </cell>
          <cell r="I414">
            <v>7.0000000000000007E-2</v>
          </cell>
          <cell r="J414">
            <v>0</v>
          </cell>
          <cell r="K414">
            <v>7.0000000000000007E-2</v>
          </cell>
          <cell r="L414">
            <v>0</v>
          </cell>
          <cell r="M414">
            <v>0</v>
          </cell>
          <cell r="N414">
            <v>0</v>
          </cell>
          <cell r="O414">
            <v>0</v>
          </cell>
          <cell r="P414">
            <v>2</v>
          </cell>
        </row>
        <row r="415">
          <cell r="B415" t="str">
            <v xml:space="preserve">XS </v>
          </cell>
          <cell r="C415">
            <v>0.375</v>
          </cell>
          <cell r="D415">
            <v>3.2</v>
          </cell>
          <cell r="E415">
            <v>1</v>
          </cell>
          <cell r="F415">
            <v>1</v>
          </cell>
          <cell r="G415">
            <v>1</v>
          </cell>
          <cell r="H415">
            <v>1</v>
          </cell>
          <cell r="I415">
            <v>7.0000000000000007E-2</v>
          </cell>
          <cell r="J415">
            <v>0</v>
          </cell>
          <cell r="K415">
            <v>7.0000000000000007E-2</v>
          </cell>
          <cell r="L415">
            <v>2</v>
          </cell>
          <cell r="M415">
            <v>2</v>
          </cell>
          <cell r="N415">
            <v>8.8062877131794293E-312</v>
          </cell>
          <cell r="O415" t="str">
            <v xml:space="preserve">XS </v>
          </cell>
          <cell r="P415">
            <v>2</v>
          </cell>
          <cell r="Q415">
            <v>3.2</v>
          </cell>
          <cell r="R415">
            <v>1</v>
          </cell>
        </row>
        <row r="416">
          <cell r="B416" t="str">
            <v xml:space="preserve">XS </v>
          </cell>
          <cell r="C416">
            <v>0.375</v>
          </cell>
          <cell r="D416">
            <v>3.2</v>
          </cell>
          <cell r="E416">
            <v>1</v>
          </cell>
          <cell r="F416">
            <v>0</v>
          </cell>
          <cell r="G416">
            <v>0</v>
          </cell>
          <cell r="H416">
            <v>0</v>
          </cell>
          <cell r="I416">
            <v>7.0000000000000007E-2</v>
          </cell>
          <cell r="J416">
            <v>0</v>
          </cell>
          <cell r="K416">
            <v>7.0000000000000007E-2</v>
          </cell>
          <cell r="L416">
            <v>0</v>
          </cell>
          <cell r="M416">
            <v>0</v>
          </cell>
          <cell r="N416">
            <v>0</v>
          </cell>
          <cell r="O416">
            <v>0</v>
          </cell>
          <cell r="P416">
            <v>2</v>
          </cell>
        </row>
        <row r="417">
          <cell r="B417" t="str">
            <v xml:space="preserve">XS </v>
          </cell>
          <cell r="C417">
            <v>0.375</v>
          </cell>
          <cell r="D417">
            <v>3.2</v>
          </cell>
          <cell r="E417">
            <v>1</v>
          </cell>
          <cell r="F417">
            <v>0</v>
          </cell>
          <cell r="G417">
            <v>0</v>
          </cell>
          <cell r="H417">
            <v>0</v>
          </cell>
          <cell r="I417">
            <v>7.0000000000000007E-2</v>
          </cell>
          <cell r="J417">
            <v>0</v>
          </cell>
          <cell r="K417">
            <v>7.0000000000000007E-2</v>
          </cell>
          <cell r="L417">
            <v>0</v>
          </cell>
          <cell r="M417">
            <v>0</v>
          </cell>
          <cell r="N417">
            <v>0</v>
          </cell>
          <cell r="O417">
            <v>0</v>
          </cell>
          <cell r="P417">
            <v>2</v>
          </cell>
        </row>
        <row r="418">
          <cell r="A418">
            <v>2</v>
          </cell>
          <cell r="B418" t="str">
            <v xml:space="preserve">XS </v>
          </cell>
          <cell r="C418">
            <v>0.5</v>
          </cell>
          <cell r="D418">
            <v>3.73</v>
          </cell>
          <cell r="E418">
            <v>1</v>
          </cell>
          <cell r="F418">
            <v>1</v>
          </cell>
          <cell r="G418">
            <v>1</v>
          </cell>
          <cell r="H418">
            <v>1</v>
          </cell>
          <cell r="I418">
            <v>7.0000000000000007E-2</v>
          </cell>
          <cell r="J418">
            <v>0</v>
          </cell>
          <cell r="K418">
            <v>7.0000000000000007E-2</v>
          </cell>
          <cell r="L418">
            <v>2</v>
          </cell>
          <cell r="M418">
            <v>2</v>
          </cell>
          <cell r="N418">
            <v>8.8699475869083874E-312</v>
          </cell>
          <cell r="O418" t="str">
            <v xml:space="preserve">XS </v>
          </cell>
          <cell r="P418">
            <v>2</v>
          </cell>
          <cell r="Q418">
            <v>3.73</v>
          </cell>
          <cell r="R418">
            <v>1</v>
          </cell>
        </row>
        <row r="419">
          <cell r="B419" t="str">
            <v xml:space="preserve">XS </v>
          </cell>
          <cell r="C419">
            <v>0.5</v>
          </cell>
          <cell r="D419">
            <v>3.73</v>
          </cell>
          <cell r="E419">
            <v>1</v>
          </cell>
          <cell r="F419">
            <v>1</v>
          </cell>
          <cell r="G419">
            <v>0</v>
          </cell>
          <cell r="H419">
            <v>0</v>
          </cell>
          <cell r="I419">
            <v>7.0000000000000007E-2</v>
          </cell>
          <cell r="J419">
            <v>0</v>
          </cell>
          <cell r="K419">
            <v>7.0000000000000007E-2</v>
          </cell>
          <cell r="L419">
            <v>0</v>
          </cell>
          <cell r="M419">
            <v>0</v>
          </cell>
          <cell r="N419">
            <v>0</v>
          </cell>
          <cell r="O419">
            <v>0</v>
          </cell>
          <cell r="P419">
            <v>2</v>
          </cell>
        </row>
        <row r="420">
          <cell r="B420" t="str">
            <v xml:space="preserve">XS </v>
          </cell>
          <cell r="C420">
            <v>0.5</v>
          </cell>
          <cell r="D420">
            <v>3.73</v>
          </cell>
          <cell r="E420">
            <v>1</v>
          </cell>
          <cell r="F420">
            <v>0</v>
          </cell>
          <cell r="G420">
            <v>0</v>
          </cell>
          <cell r="H420">
            <v>0</v>
          </cell>
          <cell r="I420">
            <v>7.0000000000000007E-2</v>
          </cell>
          <cell r="J420">
            <v>0</v>
          </cell>
          <cell r="K420">
            <v>7.0000000000000007E-2</v>
          </cell>
          <cell r="L420">
            <v>0</v>
          </cell>
          <cell r="M420">
            <v>0</v>
          </cell>
          <cell r="N420">
            <v>0</v>
          </cell>
          <cell r="O420">
            <v>0</v>
          </cell>
          <cell r="P420">
            <v>2</v>
          </cell>
        </row>
        <row r="421">
          <cell r="B421" t="str">
            <v xml:space="preserve">XS </v>
          </cell>
          <cell r="C421">
            <v>0.75</v>
          </cell>
          <cell r="D421">
            <v>3.91</v>
          </cell>
          <cell r="E421">
            <v>1</v>
          </cell>
          <cell r="F421">
            <v>0</v>
          </cell>
          <cell r="G421">
            <v>0</v>
          </cell>
          <cell r="H421">
            <v>0</v>
          </cell>
          <cell r="I421">
            <v>7.0000000000000007E-2</v>
          </cell>
          <cell r="J421">
            <v>0</v>
          </cell>
          <cell r="K421">
            <v>7.0000000000000007E-2</v>
          </cell>
          <cell r="L421">
            <v>0</v>
          </cell>
          <cell r="M421">
            <v>0</v>
          </cell>
          <cell r="N421">
            <v>0</v>
          </cell>
          <cell r="O421">
            <v>0</v>
          </cell>
          <cell r="P421">
            <v>2</v>
          </cell>
        </row>
        <row r="422">
          <cell r="B422" t="str">
            <v xml:space="preserve">XS </v>
          </cell>
          <cell r="C422">
            <v>0.75</v>
          </cell>
          <cell r="D422">
            <v>3.91</v>
          </cell>
          <cell r="E422">
            <v>1</v>
          </cell>
          <cell r="F422">
            <v>0</v>
          </cell>
          <cell r="G422">
            <v>0</v>
          </cell>
          <cell r="H422">
            <v>0</v>
          </cell>
          <cell r="I422">
            <v>7.0000000000000007E-2</v>
          </cell>
          <cell r="J422">
            <v>0</v>
          </cell>
          <cell r="K422">
            <v>7.0000000000000007E-2</v>
          </cell>
          <cell r="L422">
            <v>0</v>
          </cell>
          <cell r="M422">
            <v>0</v>
          </cell>
          <cell r="N422">
            <v>0</v>
          </cell>
          <cell r="O422">
            <v>0</v>
          </cell>
          <cell r="P422">
            <v>2</v>
          </cell>
        </row>
        <row r="423">
          <cell r="B423" t="str">
            <v xml:space="preserve">XS </v>
          </cell>
          <cell r="C423">
            <v>0.75</v>
          </cell>
          <cell r="D423">
            <v>3.91</v>
          </cell>
          <cell r="E423">
            <v>1</v>
          </cell>
          <cell r="F423">
            <v>0</v>
          </cell>
          <cell r="G423">
            <v>0</v>
          </cell>
          <cell r="H423">
            <v>0</v>
          </cell>
          <cell r="I423">
            <v>7.0000000000000007E-2</v>
          </cell>
          <cell r="J423">
            <v>0</v>
          </cell>
          <cell r="K423">
            <v>7.0000000000000007E-2</v>
          </cell>
          <cell r="L423">
            <v>0</v>
          </cell>
          <cell r="M423">
            <v>0</v>
          </cell>
          <cell r="N423">
            <v>0</v>
          </cell>
          <cell r="O423">
            <v>0</v>
          </cell>
          <cell r="P423">
            <v>2</v>
          </cell>
        </row>
        <row r="424">
          <cell r="B424" t="str">
            <v xml:space="preserve">XS </v>
          </cell>
          <cell r="C424">
            <v>1</v>
          </cell>
          <cell r="D424">
            <v>4.55</v>
          </cell>
          <cell r="E424">
            <v>1</v>
          </cell>
          <cell r="F424">
            <v>0</v>
          </cell>
          <cell r="G424">
            <v>0</v>
          </cell>
          <cell r="H424">
            <v>0</v>
          </cell>
          <cell r="I424">
            <v>0.15</v>
          </cell>
          <cell r="J424">
            <v>0</v>
          </cell>
          <cell r="K424">
            <v>0.15</v>
          </cell>
          <cell r="L424">
            <v>0</v>
          </cell>
          <cell r="M424">
            <v>0</v>
          </cell>
          <cell r="N424">
            <v>0</v>
          </cell>
          <cell r="O424">
            <v>0</v>
          </cell>
          <cell r="P424">
            <v>2</v>
          </cell>
        </row>
        <row r="425">
          <cell r="B425" t="str">
            <v xml:space="preserve">XS </v>
          </cell>
          <cell r="C425">
            <v>1</v>
          </cell>
          <cell r="D425">
            <v>4.55</v>
          </cell>
          <cell r="E425">
            <v>1</v>
          </cell>
          <cell r="F425">
            <v>0</v>
          </cell>
          <cell r="G425">
            <v>0</v>
          </cell>
          <cell r="H425">
            <v>0</v>
          </cell>
          <cell r="I425">
            <v>0.15</v>
          </cell>
          <cell r="J425">
            <v>0</v>
          </cell>
          <cell r="K425">
            <v>0.15</v>
          </cell>
          <cell r="L425">
            <v>0</v>
          </cell>
          <cell r="M425">
            <v>0</v>
          </cell>
          <cell r="N425">
            <v>0</v>
          </cell>
          <cell r="O425">
            <v>0</v>
          </cell>
          <cell r="P425">
            <v>2</v>
          </cell>
        </row>
        <row r="426">
          <cell r="B426" t="str">
            <v xml:space="preserve">XS </v>
          </cell>
          <cell r="C426">
            <v>1</v>
          </cell>
          <cell r="D426">
            <v>4.55</v>
          </cell>
          <cell r="E426">
            <v>1</v>
          </cell>
          <cell r="F426">
            <v>0</v>
          </cell>
          <cell r="G426">
            <v>0</v>
          </cell>
          <cell r="H426">
            <v>0</v>
          </cell>
          <cell r="I426">
            <v>0.15</v>
          </cell>
          <cell r="J426">
            <v>0</v>
          </cell>
          <cell r="K426">
            <v>0.15</v>
          </cell>
          <cell r="L426">
            <v>0</v>
          </cell>
          <cell r="M426">
            <v>0</v>
          </cell>
          <cell r="N426">
            <v>0</v>
          </cell>
          <cell r="O426">
            <v>0</v>
          </cell>
          <cell r="P426">
            <v>2</v>
          </cell>
        </row>
        <row r="427">
          <cell r="B427" t="str">
            <v xml:space="preserve">XS </v>
          </cell>
          <cell r="C427">
            <v>1.25</v>
          </cell>
          <cell r="D427">
            <v>4.8499999999999996</v>
          </cell>
          <cell r="E427">
            <v>1</v>
          </cell>
          <cell r="F427">
            <v>0</v>
          </cell>
          <cell r="G427">
            <v>0</v>
          </cell>
          <cell r="H427">
            <v>0</v>
          </cell>
          <cell r="I427">
            <v>0.13</v>
          </cell>
          <cell r="J427">
            <v>0.17</v>
          </cell>
          <cell r="K427">
            <v>0.30000000000000004</v>
          </cell>
          <cell r="L427">
            <v>0</v>
          </cell>
          <cell r="M427">
            <v>0</v>
          </cell>
          <cell r="N427">
            <v>0</v>
          </cell>
          <cell r="O427">
            <v>0</v>
          </cell>
          <cell r="P427">
            <v>2</v>
          </cell>
        </row>
        <row r="428">
          <cell r="B428" t="str">
            <v xml:space="preserve">XS </v>
          </cell>
          <cell r="C428">
            <v>1.25</v>
          </cell>
          <cell r="D428">
            <v>4.8499999999999996</v>
          </cell>
          <cell r="E428">
            <v>1</v>
          </cell>
          <cell r="F428">
            <v>0</v>
          </cell>
          <cell r="G428">
            <v>0</v>
          </cell>
          <cell r="H428">
            <v>0</v>
          </cell>
          <cell r="I428">
            <v>0.13</v>
          </cell>
          <cell r="J428">
            <v>0.17</v>
          </cell>
          <cell r="K428">
            <v>0.30000000000000004</v>
          </cell>
          <cell r="L428">
            <v>0</v>
          </cell>
          <cell r="M428">
            <v>0</v>
          </cell>
          <cell r="N428">
            <v>0</v>
          </cell>
          <cell r="O428">
            <v>0</v>
          </cell>
          <cell r="P428">
            <v>2</v>
          </cell>
        </row>
        <row r="429">
          <cell r="B429" t="str">
            <v xml:space="preserve">XS </v>
          </cell>
          <cell r="C429">
            <v>1.25</v>
          </cell>
          <cell r="D429">
            <v>4.8499999999999996</v>
          </cell>
          <cell r="E429">
            <v>1</v>
          </cell>
          <cell r="F429">
            <v>1</v>
          </cell>
          <cell r="G429">
            <v>1</v>
          </cell>
          <cell r="H429">
            <v>1</v>
          </cell>
          <cell r="I429">
            <v>0.13</v>
          </cell>
          <cell r="J429">
            <v>0.17</v>
          </cell>
          <cell r="K429">
            <v>0.30000000000000004</v>
          </cell>
          <cell r="L429">
            <v>2</v>
          </cell>
          <cell r="M429">
            <v>2</v>
          </cell>
          <cell r="N429">
            <v>9.1033671239145674E-312</v>
          </cell>
          <cell r="O429" t="str">
            <v xml:space="preserve">XS </v>
          </cell>
          <cell r="P429">
            <v>2</v>
          </cell>
          <cell r="Q429">
            <v>2</v>
          </cell>
          <cell r="R429">
            <v>9.0821471660049147E-312</v>
          </cell>
        </row>
        <row r="430">
          <cell r="B430" t="str">
            <v xml:space="preserve">XS </v>
          </cell>
          <cell r="C430">
            <v>1.5</v>
          </cell>
          <cell r="D430">
            <v>5.08</v>
          </cell>
          <cell r="E430">
            <v>1</v>
          </cell>
          <cell r="F430">
            <v>0</v>
          </cell>
          <cell r="G430">
            <v>0</v>
          </cell>
          <cell r="H430">
            <v>0</v>
          </cell>
          <cell r="I430">
            <v>0.15</v>
          </cell>
          <cell r="J430">
            <v>0.15</v>
          </cell>
          <cell r="K430">
            <v>0.3</v>
          </cell>
          <cell r="L430">
            <v>0</v>
          </cell>
          <cell r="M430">
            <v>0</v>
          </cell>
          <cell r="N430">
            <v>0</v>
          </cell>
          <cell r="O430">
            <v>0</v>
          </cell>
          <cell r="P430">
            <v>2</v>
          </cell>
        </row>
        <row r="431">
          <cell r="B431" t="str">
            <v xml:space="preserve">XS </v>
          </cell>
          <cell r="C431">
            <v>1.5</v>
          </cell>
          <cell r="D431">
            <v>5.08</v>
          </cell>
          <cell r="E431">
            <v>1</v>
          </cell>
          <cell r="F431">
            <v>0</v>
          </cell>
          <cell r="G431">
            <v>0</v>
          </cell>
          <cell r="H431">
            <v>0</v>
          </cell>
          <cell r="I431">
            <v>0.15</v>
          </cell>
          <cell r="J431">
            <v>0.15</v>
          </cell>
          <cell r="K431">
            <v>0.3</v>
          </cell>
          <cell r="L431">
            <v>0</v>
          </cell>
          <cell r="M431">
            <v>0</v>
          </cell>
          <cell r="N431">
            <v>0</v>
          </cell>
          <cell r="O431">
            <v>0</v>
          </cell>
          <cell r="P431">
            <v>2</v>
          </cell>
        </row>
        <row r="432">
          <cell r="B432" t="str">
            <v xml:space="preserve">XS </v>
          </cell>
          <cell r="C432">
            <v>1.5</v>
          </cell>
          <cell r="D432">
            <v>5.08</v>
          </cell>
          <cell r="E432">
            <v>1</v>
          </cell>
          <cell r="F432">
            <v>0</v>
          </cell>
          <cell r="G432">
            <v>0</v>
          </cell>
          <cell r="H432">
            <v>0</v>
          </cell>
          <cell r="I432">
            <v>0.15</v>
          </cell>
          <cell r="J432">
            <v>0.15</v>
          </cell>
          <cell r="K432">
            <v>0.3</v>
          </cell>
          <cell r="L432">
            <v>0</v>
          </cell>
          <cell r="M432">
            <v>0</v>
          </cell>
          <cell r="N432">
            <v>0</v>
          </cell>
          <cell r="O432">
            <v>0</v>
          </cell>
          <cell r="P432">
            <v>2</v>
          </cell>
        </row>
        <row r="433">
          <cell r="B433" t="str">
            <v xml:space="preserve">XS </v>
          </cell>
          <cell r="C433">
            <v>2</v>
          </cell>
          <cell r="D433">
            <v>5.54</v>
          </cell>
          <cell r="E433">
            <v>1</v>
          </cell>
          <cell r="F433">
            <v>0</v>
          </cell>
          <cell r="G433">
            <v>0</v>
          </cell>
          <cell r="H433">
            <v>0</v>
          </cell>
          <cell r="I433">
            <v>0.2</v>
          </cell>
          <cell r="J433">
            <v>0.25</v>
          </cell>
          <cell r="K433">
            <v>0.45</v>
          </cell>
          <cell r="L433">
            <v>0</v>
          </cell>
          <cell r="M433">
            <v>0</v>
          </cell>
          <cell r="N433">
            <v>0</v>
          </cell>
          <cell r="O433">
            <v>0</v>
          </cell>
          <cell r="P433">
            <v>2</v>
          </cell>
        </row>
        <row r="434">
          <cell r="B434" t="str">
            <v xml:space="preserve">XS </v>
          </cell>
          <cell r="C434">
            <v>2</v>
          </cell>
          <cell r="D434">
            <v>5.54</v>
          </cell>
          <cell r="E434">
            <v>1</v>
          </cell>
          <cell r="F434">
            <v>0</v>
          </cell>
          <cell r="G434">
            <v>0</v>
          </cell>
          <cell r="H434">
            <v>0</v>
          </cell>
          <cell r="I434">
            <v>0.2</v>
          </cell>
          <cell r="J434">
            <v>0.25</v>
          </cell>
          <cell r="K434">
            <v>0.45</v>
          </cell>
          <cell r="L434">
            <v>0</v>
          </cell>
          <cell r="M434">
            <v>0</v>
          </cell>
          <cell r="N434">
            <v>0</v>
          </cell>
          <cell r="O434">
            <v>0</v>
          </cell>
          <cell r="P434">
            <v>2</v>
          </cell>
        </row>
        <row r="435">
          <cell r="B435" t="str">
            <v xml:space="preserve">XS </v>
          </cell>
          <cell r="C435">
            <v>2</v>
          </cell>
          <cell r="D435">
            <v>5.54</v>
          </cell>
          <cell r="E435">
            <v>1</v>
          </cell>
          <cell r="F435">
            <v>0</v>
          </cell>
          <cell r="G435">
            <v>0</v>
          </cell>
          <cell r="H435">
            <v>0</v>
          </cell>
          <cell r="I435">
            <v>0.2</v>
          </cell>
          <cell r="J435">
            <v>0.25</v>
          </cell>
          <cell r="K435">
            <v>0.45</v>
          </cell>
          <cell r="L435">
            <v>0</v>
          </cell>
          <cell r="M435">
            <v>0</v>
          </cell>
          <cell r="N435">
            <v>0</v>
          </cell>
          <cell r="O435">
            <v>0</v>
          </cell>
          <cell r="P435">
            <v>2</v>
          </cell>
        </row>
        <row r="436">
          <cell r="B436" t="str">
            <v xml:space="preserve">XS </v>
          </cell>
          <cell r="C436">
            <v>2.5</v>
          </cell>
          <cell r="D436">
            <v>7.01</v>
          </cell>
          <cell r="E436">
            <v>1</v>
          </cell>
          <cell r="F436">
            <v>0</v>
          </cell>
          <cell r="G436">
            <v>0</v>
          </cell>
          <cell r="H436">
            <v>0</v>
          </cell>
          <cell r="I436">
            <v>0.25</v>
          </cell>
          <cell r="J436">
            <v>0.5</v>
          </cell>
          <cell r="K436">
            <v>0.75</v>
          </cell>
          <cell r="L436">
            <v>0</v>
          </cell>
          <cell r="M436">
            <v>0</v>
          </cell>
          <cell r="N436">
            <v>0</v>
          </cell>
          <cell r="O436">
            <v>0</v>
          </cell>
          <cell r="P436">
            <v>2</v>
          </cell>
        </row>
        <row r="437">
          <cell r="B437" t="str">
            <v xml:space="preserve">XS </v>
          </cell>
          <cell r="C437">
            <v>3</v>
          </cell>
          <cell r="D437">
            <v>7.62</v>
          </cell>
          <cell r="E437">
            <v>1</v>
          </cell>
          <cell r="F437">
            <v>0</v>
          </cell>
          <cell r="G437">
            <v>0</v>
          </cell>
          <cell r="H437">
            <v>0</v>
          </cell>
          <cell r="I437">
            <v>0.3</v>
          </cell>
          <cell r="J437">
            <v>0.6</v>
          </cell>
          <cell r="K437">
            <v>0.89999999999999991</v>
          </cell>
          <cell r="L437">
            <v>0</v>
          </cell>
          <cell r="M437">
            <v>0</v>
          </cell>
          <cell r="N437">
            <v>0</v>
          </cell>
          <cell r="O437">
            <v>0</v>
          </cell>
          <cell r="P437">
            <v>2</v>
          </cell>
        </row>
        <row r="438">
          <cell r="B438" t="str">
            <v xml:space="preserve">XS </v>
          </cell>
          <cell r="C438">
            <v>3.5</v>
          </cell>
          <cell r="D438">
            <v>8.08</v>
          </cell>
          <cell r="E438">
            <v>1</v>
          </cell>
          <cell r="F438">
            <v>0</v>
          </cell>
          <cell r="G438">
            <v>0</v>
          </cell>
          <cell r="H438">
            <v>0</v>
          </cell>
          <cell r="I438">
            <v>0.35</v>
          </cell>
          <cell r="J438">
            <v>0.85</v>
          </cell>
          <cell r="K438">
            <v>1.2</v>
          </cell>
          <cell r="L438">
            <v>0</v>
          </cell>
          <cell r="M438">
            <v>0</v>
          </cell>
          <cell r="N438">
            <v>0</v>
          </cell>
          <cell r="O438">
            <v>0</v>
          </cell>
          <cell r="P438">
            <v>3</v>
          </cell>
        </row>
        <row r="439">
          <cell r="B439" t="str">
            <v xml:space="preserve">XS </v>
          </cell>
          <cell r="C439">
            <v>4</v>
          </cell>
          <cell r="D439">
            <v>8.56</v>
          </cell>
          <cell r="E439">
            <v>1</v>
          </cell>
          <cell r="F439">
            <v>0</v>
          </cell>
          <cell r="G439">
            <v>0</v>
          </cell>
          <cell r="H439">
            <v>0</v>
          </cell>
          <cell r="I439">
            <v>0.41</v>
          </cell>
          <cell r="J439">
            <v>0.93</v>
          </cell>
          <cell r="K439">
            <v>1.34</v>
          </cell>
          <cell r="L439">
            <v>0</v>
          </cell>
          <cell r="M439">
            <v>0</v>
          </cell>
          <cell r="N439">
            <v>0</v>
          </cell>
          <cell r="O439">
            <v>0</v>
          </cell>
          <cell r="P439">
            <v>3</v>
          </cell>
        </row>
        <row r="440">
          <cell r="B440" t="str">
            <v xml:space="preserve">XS </v>
          </cell>
          <cell r="C440">
            <v>5</v>
          </cell>
          <cell r="D440">
            <v>9.5299999999999994</v>
          </cell>
          <cell r="E440">
            <v>1</v>
          </cell>
          <cell r="F440">
            <v>1</v>
          </cell>
          <cell r="G440">
            <v>1</v>
          </cell>
          <cell r="H440">
            <v>1</v>
          </cell>
          <cell r="I440">
            <v>0.51</v>
          </cell>
          <cell r="J440">
            <v>1.59</v>
          </cell>
          <cell r="K440">
            <v>2.1</v>
          </cell>
          <cell r="L440">
            <v>4</v>
          </cell>
          <cell r="M440">
            <v>4</v>
          </cell>
          <cell r="N440">
            <v>9.3367866609207473E-312</v>
          </cell>
          <cell r="O440" t="str">
            <v xml:space="preserve">XS </v>
          </cell>
          <cell r="P440">
            <v>4</v>
          </cell>
          <cell r="Q440">
            <v>4</v>
          </cell>
          <cell r="R440">
            <v>9.3155667030110946E-312</v>
          </cell>
        </row>
        <row r="441">
          <cell r="B441" t="str">
            <v xml:space="preserve">XS </v>
          </cell>
          <cell r="C441">
            <v>6</v>
          </cell>
          <cell r="D441">
            <v>10.97</v>
          </cell>
          <cell r="E441">
            <v>1.25</v>
          </cell>
          <cell r="F441">
            <v>0</v>
          </cell>
          <cell r="G441">
            <v>0</v>
          </cell>
          <cell r="H441">
            <v>0</v>
          </cell>
          <cell r="I441">
            <v>0.61</v>
          </cell>
          <cell r="J441">
            <v>2.69</v>
          </cell>
          <cell r="K441">
            <v>3.3</v>
          </cell>
          <cell r="L441">
            <v>0</v>
          </cell>
          <cell r="M441">
            <v>0</v>
          </cell>
          <cell r="N441">
            <v>0</v>
          </cell>
          <cell r="O441">
            <v>0</v>
          </cell>
          <cell r="P441">
            <v>4</v>
          </cell>
        </row>
        <row r="442">
          <cell r="B442" t="str">
            <v xml:space="preserve">XS </v>
          </cell>
          <cell r="C442">
            <v>8</v>
          </cell>
          <cell r="D442">
            <v>12.7</v>
          </cell>
          <cell r="E442">
            <v>1.25</v>
          </cell>
          <cell r="F442">
            <v>0</v>
          </cell>
          <cell r="G442">
            <v>0</v>
          </cell>
          <cell r="H442">
            <v>0</v>
          </cell>
          <cell r="I442">
            <v>0.81</v>
          </cell>
          <cell r="J442">
            <v>4.58</v>
          </cell>
          <cell r="K442">
            <v>5.3900000000000006</v>
          </cell>
          <cell r="L442">
            <v>0</v>
          </cell>
          <cell r="M442">
            <v>0</v>
          </cell>
          <cell r="N442">
            <v>0</v>
          </cell>
          <cell r="O442">
            <v>0</v>
          </cell>
          <cell r="P442">
            <v>4</v>
          </cell>
        </row>
        <row r="443">
          <cell r="B443" t="str">
            <v xml:space="preserve">XS </v>
          </cell>
          <cell r="C443">
            <v>10</v>
          </cell>
          <cell r="D443">
            <v>12.7</v>
          </cell>
          <cell r="E443">
            <v>1.25</v>
          </cell>
          <cell r="F443">
            <v>0</v>
          </cell>
          <cell r="G443">
            <v>0</v>
          </cell>
          <cell r="H443">
            <v>0</v>
          </cell>
          <cell r="I443">
            <v>1.01</v>
          </cell>
          <cell r="J443">
            <v>5.74</v>
          </cell>
          <cell r="K443">
            <v>6.75</v>
          </cell>
          <cell r="L443">
            <v>0</v>
          </cell>
          <cell r="M443">
            <v>0</v>
          </cell>
          <cell r="N443">
            <v>0</v>
          </cell>
          <cell r="O443">
            <v>0</v>
          </cell>
          <cell r="P443">
            <v>4</v>
          </cell>
        </row>
        <row r="444">
          <cell r="B444" t="str">
            <v xml:space="preserve">XS </v>
          </cell>
          <cell r="C444">
            <v>12</v>
          </cell>
          <cell r="D444">
            <v>12.7</v>
          </cell>
          <cell r="E444">
            <v>1.25</v>
          </cell>
          <cell r="F444">
            <v>0</v>
          </cell>
          <cell r="G444">
            <v>0</v>
          </cell>
          <cell r="H444">
            <v>0</v>
          </cell>
          <cell r="I444">
            <v>1.22</v>
          </cell>
          <cell r="J444">
            <v>6.73</v>
          </cell>
          <cell r="K444">
            <v>7.95</v>
          </cell>
          <cell r="L444">
            <v>0</v>
          </cell>
          <cell r="M444">
            <v>0</v>
          </cell>
          <cell r="N444">
            <v>0</v>
          </cell>
          <cell r="O444">
            <v>0</v>
          </cell>
          <cell r="P444">
            <v>6</v>
          </cell>
        </row>
        <row r="445">
          <cell r="B445" t="str">
            <v xml:space="preserve">XS </v>
          </cell>
          <cell r="C445">
            <v>14</v>
          </cell>
          <cell r="D445">
            <v>12.7</v>
          </cell>
          <cell r="E445">
            <v>1.25</v>
          </cell>
          <cell r="F445">
            <v>0</v>
          </cell>
          <cell r="G445">
            <v>0</v>
          </cell>
          <cell r="H445">
            <v>0</v>
          </cell>
          <cell r="I445">
            <v>1.42</v>
          </cell>
          <cell r="J445">
            <v>7.28</v>
          </cell>
          <cell r="K445">
            <v>8.6999999999999993</v>
          </cell>
          <cell r="L445">
            <v>0</v>
          </cell>
          <cell r="M445">
            <v>0</v>
          </cell>
          <cell r="N445">
            <v>0</v>
          </cell>
          <cell r="O445">
            <v>0</v>
          </cell>
          <cell r="P445">
            <v>6</v>
          </cell>
        </row>
        <row r="446">
          <cell r="B446" t="str">
            <v xml:space="preserve">XS </v>
          </cell>
          <cell r="C446">
            <v>16</v>
          </cell>
          <cell r="D446">
            <v>12.7</v>
          </cell>
          <cell r="E446">
            <v>1.25</v>
          </cell>
          <cell r="F446">
            <v>0</v>
          </cell>
          <cell r="G446">
            <v>0</v>
          </cell>
          <cell r="H446">
            <v>0</v>
          </cell>
          <cell r="I446">
            <v>1.62</v>
          </cell>
          <cell r="J446">
            <v>8.42</v>
          </cell>
          <cell r="K446">
            <v>10.039999999999999</v>
          </cell>
          <cell r="L446">
            <v>0</v>
          </cell>
          <cell r="M446">
            <v>0</v>
          </cell>
          <cell r="N446">
            <v>0</v>
          </cell>
          <cell r="O446">
            <v>0</v>
          </cell>
          <cell r="P446">
            <v>6</v>
          </cell>
        </row>
        <row r="447">
          <cell r="B447" t="str">
            <v xml:space="preserve">XS </v>
          </cell>
          <cell r="C447">
            <v>18</v>
          </cell>
          <cell r="D447">
            <v>12.7</v>
          </cell>
          <cell r="E447">
            <v>1.25</v>
          </cell>
          <cell r="F447">
            <v>0</v>
          </cell>
          <cell r="G447">
            <v>0</v>
          </cell>
          <cell r="H447">
            <v>0</v>
          </cell>
          <cell r="I447">
            <v>1.82</v>
          </cell>
          <cell r="J447">
            <v>9.42</v>
          </cell>
          <cell r="K447">
            <v>11.24</v>
          </cell>
          <cell r="L447">
            <v>0</v>
          </cell>
          <cell r="M447">
            <v>0</v>
          </cell>
          <cell r="N447">
            <v>0</v>
          </cell>
          <cell r="O447">
            <v>0</v>
          </cell>
          <cell r="P447">
            <v>6</v>
          </cell>
        </row>
        <row r="448">
          <cell r="B448" t="str">
            <v xml:space="preserve">XS </v>
          </cell>
          <cell r="C448">
            <v>20</v>
          </cell>
          <cell r="D448">
            <v>12.7</v>
          </cell>
          <cell r="E448">
            <v>1.25</v>
          </cell>
          <cell r="F448">
            <v>0</v>
          </cell>
          <cell r="G448">
            <v>0</v>
          </cell>
          <cell r="H448">
            <v>0</v>
          </cell>
          <cell r="I448">
            <v>2.0299999999999998</v>
          </cell>
          <cell r="J448">
            <v>10.42</v>
          </cell>
          <cell r="K448">
            <v>12.45</v>
          </cell>
          <cell r="L448">
            <v>0</v>
          </cell>
          <cell r="M448">
            <v>0</v>
          </cell>
          <cell r="N448">
            <v>0</v>
          </cell>
          <cell r="O448">
            <v>0</v>
          </cell>
          <cell r="P448">
            <v>7</v>
          </cell>
        </row>
        <row r="449">
          <cell r="B449" t="str">
            <v xml:space="preserve">XS </v>
          </cell>
          <cell r="C449">
            <v>22</v>
          </cell>
          <cell r="D449">
            <v>12.7</v>
          </cell>
          <cell r="E449">
            <v>1.25</v>
          </cell>
          <cell r="F449">
            <v>0</v>
          </cell>
          <cell r="G449">
            <v>0</v>
          </cell>
          <cell r="H449">
            <v>0</v>
          </cell>
          <cell r="I449">
            <v>2.23</v>
          </cell>
          <cell r="J449">
            <v>11.72</v>
          </cell>
          <cell r="K449">
            <v>13.950000000000001</v>
          </cell>
          <cell r="L449">
            <v>0</v>
          </cell>
          <cell r="M449">
            <v>0</v>
          </cell>
          <cell r="N449">
            <v>0</v>
          </cell>
          <cell r="O449">
            <v>0</v>
          </cell>
          <cell r="P449">
            <v>8</v>
          </cell>
        </row>
        <row r="450">
          <cell r="B450" t="str">
            <v xml:space="preserve">XS </v>
          </cell>
          <cell r="C450">
            <v>24</v>
          </cell>
          <cell r="D450">
            <v>12.7</v>
          </cell>
          <cell r="E450">
            <v>1.25</v>
          </cell>
          <cell r="F450">
            <v>0</v>
          </cell>
          <cell r="G450">
            <v>0</v>
          </cell>
          <cell r="H450">
            <v>0</v>
          </cell>
          <cell r="I450">
            <v>2.4300000000000002</v>
          </cell>
          <cell r="J450">
            <v>12.57</v>
          </cell>
          <cell r="K450">
            <v>15</v>
          </cell>
          <cell r="L450">
            <v>0</v>
          </cell>
          <cell r="M450">
            <v>0</v>
          </cell>
          <cell r="N450">
            <v>0</v>
          </cell>
          <cell r="O450">
            <v>0</v>
          </cell>
          <cell r="P450">
            <v>8</v>
          </cell>
        </row>
        <row r="451">
          <cell r="B451" t="str">
            <v xml:space="preserve">XS </v>
          </cell>
          <cell r="C451">
            <v>26</v>
          </cell>
          <cell r="D451">
            <v>12.7</v>
          </cell>
          <cell r="E451">
            <v>1.25</v>
          </cell>
          <cell r="F451">
            <v>1.25</v>
          </cell>
          <cell r="G451">
            <v>1.25</v>
          </cell>
          <cell r="H451">
            <v>1.25</v>
          </cell>
          <cell r="I451">
            <v>2.64</v>
          </cell>
          <cell r="J451">
            <v>13.86</v>
          </cell>
          <cell r="K451">
            <v>16.5</v>
          </cell>
          <cell r="L451">
            <v>9</v>
          </cell>
          <cell r="M451">
            <v>9</v>
          </cell>
          <cell r="N451">
            <v>9.5702061979269273E-312</v>
          </cell>
          <cell r="O451" t="str">
            <v xml:space="preserve">XS </v>
          </cell>
          <cell r="P451">
            <v>9</v>
          </cell>
          <cell r="Q451">
            <v>9</v>
          </cell>
          <cell r="R451">
            <v>9.5489862400172746E-312</v>
          </cell>
        </row>
        <row r="452">
          <cell r="B452" t="str">
            <v xml:space="preserve">XS </v>
          </cell>
          <cell r="C452">
            <v>28</v>
          </cell>
          <cell r="D452">
            <v>12.7</v>
          </cell>
          <cell r="E452">
            <v>1.25</v>
          </cell>
          <cell r="F452">
            <v>0</v>
          </cell>
          <cell r="G452">
            <v>0</v>
          </cell>
          <cell r="H452">
            <v>0</v>
          </cell>
          <cell r="I452">
            <v>2.84</v>
          </cell>
          <cell r="J452">
            <v>15.16</v>
          </cell>
          <cell r="K452">
            <v>18</v>
          </cell>
          <cell r="L452">
            <v>0</v>
          </cell>
          <cell r="M452">
            <v>0</v>
          </cell>
          <cell r="N452">
            <v>0</v>
          </cell>
          <cell r="O452">
            <v>0</v>
          </cell>
          <cell r="P452">
            <v>9</v>
          </cell>
        </row>
        <row r="453">
          <cell r="B453" t="str">
            <v xml:space="preserve">XS </v>
          </cell>
          <cell r="C453">
            <v>30</v>
          </cell>
          <cell r="D453">
            <v>12.7</v>
          </cell>
          <cell r="E453">
            <v>1.25</v>
          </cell>
          <cell r="F453">
            <v>0</v>
          </cell>
          <cell r="G453">
            <v>0</v>
          </cell>
          <cell r="H453">
            <v>0</v>
          </cell>
          <cell r="I453">
            <v>3.04</v>
          </cell>
          <cell r="J453">
            <v>16.45</v>
          </cell>
          <cell r="K453">
            <v>19.489999999999998</v>
          </cell>
          <cell r="L453">
            <v>0</v>
          </cell>
          <cell r="M453">
            <v>0</v>
          </cell>
          <cell r="N453">
            <v>0</v>
          </cell>
          <cell r="O453">
            <v>0</v>
          </cell>
          <cell r="P453">
            <v>10</v>
          </cell>
        </row>
        <row r="454">
          <cell r="B454" t="str">
            <v xml:space="preserve">XS </v>
          </cell>
          <cell r="C454">
            <v>32</v>
          </cell>
          <cell r="D454">
            <v>12.7</v>
          </cell>
          <cell r="E454">
            <v>1.25</v>
          </cell>
          <cell r="F454">
            <v>0</v>
          </cell>
          <cell r="G454">
            <v>0</v>
          </cell>
          <cell r="H454">
            <v>0</v>
          </cell>
          <cell r="I454">
            <v>3.24</v>
          </cell>
          <cell r="J454">
            <v>17.75</v>
          </cell>
          <cell r="K454">
            <v>20.990000000000002</v>
          </cell>
          <cell r="L454">
            <v>0</v>
          </cell>
          <cell r="M454">
            <v>0</v>
          </cell>
          <cell r="N454">
            <v>0</v>
          </cell>
          <cell r="O454">
            <v>0</v>
          </cell>
          <cell r="P454">
            <v>11</v>
          </cell>
        </row>
        <row r="455">
          <cell r="B455" t="str">
            <v xml:space="preserve">XS </v>
          </cell>
          <cell r="C455">
            <v>34</v>
          </cell>
          <cell r="D455">
            <v>12.7</v>
          </cell>
          <cell r="E455">
            <v>1.25</v>
          </cell>
          <cell r="F455">
            <v>0</v>
          </cell>
          <cell r="G455">
            <v>0</v>
          </cell>
          <cell r="H455">
            <v>0</v>
          </cell>
          <cell r="I455">
            <v>3.45</v>
          </cell>
          <cell r="J455">
            <v>18.54</v>
          </cell>
          <cell r="K455">
            <v>21.99</v>
          </cell>
          <cell r="L455">
            <v>0</v>
          </cell>
          <cell r="M455">
            <v>0</v>
          </cell>
          <cell r="N455">
            <v>0</v>
          </cell>
          <cell r="O455">
            <v>0</v>
          </cell>
          <cell r="P455">
            <v>12</v>
          </cell>
        </row>
        <row r="456">
          <cell r="B456" t="str">
            <v xml:space="preserve">XS </v>
          </cell>
          <cell r="C456">
            <v>36</v>
          </cell>
          <cell r="D456">
            <v>12.7</v>
          </cell>
          <cell r="E456">
            <v>1.25</v>
          </cell>
          <cell r="F456">
            <v>0</v>
          </cell>
          <cell r="G456">
            <v>0</v>
          </cell>
          <cell r="H456">
            <v>0</v>
          </cell>
          <cell r="I456">
            <v>3.65</v>
          </cell>
          <cell r="J456">
            <v>18.84</v>
          </cell>
          <cell r="K456">
            <v>22.49</v>
          </cell>
          <cell r="L456">
            <v>0</v>
          </cell>
          <cell r="M456">
            <v>0</v>
          </cell>
          <cell r="N456">
            <v>0</v>
          </cell>
          <cell r="O456">
            <v>0</v>
          </cell>
          <cell r="P456">
            <v>12</v>
          </cell>
        </row>
        <row r="457">
          <cell r="B457" t="str">
            <v xml:space="preserve">XS </v>
          </cell>
          <cell r="C457">
            <v>38</v>
          </cell>
          <cell r="D457">
            <v>12.7</v>
          </cell>
          <cell r="E457">
            <v>1.25</v>
          </cell>
          <cell r="F457">
            <v>0</v>
          </cell>
          <cell r="G457">
            <v>0</v>
          </cell>
          <cell r="H457">
            <v>0</v>
          </cell>
          <cell r="I457">
            <v>3.85</v>
          </cell>
          <cell r="J457">
            <v>19.89</v>
          </cell>
          <cell r="K457">
            <v>23.740000000000002</v>
          </cell>
          <cell r="L457">
            <v>0</v>
          </cell>
          <cell r="M457">
            <v>0</v>
          </cell>
          <cell r="N457">
            <v>0</v>
          </cell>
          <cell r="O457">
            <v>0</v>
          </cell>
          <cell r="P457">
            <v>13</v>
          </cell>
        </row>
        <row r="458">
          <cell r="B458" t="str">
            <v xml:space="preserve">XS </v>
          </cell>
          <cell r="C458">
            <v>40</v>
          </cell>
          <cell r="D458">
            <v>12.7</v>
          </cell>
          <cell r="E458">
            <v>1.25</v>
          </cell>
          <cell r="F458">
            <v>0</v>
          </cell>
          <cell r="G458">
            <v>0</v>
          </cell>
          <cell r="H458">
            <v>0</v>
          </cell>
          <cell r="I458">
            <v>4.0599999999999996</v>
          </cell>
          <cell r="J458">
            <v>21.66</v>
          </cell>
          <cell r="K458">
            <v>25.72</v>
          </cell>
          <cell r="L458">
            <v>0</v>
          </cell>
          <cell r="M458">
            <v>0</v>
          </cell>
          <cell r="N458">
            <v>0</v>
          </cell>
          <cell r="O458">
            <v>0</v>
          </cell>
          <cell r="P458">
            <v>14</v>
          </cell>
        </row>
        <row r="459">
          <cell r="B459" t="str">
            <v xml:space="preserve">XS </v>
          </cell>
          <cell r="C459">
            <v>42</v>
          </cell>
          <cell r="D459">
            <v>12.7</v>
          </cell>
          <cell r="E459">
            <v>1.25</v>
          </cell>
          <cell r="F459">
            <v>0</v>
          </cell>
          <cell r="G459">
            <v>0</v>
          </cell>
          <cell r="H459">
            <v>0</v>
          </cell>
          <cell r="I459">
            <v>4.26</v>
          </cell>
          <cell r="J459">
            <v>22.74</v>
          </cell>
          <cell r="K459">
            <v>27</v>
          </cell>
          <cell r="L459">
            <v>0</v>
          </cell>
          <cell r="M459">
            <v>0</v>
          </cell>
          <cell r="N459">
            <v>0</v>
          </cell>
          <cell r="O459">
            <v>0</v>
          </cell>
          <cell r="P459">
            <v>14</v>
          </cell>
        </row>
        <row r="460">
          <cell r="B460" t="str">
            <v xml:space="preserve">XS </v>
          </cell>
          <cell r="C460">
            <v>44</v>
          </cell>
          <cell r="D460">
            <v>12.7</v>
          </cell>
          <cell r="E460">
            <v>1.25</v>
          </cell>
          <cell r="F460">
            <v>0</v>
          </cell>
          <cell r="G460">
            <v>0</v>
          </cell>
          <cell r="H460">
            <v>0</v>
          </cell>
          <cell r="I460">
            <v>4.47</v>
          </cell>
          <cell r="J460">
            <v>27.16</v>
          </cell>
          <cell r="K460">
            <v>31.63</v>
          </cell>
          <cell r="L460">
            <v>0</v>
          </cell>
          <cell r="M460">
            <v>0</v>
          </cell>
          <cell r="N460">
            <v>0</v>
          </cell>
          <cell r="O460">
            <v>0</v>
          </cell>
          <cell r="P460">
            <v>15</v>
          </cell>
        </row>
        <row r="461">
          <cell r="B461" t="str">
            <v xml:space="preserve">XS </v>
          </cell>
          <cell r="C461">
            <v>46</v>
          </cell>
          <cell r="D461">
            <v>12.7</v>
          </cell>
          <cell r="E461">
            <v>1.25</v>
          </cell>
          <cell r="F461">
            <v>0</v>
          </cell>
          <cell r="G461">
            <v>0</v>
          </cell>
          <cell r="H461">
            <v>0</v>
          </cell>
          <cell r="I461">
            <v>4.67</v>
          </cell>
          <cell r="J461">
            <v>28.4</v>
          </cell>
          <cell r="K461">
            <v>33.07</v>
          </cell>
          <cell r="L461">
            <v>0</v>
          </cell>
          <cell r="M461">
            <v>0</v>
          </cell>
          <cell r="N461">
            <v>0</v>
          </cell>
          <cell r="O461">
            <v>0</v>
          </cell>
          <cell r="P461">
            <v>16</v>
          </cell>
        </row>
        <row r="462">
          <cell r="B462" t="str">
            <v xml:space="preserve">XS </v>
          </cell>
          <cell r="C462">
            <v>48</v>
          </cell>
          <cell r="D462">
            <v>12.7</v>
          </cell>
          <cell r="E462">
            <v>1.25</v>
          </cell>
          <cell r="F462">
            <v>0</v>
          </cell>
          <cell r="G462">
            <v>0</v>
          </cell>
          <cell r="H462">
            <v>0</v>
          </cell>
          <cell r="I462">
            <v>4.87</v>
          </cell>
          <cell r="J462">
            <v>29.63</v>
          </cell>
          <cell r="K462">
            <v>34.5</v>
          </cell>
          <cell r="L462">
            <v>0</v>
          </cell>
          <cell r="M462">
            <v>0</v>
          </cell>
          <cell r="N462">
            <v>0</v>
          </cell>
          <cell r="O462">
            <v>0</v>
          </cell>
          <cell r="P462">
            <v>16</v>
          </cell>
        </row>
        <row r="463">
          <cell r="B463" t="str">
            <v>XXS</v>
          </cell>
          <cell r="C463">
            <v>0.5</v>
          </cell>
          <cell r="D463">
            <v>7.47</v>
          </cell>
          <cell r="E463">
            <v>1</v>
          </cell>
          <cell r="F463">
            <v>0</v>
          </cell>
          <cell r="G463">
            <v>0</v>
          </cell>
          <cell r="H463">
            <v>0</v>
          </cell>
          <cell r="I463">
            <v>7.0000000000000007E-2</v>
          </cell>
          <cell r="J463">
            <v>0.23</v>
          </cell>
          <cell r="K463">
            <v>0.30000000000000004</v>
          </cell>
          <cell r="L463">
            <v>0</v>
          </cell>
          <cell r="M463">
            <v>0</v>
          </cell>
          <cell r="N463">
            <v>0</v>
          </cell>
          <cell r="O463">
            <v>0</v>
          </cell>
          <cell r="P463">
            <v>2</v>
          </cell>
        </row>
        <row r="464">
          <cell r="B464" t="str">
            <v>XXS</v>
          </cell>
          <cell r="C464">
            <v>0.5</v>
          </cell>
          <cell r="D464">
            <v>7.47</v>
          </cell>
          <cell r="E464">
            <v>1</v>
          </cell>
          <cell r="F464">
            <v>0</v>
          </cell>
          <cell r="G464">
            <v>0</v>
          </cell>
          <cell r="H464">
            <v>0</v>
          </cell>
          <cell r="I464">
            <v>7.0000000000000007E-2</v>
          </cell>
          <cell r="J464">
            <v>0.23</v>
          </cell>
          <cell r="K464">
            <v>0.30000000000000004</v>
          </cell>
          <cell r="L464">
            <v>0</v>
          </cell>
          <cell r="M464">
            <v>0</v>
          </cell>
          <cell r="N464">
            <v>0</v>
          </cell>
          <cell r="O464">
            <v>0</v>
          </cell>
          <cell r="P464">
            <v>2</v>
          </cell>
        </row>
        <row r="465">
          <cell r="B465" t="str">
            <v>XXS</v>
          </cell>
          <cell r="C465">
            <v>0.5</v>
          </cell>
          <cell r="D465">
            <v>7.47</v>
          </cell>
          <cell r="E465">
            <v>1</v>
          </cell>
          <cell r="F465">
            <v>0</v>
          </cell>
          <cell r="G465">
            <v>0</v>
          </cell>
          <cell r="H465">
            <v>0</v>
          </cell>
          <cell r="I465">
            <v>7.0000000000000007E-2</v>
          </cell>
          <cell r="J465">
            <v>0.23</v>
          </cell>
          <cell r="K465">
            <v>0.30000000000000004</v>
          </cell>
          <cell r="L465">
            <v>0.29999995231628418</v>
          </cell>
          <cell r="M465">
            <v>0.29999995231628418</v>
          </cell>
          <cell r="N465">
            <v>0.29999995231628418</v>
          </cell>
          <cell r="O465">
            <v>0.29999995231628418</v>
          </cell>
          <cell r="P465">
            <v>2</v>
          </cell>
          <cell r="Q465">
            <v>2</v>
          </cell>
          <cell r="R465">
            <v>2</v>
          </cell>
        </row>
        <row r="466">
          <cell r="B466" t="str">
            <v>XXS</v>
          </cell>
          <cell r="C466">
            <v>0.75</v>
          </cell>
          <cell r="D466">
            <v>7.82</v>
          </cell>
          <cell r="E466">
            <v>1</v>
          </cell>
          <cell r="F466">
            <v>0</v>
          </cell>
          <cell r="G466">
            <v>0</v>
          </cell>
          <cell r="H466">
            <v>0</v>
          </cell>
          <cell r="I466">
            <v>0.08</v>
          </cell>
          <cell r="J466">
            <v>0.22</v>
          </cell>
          <cell r="K466">
            <v>0.3</v>
          </cell>
          <cell r="L466">
            <v>0</v>
          </cell>
          <cell r="M466">
            <v>0</v>
          </cell>
          <cell r="N466">
            <v>0</v>
          </cell>
          <cell r="O466">
            <v>0</v>
          </cell>
          <cell r="P466">
            <v>2</v>
          </cell>
        </row>
        <row r="467">
          <cell r="B467" t="str">
            <v>XXS</v>
          </cell>
          <cell r="C467">
            <v>0.75</v>
          </cell>
          <cell r="D467">
            <v>7.82</v>
          </cell>
          <cell r="E467">
            <v>1</v>
          </cell>
          <cell r="F467">
            <v>0</v>
          </cell>
          <cell r="G467">
            <v>0</v>
          </cell>
          <cell r="H467">
            <v>0</v>
          </cell>
          <cell r="I467">
            <v>0.08</v>
          </cell>
          <cell r="J467">
            <v>0.22</v>
          </cell>
          <cell r="K467">
            <v>0.3</v>
          </cell>
          <cell r="L467">
            <v>0</v>
          </cell>
          <cell r="M467">
            <v>0</v>
          </cell>
          <cell r="N467">
            <v>0</v>
          </cell>
          <cell r="O467">
            <v>0</v>
          </cell>
          <cell r="P467">
            <v>2</v>
          </cell>
        </row>
        <row r="468">
          <cell r="B468" t="str">
            <v>XXS</v>
          </cell>
          <cell r="C468">
            <v>0.75</v>
          </cell>
          <cell r="D468">
            <v>7.82</v>
          </cell>
          <cell r="E468">
            <v>1</v>
          </cell>
          <cell r="F468">
            <v>0</v>
          </cell>
          <cell r="G468">
            <v>0</v>
          </cell>
          <cell r="H468">
            <v>0</v>
          </cell>
          <cell r="I468">
            <v>0.08</v>
          </cell>
          <cell r="J468">
            <v>0.22</v>
          </cell>
          <cell r="K468">
            <v>0.3</v>
          </cell>
          <cell r="L468">
            <v>0</v>
          </cell>
          <cell r="M468">
            <v>0</v>
          </cell>
          <cell r="N468">
            <v>0</v>
          </cell>
          <cell r="O468">
            <v>0</v>
          </cell>
          <cell r="P468">
            <v>2</v>
          </cell>
        </row>
        <row r="469">
          <cell r="B469" t="str">
            <v>XXS</v>
          </cell>
          <cell r="C469">
            <v>1</v>
          </cell>
          <cell r="D469">
            <v>9.09</v>
          </cell>
          <cell r="E469">
            <v>1</v>
          </cell>
          <cell r="F469">
            <v>0</v>
          </cell>
          <cell r="G469">
            <v>0</v>
          </cell>
          <cell r="H469">
            <v>0</v>
          </cell>
          <cell r="I469">
            <v>0.1</v>
          </cell>
          <cell r="J469">
            <v>0.5</v>
          </cell>
          <cell r="K469">
            <v>0.6</v>
          </cell>
          <cell r="L469">
            <v>0</v>
          </cell>
          <cell r="M469">
            <v>0</v>
          </cell>
          <cell r="N469">
            <v>0</v>
          </cell>
          <cell r="O469">
            <v>0</v>
          </cell>
          <cell r="P469">
            <v>2</v>
          </cell>
        </row>
        <row r="470">
          <cell r="B470" t="str">
            <v>XXS</v>
          </cell>
          <cell r="C470">
            <v>1</v>
          </cell>
          <cell r="D470">
            <v>9.09</v>
          </cell>
          <cell r="E470">
            <v>1</v>
          </cell>
          <cell r="F470">
            <v>0</v>
          </cell>
          <cell r="G470">
            <v>0</v>
          </cell>
          <cell r="H470">
            <v>0</v>
          </cell>
          <cell r="I470">
            <v>0.1</v>
          </cell>
          <cell r="J470">
            <v>0.5</v>
          </cell>
          <cell r="K470">
            <v>0.6</v>
          </cell>
          <cell r="L470">
            <v>0</v>
          </cell>
          <cell r="M470">
            <v>0</v>
          </cell>
          <cell r="N470">
            <v>0</v>
          </cell>
          <cell r="O470">
            <v>0</v>
          </cell>
          <cell r="P470">
            <v>2</v>
          </cell>
        </row>
        <row r="471">
          <cell r="B471" t="str">
            <v>XXS</v>
          </cell>
          <cell r="C471">
            <v>1</v>
          </cell>
          <cell r="D471">
            <v>9.09</v>
          </cell>
          <cell r="E471">
            <v>1</v>
          </cell>
          <cell r="F471">
            <v>0</v>
          </cell>
          <cell r="G471">
            <v>0</v>
          </cell>
          <cell r="H471">
            <v>0</v>
          </cell>
          <cell r="I471">
            <v>0.1</v>
          </cell>
          <cell r="J471">
            <v>0.5</v>
          </cell>
          <cell r="K471">
            <v>0.6</v>
          </cell>
          <cell r="L471">
            <v>0</v>
          </cell>
          <cell r="M471">
            <v>0</v>
          </cell>
          <cell r="N471">
            <v>0</v>
          </cell>
          <cell r="O471">
            <v>0</v>
          </cell>
          <cell r="P471">
            <v>2</v>
          </cell>
        </row>
        <row r="472">
          <cell r="B472" t="str">
            <v>XXS</v>
          </cell>
          <cell r="C472">
            <v>1.25</v>
          </cell>
          <cell r="D472">
            <v>9.6999999999999993</v>
          </cell>
          <cell r="E472">
            <v>1</v>
          </cell>
          <cell r="F472">
            <v>0</v>
          </cell>
          <cell r="G472">
            <v>0</v>
          </cell>
          <cell r="H472">
            <v>0</v>
          </cell>
          <cell r="I472">
            <v>0.13</v>
          </cell>
          <cell r="J472">
            <v>0.67</v>
          </cell>
          <cell r="K472">
            <v>0.8</v>
          </cell>
          <cell r="L472">
            <v>0</v>
          </cell>
          <cell r="M472">
            <v>0</v>
          </cell>
          <cell r="N472">
            <v>0</v>
          </cell>
          <cell r="O472">
            <v>0</v>
          </cell>
          <cell r="P472">
            <v>2</v>
          </cell>
        </row>
        <row r="473">
          <cell r="B473" t="str">
            <v>XXS</v>
          </cell>
          <cell r="C473">
            <v>1.25</v>
          </cell>
          <cell r="D473">
            <v>9.6999999999999993</v>
          </cell>
          <cell r="E473">
            <v>1</v>
          </cell>
          <cell r="F473">
            <v>0</v>
          </cell>
          <cell r="G473">
            <v>0</v>
          </cell>
          <cell r="H473">
            <v>0</v>
          </cell>
          <cell r="I473">
            <v>0.13</v>
          </cell>
          <cell r="J473">
            <v>0.67</v>
          </cell>
          <cell r="K473">
            <v>0.8</v>
          </cell>
          <cell r="L473">
            <v>0</v>
          </cell>
          <cell r="M473">
            <v>0</v>
          </cell>
          <cell r="N473">
            <v>0</v>
          </cell>
          <cell r="O473">
            <v>0</v>
          </cell>
          <cell r="P473">
            <v>2</v>
          </cell>
        </row>
        <row r="474">
          <cell r="B474" t="str">
            <v>XXS</v>
          </cell>
          <cell r="C474">
            <v>1.25</v>
          </cell>
          <cell r="D474">
            <v>9.6999999999999993</v>
          </cell>
          <cell r="E474">
            <v>1</v>
          </cell>
          <cell r="F474">
            <v>0</v>
          </cell>
          <cell r="G474">
            <v>0</v>
          </cell>
          <cell r="H474">
            <v>0</v>
          </cell>
          <cell r="I474">
            <v>0.13</v>
          </cell>
          <cell r="J474">
            <v>0.67</v>
          </cell>
          <cell r="K474">
            <v>0.8</v>
          </cell>
          <cell r="L474">
            <v>0</v>
          </cell>
          <cell r="M474">
            <v>0</v>
          </cell>
          <cell r="N474">
            <v>0</v>
          </cell>
          <cell r="O474">
            <v>0</v>
          </cell>
          <cell r="P474">
            <v>2</v>
          </cell>
        </row>
        <row r="475">
          <cell r="B475" t="str">
            <v>XXS</v>
          </cell>
          <cell r="C475">
            <v>1.5</v>
          </cell>
          <cell r="D475">
            <v>10.15</v>
          </cell>
          <cell r="E475">
            <v>1.25</v>
          </cell>
          <cell r="F475">
            <v>0</v>
          </cell>
          <cell r="G475">
            <v>0</v>
          </cell>
          <cell r="H475">
            <v>0</v>
          </cell>
          <cell r="I475">
            <v>0.15</v>
          </cell>
          <cell r="J475">
            <v>0.75</v>
          </cell>
          <cell r="K475">
            <v>0.9</v>
          </cell>
          <cell r="L475">
            <v>0</v>
          </cell>
          <cell r="M475">
            <v>0</v>
          </cell>
          <cell r="N475">
            <v>0</v>
          </cell>
          <cell r="O475">
            <v>0</v>
          </cell>
          <cell r="P475">
            <v>2</v>
          </cell>
        </row>
        <row r="476">
          <cell r="B476" t="str">
            <v>XXS</v>
          </cell>
          <cell r="C476">
            <v>1.5</v>
          </cell>
          <cell r="D476">
            <v>10.15</v>
          </cell>
          <cell r="E476">
            <v>1.25</v>
          </cell>
          <cell r="F476">
            <v>0</v>
          </cell>
          <cell r="G476">
            <v>0</v>
          </cell>
          <cell r="H476">
            <v>0</v>
          </cell>
          <cell r="I476">
            <v>0.15</v>
          </cell>
          <cell r="J476">
            <v>0.75</v>
          </cell>
          <cell r="K476">
            <v>0.9</v>
          </cell>
          <cell r="L476">
            <v>0</v>
          </cell>
          <cell r="M476">
            <v>0</v>
          </cell>
          <cell r="N476">
            <v>0</v>
          </cell>
          <cell r="O476">
            <v>0</v>
          </cell>
          <cell r="P476">
            <v>2</v>
          </cell>
        </row>
        <row r="477">
          <cell r="B477" t="str">
            <v>XXS</v>
          </cell>
          <cell r="C477">
            <v>1.5</v>
          </cell>
          <cell r="D477">
            <v>10.15</v>
          </cell>
          <cell r="E477">
            <v>1.25</v>
          </cell>
          <cell r="F477">
            <v>0</v>
          </cell>
          <cell r="G477">
            <v>0</v>
          </cell>
          <cell r="H477">
            <v>0</v>
          </cell>
          <cell r="I477">
            <v>0.15</v>
          </cell>
          <cell r="J477">
            <v>0.75</v>
          </cell>
          <cell r="K477">
            <v>0.9</v>
          </cell>
          <cell r="L477">
            <v>0</v>
          </cell>
          <cell r="M477">
            <v>0</v>
          </cell>
          <cell r="N477">
            <v>0</v>
          </cell>
          <cell r="O477">
            <v>0</v>
          </cell>
          <cell r="P477">
            <v>2</v>
          </cell>
        </row>
        <row r="478">
          <cell r="B478" t="str">
            <v>XXS</v>
          </cell>
          <cell r="C478">
            <v>2</v>
          </cell>
          <cell r="D478">
            <v>11.07</v>
          </cell>
          <cell r="E478">
            <v>1.25</v>
          </cell>
          <cell r="F478">
            <v>1.25</v>
          </cell>
          <cell r="G478">
            <v>0</v>
          </cell>
          <cell r="H478">
            <v>0</v>
          </cell>
          <cell r="I478">
            <v>0.2</v>
          </cell>
          <cell r="J478">
            <v>1</v>
          </cell>
          <cell r="K478">
            <v>1.2</v>
          </cell>
          <cell r="L478">
            <v>0</v>
          </cell>
          <cell r="M478">
            <v>0</v>
          </cell>
          <cell r="N478">
            <v>0</v>
          </cell>
          <cell r="O478">
            <v>0</v>
          </cell>
          <cell r="P478">
            <v>4</v>
          </cell>
        </row>
        <row r="479">
          <cell r="B479" t="str">
            <v>XXS</v>
          </cell>
          <cell r="C479">
            <v>2</v>
          </cell>
          <cell r="D479">
            <v>11.07</v>
          </cell>
          <cell r="E479">
            <v>1.25</v>
          </cell>
          <cell r="F479">
            <v>0</v>
          </cell>
          <cell r="G479">
            <v>0</v>
          </cell>
          <cell r="H479">
            <v>0</v>
          </cell>
          <cell r="I479">
            <v>0.2</v>
          </cell>
          <cell r="J479">
            <v>1</v>
          </cell>
          <cell r="K479">
            <v>1.2</v>
          </cell>
          <cell r="L479">
            <v>0</v>
          </cell>
          <cell r="M479">
            <v>0</v>
          </cell>
          <cell r="N479">
            <v>0</v>
          </cell>
          <cell r="O479">
            <v>0</v>
          </cell>
          <cell r="P479">
            <v>4</v>
          </cell>
        </row>
        <row r="480">
          <cell r="B480" t="str">
            <v>XXS</v>
          </cell>
          <cell r="C480">
            <v>2</v>
          </cell>
          <cell r="D480">
            <v>11.07</v>
          </cell>
          <cell r="E480">
            <v>1.25</v>
          </cell>
          <cell r="F480">
            <v>0</v>
          </cell>
          <cell r="G480">
            <v>0</v>
          </cell>
          <cell r="H480">
            <v>0</v>
          </cell>
          <cell r="I480">
            <v>0.2</v>
          </cell>
          <cell r="J480">
            <v>1</v>
          </cell>
          <cell r="K480">
            <v>1.2</v>
          </cell>
          <cell r="L480">
            <v>0</v>
          </cell>
          <cell r="M480">
            <v>0</v>
          </cell>
          <cell r="N480">
            <v>0</v>
          </cell>
          <cell r="O480">
            <v>0</v>
          </cell>
          <cell r="P480">
            <v>4</v>
          </cell>
        </row>
        <row r="481">
          <cell r="B481" t="str">
            <v>XXS</v>
          </cell>
          <cell r="C481">
            <v>2.5</v>
          </cell>
          <cell r="D481">
            <v>14.02</v>
          </cell>
          <cell r="E481">
            <v>1.25</v>
          </cell>
          <cell r="F481">
            <v>0</v>
          </cell>
          <cell r="G481">
            <v>0</v>
          </cell>
          <cell r="H481">
            <v>0</v>
          </cell>
          <cell r="I481">
            <v>0.25</v>
          </cell>
          <cell r="J481">
            <v>1.7</v>
          </cell>
          <cell r="K481">
            <v>1.95</v>
          </cell>
          <cell r="L481">
            <v>0</v>
          </cell>
          <cell r="M481">
            <v>0</v>
          </cell>
          <cell r="N481">
            <v>0</v>
          </cell>
          <cell r="O481">
            <v>0</v>
          </cell>
          <cell r="P481">
            <v>4</v>
          </cell>
        </row>
        <row r="482">
          <cell r="B482" t="str">
            <v>XXS</v>
          </cell>
          <cell r="C482">
            <v>3</v>
          </cell>
          <cell r="D482">
            <v>15.24</v>
          </cell>
          <cell r="E482">
            <v>1.5</v>
          </cell>
          <cell r="F482">
            <v>0</v>
          </cell>
          <cell r="G482">
            <v>0</v>
          </cell>
          <cell r="H482">
            <v>0</v>
          </cell>
          <cell r="I482">
            <v>0.3</v>
          </cell>
          <cell r="J482">
            <v>2.39</v>
          </cell>
          <cell r="K482">
            <v>2.69</v>
          </cell>
          <cell r="L482">
            <v>0</v>
          </cell>
          <cell r="M482">
            <v>0</v>
          </cell>
          <cell r="N482">
            <v>0</v>
          </cell>
          <cell r="O482">
            <v>0</v>
          </cell>
          <cell r="P482">
            <v>4</v>
          </cell>
        </row>
        <row r="483">
          <cell r="B483" t="str">
            <v>XXS</v>
          </cell>
          <cell r="C483">
            <v>4</v>
          </cell>
          <cell r="D483">
            <v>17.12</v>
          </cell>
          <cell r="E483">
            <v>1.5</v>
          </cell>
          <cell r="F483">
            <v>0</v>
          </cell>
          <cell r="G483">
            <v>0</v>
          </cell>
          <cell r="H483">
            <v>0</v>
          </cell>
          <cell r="I483">
            <v>0.41</v>
          </cell>
          <cell r="J483">
            <v>4.09</v>
          </cell>
          <cell r="K483">
            <v>4.5</v>
          </cell>
          <cell r="L483">
            <v>0</v>
          </cell>
          <cell r="M483">
            <v>0</v>
          </cell>
          <cell r="N483">
            <v>0</v>
          </cell>
          <cell r="O483">
            <v>0</v>
          </cell>
          <cell r="P483">
            <v>4</v>
          </cell>
        </row>
        <row r="484">
          <cell r="B484" t="str">
            <v>XXS</v>
          </cell>
          <cell r="C484">
            <v>5</v>
          </cell>
          <cell r="D484">
            <v>19.05</v>
          </cell>
          <cell r="E484">
            <v>2</v>
          </cell>
          <cell r="F484">
            <v>0</v>
          </cell>
          <cell r="G484">
            <v>0</v>
          </cell>
          <cell r="H484">
            <v>0</v>
          </cell>
          <cell r="I484">
            <v>0.51</v>
          </cell>
          <cell r="J484">
            <v>4.43</v>
          </cell>
          <cell r="K484">
            <v>4.9399999999999995</v>
          </cell>
          <cell r="L484">
            <v>0</v>
          </cell>
          <cell r="M484">
            <v>0</v>
          </cell>
          <cell r="N484">
            <v>0</v>
          </cell>
          <cell r="O484">
            <v>0</v>
          </cell>
          <cell r="P484">
            <v>4</v>
          </cell>
        </row>
        <row r="485">
          <cell r="B485" t="str">
            <v>XXS</v>
          </cell>
          <cell r="C485">
            <v>6</v>
          </cell>
          <cell r="D485">
            <v>21.95</v>
          </cell>
          <cell r="E485">
            <v>2</v>
          </cell>
          <cell r="F485">
            <v>0</v>
          </cell>
          <cell r="G485">
            <v>0</v>
          </cell>
          <cell r="H485">
            <v>0</v>
          </cell>
          <cell r="I485">
            <v>0.61</v>
          </cell>
          <cell r="J485">
            <v>8.09</v>
          </cell>
          <cell r="K485">
            <v>8.6999999999999993</v>
          </cell>
          <cell r="L485">
            <v>0</v>
          </cell>
          <cell r="M485">
            <v>0</v>
          </cell>
          <cell r="N485">
            <v>0</v>
          </cell>
          <cell r="O485">
            <v>0</v>
          </cell>
          <cell r="P485">
            <v>4</v>
          </cell>
        </row>
        <row r="486">
          <cell r="B486" t="str">
            <v>XXS</v>
          </cell>
          <cell r="C486">
            <v>8</v>
          </cell>
          <cell r="D486">
            <v>22.23</v>
          </cell>
          <cell r="E486">
            <v>2</v>
          </cell>
          <cell r="F486">
            <v>0</v>
          </cell>
          <cell r="G486">
            <v>0</v>
          </cell>
          <cell r="H486">
            <v>0</v>
          </cell>
          <cell r="I486">
            <v>0.81</v>
          </cell>
          <cell r="J486">
            <v>11.49</v>
          </cell>
          <cell r="K486">
            <v>12.3</v>
          </cell>
          <cell r="L486">
            <v>0</v>
          </cell>
          <cell r="M486">
            <v>0</v>
          </cell>
          <cell r="N486">
            <v>0</v>
          </cell>
          <cell r="O486">
            <v>0</v>
          </cell>
          <cell r="P486">
            <v>4</v>
          </cell>
        </row>
        <row r="487">
          <cell r="B487" t="str">
            <v>XXS</v>
          </cell>
          <cell r="C487">
            <v>10</v>
          </cell>
          <cell r="D487">
            <v>25.4</v>
          </cell>
          <cell r="E487" t="str">
            <v>N</v>
          </cell>
          <cell r="F487">
            <v>0</v>
          </cell>
          <cell r="G487">
            <v>0</v>
          </cell>
          <cell r="H487">
            <v>0</v>
          </cell>
          <cell r="I487">
            <v>1.01</v>
          </cell>
          <cell r="J487">
            <v>18.489999999999998</v>
          </cell>
          <cell r="K487">
            <v>19.5</v>
          </cell>
          <cell r="L487">
            <v>0</v>
          </cell>
          <cell r="M487">
            <v>0</v>
          </cell>
          <cell r="N487">
            <v>0</v>
          </cell>
          <cell r="O487">
            <v>0</v>
          </cell>
          <cell r="P487">
            <v>4</v>
          </cell>
        </row>
        <row r="488">
          <cell r="B488" t="str">
            <v>XXS</v>
          </cell>
          <cell r="C488">
            <v>12</v>
          </cell>
          <cell r="D488">
            <v>25.4</v>
          </cell>
          <cell r="E488" t="str">
            <v>N</v>
          </cell>
          <cell r="F488">
            <v>0</v>
          </cell>
          <cell r="G488">
            <v>0</v>
          </cell>
          <cell r="H488">
            <v>0</v>
          </cell>
          <cell r="I488">
            <v>1.22</v>
          </cell>
          <cell r="J488">
            <v>21.27</v>
          </cell>
          <cell r="K488">
            <v>22.49</v>
          </cell>
          <cell r="L488">
            <v>0</v>
          </cell>
          <cell r="M488">
            <v>0</v>
          </cell>
          <cell r="N488">
            <v>0</v>
          </cell>
          <cell r="O488">
            <v>0</v>
          </cell>
          <cell r="P488">
            <v>6</v>
          </cell>
        </row>
        <row r="489">
          <cell r="B489">
            <v>8.73</v>
          </cell>
          <cell r="C489">
            <v>64</v>
          </cell>
          <cell r="D489">
            <v>8.73</v>
          </cell>
          <cell r="E489">
            <v>1</v>
          </cell>
          <cell r="F489">
            <v>0</v>
          </cell>
          <cell r="G489">
            <v>0</v>
          </cell>
          <cell r="H489">
            <v>0</v>
          </cell>
          <cell r="I489">
            <v>6.49</v>
          </cell>
          <cell r="J489">
            <v>20.29</v>
          </cell>
          <cell r="K489">
            <v>26.78</v>
          </cell>
          <cell r="L489">
            <v>0</v>
          </cell>
          <cell r="M489">
            <v>0</v>
          </cell>
          <cell r="N489">
            <v>0</v>
          </cell>
          <cell r="O489">
            <v>0</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refreshError="1"/>
      <sheetData sheetId="412" refreshError="1"/>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refreshError="1"/>
      <sheetData sheetId="442"/>
      <sheetData sheetId="443" refreshError="1"/>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refreshError="1"/>
      <sheetData sheetId="504" refreshError="1"/>
      <sheetData sheetId="505" refreshError="1"/>
      <sheetData sheetId="506" refreshError="1"/>
      <sheetData sheetId="507"/>
      <sheetData sheetId="508"/>
      <sheetData sheetId="509"/>
      <sheetData sheetId="510"/>
      <sheetData sheetId="511"/>
      <sheetData sheetId="512"/>
      <sheetData sheetId="513" refreshError="1"/>
      <sheetData sheetId="514" refreshError="1"/>
      <sheetData sheetId="515"/>
      <sheetData sheetId="516" refreshError="1"/>
      <sheetData sheetId="517"/>
      <sheetData sheetId="518"/>
      <sheetData sheetId="519"/>
      <sheetData sheetId="520"/>
      <sheetData sheetId="521"/>
      <sheetData sheetId="522"/>
      <sheetData sheetId="523" refreshError="1"/>
      <sheetData sheetId="524" refreshError="1"/>
      <sheetData sheetId="525"/>
      <sheetData sheetId="526" refreshError="1"/>
      <sheetData sheetId="527"/>
      <sheetData sheetId="528"/>
      <sheetData sheetId="529"/>
      <sheetData sheetId="530"/>
      <sheetData sheetId="531"/>
      <sheetData sheetId="532"/>
      <sheetData sheetId="533"/>
      <sheetData sheetId="534"/>
      <sheetData sheetId="535"/>
      <sheetData sheetId="536" refreshError="1"/>
      <sheetData sheetId="537"/>
      <sheetData sheetId="538"/>
      <sheetData sheetId="539"/>
      <sheetData sheetId="540"/>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refreshError="1"/>
      <sheetData sheetId="602" refreshError="1"/>
      <sheetData sheetId="603" refreshError="1"/>
      <sheetData sheetId="604" refreshError="1"/>
      <sheetData sheetId="605"/>
      <sheetData sheetId="606"/>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sheetData sheetId="617" refreshError="1"/>
      <sheetData sheetId="618"/>
      <sheetData sheetId="619"/>
      <sheetData sheetId="620"/>
      <sheetData sheetId="621" refreshError="1"/>
      <sheetData sheetId="622"/>
      <sheetData sheetId="623" refreshError="1"/>
      <sheetData sheetId="624" refreshError="1"/>
      <sheetData sheetId="625" refreshError="1"/>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refreshError="1"/>
      <sheetData sheetId="721" refreshError="1"/>
      <sheetData sheetId="722"/>
      <sheetData sheetId="723"/>
      <sheetData sheetId="724"/>
      <sheetData sheetId="725"/>
      <sheetData sheetId="726"/>
      <sheetData sheetId="727"/>
      <sheetData sheetId="728"/>
      <sheetData sheetId="729"/>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sheetData sheetId="753"/>
      <sheetData sheetId="754"/>
      <sheetData sheetId="755"/>
      <sheetData sheetId="756"/>
      <sheetData sheetId="757"/>
      <sheetData sheetId="758"/>
      <sheetData sheetId="759"/>
      <sheetData sheetId="760"/>
      <sheetData sheetId="761"/>
      <sheetData sheetId="762"/>
      <sheetData sheetId="763" refreshError="1"/>
      <sheetData sheetId="764"/>
      <sheetData sheetId="765"/>
      <sheetData sheetId="766"/>
      <sheetData sheetId="767"/>
      <sheetData sheetId="768"/>
      <sheetData sheetId="769"/>
      <sheetData sheetId="770" refreshError="1"/>
      <sheetData sheetId="771"/>
      <sheetData sheetId="772" refreshError="1"/>
      <sheetData sheetId="773"/>
      <sheetData sheetId="774"/>
      <sheetData sheetId="775"/>
      <sheetData sheetId="776"/>
      <sheetData sheetId="777"/>
      <sheetData sheetId="778"/>
      <sheetData sheetId="779"/>
      <sheetData sheetId="780"/>
      <sheetData sheetId="781"/>
      <sheetData sheetId="782"/>
      <sheetData sheetId="783"/>
      <sheetData sheetId="784"/>
      <sheetData sheetId="78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foxz"/>
      <sheetName val="foxz_2"/>
      <sheetName val="Đơn giá cây cối"/>
      <sheetName val="TH PA"/>
      <sheetName val="1. Ái (CN) Tiến"/>
      <sheetName val="2. Mạnh"/>
      <sheetName val="4. Nguyệt - Thọ"/>
      <sheetName val="5. Tìm"/>
      <sheetName val="6. Lại"/>
      <sheetName val="7. Khiết - Quát"/>
      <sheetName val="8. Bốn"/>
      <sheetName val="9. Nghing"/>
      <sheetName val="10. Hoàn - Tuấn"/>
      <sheetName val="11. Hiệp"/>
      <sheetName val="12 tuấn hắng "/>
      <sheetName val="13. Quyến"/>
      <sheetName val="14. Quyết"/>
      <sheetName val="15. Hùng Tơ"/>
      <sheetName val="16. Ngọt - Phúc"/>
      <sheetName val="17. Hướng"/>
      <sheetName val="18. Thiếu - Liễn"/>
      <sheetName val="19. Biểu - Yên"/>
      <sheetName val="20. Quyện"/>
      <sheetName val="21. Nghì"/>
      <sheetName val="22. Chức - Bão"/>
      <sheetName val="23. Đức Anh"/>
      <sheetName val="24. Hưng"/>
      <sheetName val="25. Đứng - Dậy"/>
      <sheetName val="26. Khỏa"/>
      <sheetName val="27. Thi-Toan"/>
      <sheetName val="28. Tín"/>
      <sheetName val="29. Chiên (Uyên)"/>
      <sheetName val="30. Chuẩn-Gái"/>
      <sheetName val="31. Tần"/>
      <sheetName val="32. Vương"/>
      <sheetName val="33. Mai"/>
      <sheetName val="34. Phương"/>
      <sheetName val="35. Đoán-Dung"/>
      <sheetName val="36. Mai-Đường"/>
      <sheetName val="37. Diện"/>
      <sheetName val="38. Tự láy)"/>
      <sheetName val="39. Loan-Sinh"/>
      <sheetName val="40. Ngọc"/>
      <sheetName val="41. Tuất"/>
      <sheetName val="42. Tiến"/>
      <sheetName val="43. Tính"/>
      <sheetName val="44.Chi"/>
      <sheetName val="45.Cường-Thắm"/>
      <sheetName val="46.Hướng-Mạnh"/>
      <sheetName val="47.Dinh-Bưởi"/>
      <sheetName val="48.Nam"/>
      <sheetName val="49.Tuấn-Thúy"/>
      <sheetName val="50.Đua -Bội"/>
      <sheetName val="51.Thuý-Trường"/>
      <sheetName val="52.Tuấn -Hà-Xuân"/>
      <sheetName val="53 Lanh -Phán"/>
      <sheetName val="54.Nguyễn Văn Dân"/>
      <sheetName val="55. Luyến - Nữ"/>
      <sheetName val="56. Trường"/>
      <sheetName val="57. Hợp"/>
      <sheetName val="58. Tý - Thấn"/>
      <sheetName val="59. Ứng"/>
      <sheetName val="60. Tuyến"/>
      <sheetName val="61. Trúy"/>
      <sheetName val="62 Thiển - Hà"/>
      <sheetName val="63. Tuy CN Bẩy"/>
      <sheetName val="64. Ngó"/>
      <sheetName val="65. Máng"/>
      <sheetName val="66 Ngoan"/>
      <sheetName val="67 Quyết"/>
      <sheetName val="68 Tiến "/>
      <sheetName val="69. Hân"/>
      <sheetName val="70.Xiển - Thành"/>
      <sheetName val="71. Coóng - Phượng"/>
      <sheetName val="72. Tuấn"/>
      <sheetName val="72. Trợ"/>
      <sheetName val="73. Tuyên - Nhàn"/>
      <sheetName val="74 Quỳnhg"/>
      <sheetName val="75. Tám - Hà"/>
      <sheetName val="76 Từ"/>
      <sheetName val="77. Quế"/>
      <sheetName val="78. Lộc"/>
      <sheetName val="79. Phíp"/>
      <sheetName val="80. Hòa"/>
      <sheetName val="81. Lành"/>
      <sheetName val="82. Nùng - Hồng"/>
      <sheetName val="83.Đáng"/>
      <sheetName val="84. Sơn"/>
      <sheetName val="85. Hòe - Hoàn"/>
      <sheetName val="86. Dương"/>
      <sheetName val="87. Toản"/>
      <sheetName val="88. Dung (Chung)"/>
      <sheetName val="89.Ngọ-Phượng"/>
      <sheetName val="90.Hoàng"/>
      <sheetName val="91.Đậm"/>
      <sheetName val="92.Tiến-Luyên"/>
      <sheetName val="93.Từ"/>
      <sheetName val="94.Vui-Ngọc"/>
      <sheetName val="95.Xế-Sản"/>
      <sheetName val="96.Dư-Lăng"/>
      <sheetName val="97.Nam"/>
      <sheetName val="98.Bảy"/>
      <sheetName val="99.Chiêm-Thêm"/>
      <sheetName val="100.Vượng-Huân"/>
      <sheetName val="101.Huân"/>
      <sheetName val="102.nền"/>
      <sheetName val="103.Quyết-Linh"/>
      <sheetName val="104.Dư-Hồng"/>
      <sheetName val="105 Nhuận "/>
      <sheetName val="106.Sâm"/>
      <sheetName val="107 Sáu"/>
      <sheetName val="Xứng"/>
      <sheetName val="Khoả "/>
      <sheetName val="khu"/>
      <sheetName val="Việt"/>
      <sheetName val="Quyết điểm "/>
      <sheetName val="Tập "/>
      <sheetName val="Phương "/>
      <sheetName val="Nhung "/>
      <sheetName val="Định "/>
      <sheetName val="Minh "/>
      <sheetName val="XXXXXXXX"/>
    </sheetNames>
    <sheetDataSet>
      <sheetData sheetId="0"/>
      <sheetData sheetId="1"/>
      <sheetData sheetId="2"/>
      <sheetData sheetId="3">
        <row r="2">
          <cell r="A2" t="str">
            <v>Lúa các loại</v>
          </cell>
        </row>
        <row r="3">
          <cell r="A3" t="str">
            <v>Ngô các loại</v>
          </cell>
        </row>
        <row r="4">
          <cell r="A4" t="str">
            <v>Khoai lang</v>
          </cell>
        </row>
        <row r="5">
          <cell r="A5" t="str">
            <v>Khoai tây</v>
          </cell>
        </row>
        <row r="6">
          <cell r="A6" t="str">
            <v>Sắn mì</v>
          </cell>
        </row>
        <row r="7">
          <cell r="A7" t="str">
            <v xml:space="preserve">Khoai môn </v>
          </cell>
        </row>
        <row r="8">
          <cell r="A8" t="str">
            <v>Khoai sọ</v>
          </cell>
        </row>
        <row r="9">
          <cell r="A9" t="str">
            <v>Sắn dây</v>
          </cell>
        </row>
        <row r="10">
          <cell r="A10" t="str">
            <v>Củ ấu</v>
          </cell>
        </row>
        <row r="11">
          <cell r="A11" t="str">
            <v>Cây mía</v>
          </cell>
        </row>
        <row r="12">
          <cell r="A12" t="str">
            <v>Cây thuốc lào</v>
          </cell>
        </row>
        <row r="13">
          <cell r="A13" t="str">
            <v>Đay</v>
          </cell>
        </row>
        <row r="14">
          <cell r="A14" t="str">
            <v>Gai, dứa sợi</v>
          </cell>
        </row>
        <row r="15">
          <cell r="A15" t="str">
            <v>Đậu tương</v>
          </cell>
        </row>
        <row r="16">
          <cell r="A16" t="str">
            <v>Lạc</v>
          </cell>
        </row>
        <row r="17">
          <cell r="A17" t="str">
            <v>Vừng</v>
          </cell>
        </row>
        <row r="18">
          <cell r="A18" t="str">
            <v xml:space="preserve">Rau muống </v>
          </cell>
        </row>
        <row r="19">
          <cell r="A19" t="str">
            <v>Cải các loại</v>
          </cell>
        </row>
        <row r="20">
          <cell r="A20" t="str">
            <v>Rau mùng tơi</v>
          </cell>
        </row>
        <row r="21">
          <cell r="A21" t="str">
            <v>Rau ngót</v>
          </cell>
        </row>
        <row r="22">
          <cell r="A22" t="str">
            <v>Bắp cải</v>
          </cell>
        </row>
        <row r="23">
          <cell r="A23" t="str">
            <v>Rau dền</v>
          </cell>
        </row>
        <row r="24">
          <cell r="A24" t="str">
            <v>Súp lơ/bông cải</v>
          </cell>
        </row>
        <row r="25">
          <cell r="A25" t="str">
            <v>Dưa hấu</v>
          </cell>
        </row>
        <row r="26">
          <cell r="A26" t="str">
            <v>Dưa lê</v>
          </cell>
        </row>
        <row r="27">
          <cell r="A27" t="str">
            <v>Dưa vàng</v>
          </cell>
        </row>
        <row r="28">
          <cell r="A28" t="str">
            <v>Đậu đũa</v>
          </cell>
        </row>
        <row r="29">
          <cell r="A29" t="str">
            <v>Đậu co-ve</v>
          </cell>
        </row>
        <row r="30">
          <cell r="A30" t="str">
            <v>Đậu Hà Lan</v>
          </cell>
        </row>
        <row r="31">
          <cell r="A31" t="str">
            <v>Dưa chuột</v>
          </cell>
        </row>
        <row r="32">
          <cell r="A32" t="str">
            <v>Cà chua</v>
          </cell>
        </row>
        <row r="33">
          <cell r="A33" t="str">
            <v>Bí đỏ (Bí ngô)</v>
          </cell>
        </row>
        <row r="34">
          <cell r="A34" t="str">
            <v>Bí xanh</v>
          </cell>
        </row>
        <row r="35">
          <cell r="A35" t="str">
            <v>Bầu</v>
          </cell>
        </row>
        <row r="36">
          <cell r="A36" t="str">
            <v>Mướp</v>
          </cell>
        </row>
        <row r="37">
          <cell r="A37" t="str">
            <v>Su su</v>
          </cell>
        </row>
        <row r="38">
          <cell r="A38" t="str">
            <v>Ớt trái ngọt</v>
          </cell>
        </row>
        <row r="39">
          <cell r="A39" t="str">
            <v>Cà tím, cà pháo</v>
          </cell>
        </row>
        <row r="40">
          <cell r="A40" t="str">
            <v>Mướp đắng</v>
          </cell>
        </row>
        <row r="41">
          <cell r="A41" t="str">
            <v>Su hào</v>
          </cell>
        </row>
        <row r="42">
          <cell r="A42" t="str">
            <v>Cà rốt</v>
          </cell>
        </row>
        <row r="43">
          <cell r="A43" t="str">
            <v>Củ cải</v>
          </cell>
        </row>
        <row r="44">
          <cell r="A44" t="str">
            <v>Tỏi lấy củ</v>
          </cell>
        </row>
        <row r="45">
          <cell r="A45" t="str">
            <v>Hành tây</v>
          </cell>
        </row>
        <row r="46">
          <cell r="A46" t="str">
            <v>Hành hoa</v>
          </cell>
        </row>
        <row r="47">
          <cell r="A47" t="str">
            <v>Hành củ</v>
          </cell>
        </row>
        <row r="48">
          <cell r="A48" t="str">
            <v>Rau cần ta</v>
          </cell>
        </row>
        <row r="49">
          <cell r="A49" t="str">
            <v>Củ đậu</v>
          </cell>
        </row>
        <row r="50">
          <cell r="A50" t="str">
            <v>Rau tỏi tây</v>
          </cell>
        </row>
        <row r="51">
          <cell r="A51" t="str">
            <v>Măng tây</v>
          </cell>
        </row>
        <row r="52">
          <cell r="A52" t="str">
            <v>Cần tây</v>
          </cell>
        </row>
        <row r="53">
          <cell r="A53" t="str">
            <v>Củ rền</v>
          </cell>
        </row>
        <row r="54">
          <cell r="A54" t="str">
            <v>Ớt cay</v>
          </cell>
        </row>
        <row r="55">
          <cell r="A55" t="str">
            <v>Gừng</v>
          </cell>
        </row>
        <row r="56">
          <cell r="A56" t="str">
            <v>Riềng</v>
          </cell>
        </row>
        <row r="57">
          <cell r="A57" t="str">
            <v>Rau gia vị khác (Rau mùi, thì là, mùi tàu, tía tô...)</v>
          </cell>
        </row>
        <row r="58">
          <cell r="A58" t="str">
            <v>Ngải cứu</v>
          </cell>
        </row>
        <row r="59">
          <cell r="A59" t="str">
            <v>Nghệ</v>
          </cell>
        </row>
        <row r="60">
          <cell r="A60" t="str">
            <v>Sả</v>
          </cell>
        </row>
        <row r="61">
          <cell r="A61" t="str">
            <v>Sen lấy hạt</v>
          </cell>
        </row>
        <row r="62">
          <cell r="A62" t="str">
            <v xml:space="preserve">Cây vải loại cây ghép có chiều cao cây 40cm ≤ H &lt; 1m  </v>
          </cell>
        </row>
        <row r="63">
          <cell r="A63" t="str">
            <v xml:space="preserve">Cây vải loại cây ghép có chiều cao cây  H ≥ 1m  </v>
          </cell>
        </row>
        <row r="64">
          <cell r="A64" t="str">
            <v xml:space="preserve">Cây vải loại cây chiết cành có chiều cao  40cm ≤ H &lt; 1m  </v>
          </cell>
        </row>
        <row r="65">
          <cell r="A65" t="str">
            <v xml:space="preserve">Cây vải loại cây chiết cành có chiều cao cây  H ≥ 1m  </v>
          </cell>
        </row>
        <row r="66">
          <cell r="A66" t="str">
            <v>Cây vải đường kính tán 0,7m ≤ Φ &lt; 1m</v>
          </cell>
        </row>
        <row r="67">
          <cell r="A67" t="str">
            <v>Cây vải đường kính tán 1m ≤ Φ &lt; 2m</v>
          </cell>
        </row>
        <row r="68">
          <cell r="A68" t="str">
            <v>Cây vải đường kính tán 2m ≤ Φ &lt; 3m</v>
          </cell>
        </row>
        <row r="69">
          <cell r="A69" t="str">
            <v>Cây vải đường kính tán 3m ≤ Φ &lt; 4m</v>
          </cell>
        </row>
        <row r="70">
          <cell r="A70" t="str">
            <v>Cây vải đường kính tán 4m ≤ Φ &lt; 5m</v>
          </cell>
        </row>
        <row r="71">
          <cell r="A71" t="str">
            <v>Cây vải đường kính tán 5m ≤ Φ &lt; 6m</v>
          </cell>
        </row>
        <row r="72">
          <cell r="A72" t="str">
            <v>Cây vải đường kính tán 6m ≤ Φ &lt; 7m</v>
          </cell>
        </row>
        <row r="73">
          <cell r="A73" t="str">
            <v>Cây vải đường kính tán 7m ≤ Φ &lt; 8m</v>
          </cell>
        </row>
        <row r="74">
          <cell r="A74" t="str">
            <v>Cây vải đường kính tán 8m ≤ Φ &lt; 9m</v>
          </cell>
        </row>
        <row r="75">
          <cell r="A75" t="str">
            <v>Cây vải đường kính tán 9m ≤ Φ &lt; 10m</v>
          </cell>
        </row>
        <row r="76">
          <cell r="A76" t="str">
            <v>Cây vải đường kính tán 10m ≤ Φ &lt; 15m</v>
          </cell>
        </row>
        <row r="77">
          <cell r="A77" t="str">
            <v>Cây vải đường kính tán Φ ≥ 15m</v>
          </cell>
        </row>
        <row r="78">
          <cell r="A78" t="str">
            <v xml:space="preserve">Cây nhãn loại cây ghép có chiều cao cây 40cm ≤ H &lt; 1m  </v>
          </cell>
        </row>
        <row r="79">
          <cell r="A79" t="str">
            <v xml:space="preserve">Cây nhãn loại cây ghép có chiều cao cây  H ≥ 1m  </v>
          </cell>
        </row>
        <row r="80">
          <cell r="A80" t="str">
            <v xml:space="preserve">Cây nhãn loại cây chiết cành có chiều cao  40cm ≤ H &lt; 1m  </v>
          </cell>
        </row>
        <row r="81">
          <cell r="A81" t="str">
            <v xml:space="preserve">Cây nhãn loại cây chiết cành có chiều cao cây  H ≥ 1m  </v>
          </cell>
        </row>
        <row r="82">
          <cell r="A82" t="str">
            <v xml:space="preserve">Cây nhãn đường kính tán 0,7m ≤ Φ &lt; 1m </v>
          </cell>
        </row>
        <row r="83">
          <cell r="A83" t="str">
            <v xml:space="preserve">Cây nhãn đường kính tán 1m ≤ Φ &lt; 1,5m </v>
          </cell>
        </row>
        <row r="84">
          <cell r="A84" t="str">
            <v xml:space="preserve">Cây nhãn đường kính tán 1,5m ≤ Φ &lt; 2m </v>
          </cell>
        </row>
        <row r="85">
          <cell r="A85" t="str">
            <v xml:space="preserve">Cây nhãn đường kính tán 2m ≤ Φ &lt; 3m </v>
          </cell>
        </row>
        <row r="86">
          <cell r="A86" t="str">
            <v>Cây nhãn đường kính tán 3m ≤ Φ &lt; 4m</v>
          </cell>
        </row>
        <row r="87">
          <cell r="A87" t="str">
            <v>Cây nhãn đường kính tán 4m ≤ Φ &lt; 5m</v>
          </cell>
        </row>
        <row r="88">
          <cell r="A88" t="str">
            <v>Cây nhãn đường kính tán 5m ≤ Φ &lt; 6m</v>
          </cell>
        </row>
        <row r="89">
          <cell r="A89" t="str">
            <v>Cây nhãn đường kính tán 6m ≤ Φ &lt; 7m</v>
          </cell>
        </row>
        <row r="90">
          <cell r="A90" t="str">
            <v>Cây nhãn đường kính tán 7m ≤ Φ &lt; 8m</v>
          </cell>
        </row>
        <row r="91">
          <cell r="A91" t="str">
            <v>Cây nhãn đường kính tán 8m ≤ Φ &lt; 9m</v>
          </cell>
        </row>
        <row r="92">
          <cell r="A92" t="str">
            <v>Cây nhãn đường kính tán 9m ≤ Φ &lt; 12m</v>
          </cell>
        </row>
        <row r="93">
          <cell r="A93" t="str">
            <v>Cây nhãn đường kính tán Φ ≥ 12m</v>
          </cell>
        </row>
        <row r="94">
          <cell r="A94" t="str">
            <v>Mít (tính theo đường kính gốc F)</v>
          </cell>
        </row>
        <row r="95">
          <cell r="A95" t="str">
            <v>Cây mít giống đủ tiêu chuẩn mới trồng</v>
          </cell>
        </row>
        <row r="96">
          <cell r="A96" t="str">
            <v xml:space="preserve">Cây mít đường kính gốc 1cm ≤ Φ &lt; 2cm </v>
          </cell>
        </row>
        <row r="97">
          <cell r="A97" t="str">
            <v xml:space="preserve">Cây mít đường kính gốc 2cm ≤ Φ &lt; 5cm </v>
          </cell>
        </row>
        <row r="98">
          <cell r="A98" t="str">
            <v xml:space="preserve">Cây mít đường kính gốc 5cm ≤ Φ &lt; 7cm </v>
          </cell>
        </row>
        <row r="99">
          <cell r="A99" t="str">
            <v xml:space="preserve">Cây mít đường kính gốc 7cm ≤ Φ &lt; 9cm </v>
          </cell>
        </row>
        <row r="100">
          <cell r="A100" t="str">
            <v>Cây mít đường kính gốc 9cm ≤ Φ &lt; 12cm</v>
          </cell>
        </row>
        <row r="101">
          <cell r="A101" t="str">
            <v xml:space="preserve">Cây mít đường kính gốc 12cm ≤ Φ &lt; 15cm </v>
          </cell>
        </row>
        <row r="102">
          <cell r="A102" t="str">
            <v>Cây mít đường kính gốc 15cm ≤ Φ &lt; 20cm</v>
          </cell>
        </row>
        <row r="103">
          <cell r="A103" t="str">
            <v>Cây mít đường kính gốc 20cm ≤ Φ &lt; 25cm</v>
          </cell>
        </row>
        <row r="104">
          <cell r="A104" t="str">
            <v>Cây mít đường kính gốc 25cm ≤ Φ &lt; 35cm</v>
          </cell>
        </row>
        <row r="105">
          <cell r="A105" t="str">
            <v>Cây mít đường kính gốc 35cm ≤ Φ &lt; 50cm</v>
          </cell>
        </row>
        <row r="106">
          <cell r="A106" t="str">
            <v>Cây mít đường kính gốc Φ ≥ 50cm</v>
          </cell>
        </row>
        <row r="107">
          <cell r="A107" t="str">
            <v>Hồng xiêm (tính theo đường kính tán F)</v>
          </cell>
        </row>
        <row r="108">
          <cell r="A108" t="str">
            <v>Cây hồng xiêm giống đủ tiêu chuẩn  mới trồng</v>
          </cell>
        </row>
        <row r="109">
          <cell r="A109" t="str">
            <v>Cây hồng xiêm đường kính tán 0,7m ≤ Φ &lt; 1m</v>
          </cell>
        </row>
        <row r="110">
          <cell r="A110" t="str">
            <v>Cây hồng xiêm đường kính tán 1m ≤ Φ &lt; 1,5m</v>
          </cell>
        </row>
        <row r="111">
          <cell r="A111" t="str">
            <v>Cây hồng xiêm đường kính tán 1,5m ≤ Φ &lt; 2m</v>
          </cell>
        </row>
        <row r="112">
          <cell r="A112" t="str">
            <v>Cây hồng xiêm đường kính tán 2m ≤ Φ &lt; 3m</v>
          </cell>
        </row>
        <row r="113">
          <cell r="A113" t="str">
            <v>Cây hồng xiêm đường kính tán 3m ≤ Φ &lt; 4m</v>
          </cell>
        </row>
        <row r="114">
          <cell r="A114" t="str">
            <v>Cây hồng xiêm đường kính tán 4m ≤ Φ &lt; 5m</v>
          </cell>
        </row>
        <row r="115">
          <cell r="A115" t="str">
            <v>Cây hồng xiêm đường kính tán 5m ≤ Φ &lt; 6m</v>
          </cell>
        </row>
        <row r="116">
          <cell r="A116" t="str">
            <v>Cây hồng xiêm đường kính tán 6m ≤ Φ &lt; 7m</v>
          </cell>
        </row>
        <row r="117">
          <cell r="A117" t="str">
            <v>Cây hồng xiêm đường kính tán 7m ≤ Φ &lt; 8m</v>
          </cell>
        </row>
        <row r="118">
          <cell r="A118" t="str">
            <v>Cây hồng xiêm đường kính tán 8m ≤ Φ &lt; 9m</v>
          </cell>
        </row>
        <row r="119">
          <cell r="A119" t="str">
            <v>Cây hồng xiêm đường kính tán 9m ≤ Φ &lt; 12m</v>
          </cell>
        </row>
        <row r="120">
          <cell r="A120" t="str">
            <v>Cây hồng xiêm đường kính tán Φ ≥ 12m</v>
          </cell>
        </row>
        <row r="121">
          <cell r="A121" t="str">
            <v>Hồng ăn quả khác (tính theo đường kính gốc F)</v>
          </cell>
        </row>
        <row r="122">
          <cell r="A122" t="str">
            <v>Cây giống hồng ăn quả khác đủ tiêu chuẩn mới trồng, chiều cao cây H ≥ 40cm</v>
          </cell>
        </row>
        <row r="123">
          <cell r="A123" t="str">
            <v>Cây hồng ăn quả khác đường kính gốc 1cm ≤ Φ &lt; 2cm</v>
          </cell>
        </row>
        <row r="124">
          <cell r="A124" t="str">
            <v xml:space="preserve">Cây hồng ăn quả khác đường kính gốc 2cm ≤ Φ &lt; 5cm </v>
          </cell>
        </row>
        <row r="125">
          <cell r="A125" t="str">
            <v>Cây hồng ăn quả khác đường kính gốc 5cm ≤ Φ &lt; 7cm</v>
          </cell>
        </row>
        <row r="126">
          <cell r="A126" t="str">
            <v xml:space="preserve">Cây hồng ăn quả khác đường kính gốc 7cm ≤ Φ &lt; 9cm </v>
          </cell>
        </row>
        <row r="127">
          <cell r="A127" t="str">
            <v>Cây hồng ăn quả khác đường kính gốc 9cm ≤ Φ &lt; 12cm</v>
          </cell>
        </row>
        <row r="128">
          <cell r="A128" t="str">
            <v xml:space="preserve">Cây hồng ăn quả khác đường kính gốc 12cm ≤ Φ &lt; 15cm </v>
          </cell>
        </row>
        <row r="129">
          <cell r="A129" t="str">
            <v>Cây hồng ăn quả khác đường kính gốc 15cm ≤ Φ &lt; 20cm</v>
          </cell>
        </row>
        <row r="130">
          <cell r="A130" t="str">
            <v>Cây hồng ăn quả khác đường kính gốc 20cm ≤ Φ &lt; 25cm</v>
          </cell>
        </row>
        <row r="131">
          <cell r="A131" t="str">
            <v>Cây hồng ăn quả khác đường kính gốc 25cm ≤ Φ &lt; 30cm</v>
          </cell>
        </row>
        <row r="132">
          <cell r="A132" t="str">
            <v>Cây hồng ăn quả khác đường kính gốc 30cm ≤ Φ &lt; 35cm</v>
          </cell>
        </row>
        <row r="133">
          <cell r="A133" t="str">
            <v>Cây hồng ăn quả khác đường kính gốc Φ ≥ 35cm</v>
          </cell>
        </row>
        <row r="134">
          <cell r="A134" t="str">
            <v>Chanh, quýt, quất ăn quả (tính theo đường kính tán F)</v>
          </cell>
        </row>
        <row r="135">
          <cell r="A135" t="str">
            <v xml:space="preserve">Cây chanh giống đủ tiêu chuẩn mới trồng, chiều cao cây H ≥ 40cm </v>
          </cell>
        </row>
        <row r="136">
          <cell r="A136" t="str">
            <v>Cây chanh đường kính tán 0,7m ≤ Φ &lt; 1m</v>
          </cell>
        </row>
        <row r="137">
          <cell r="A137" t="str">
            <v>Cây chanh đường kính tán 1m ≤ Φ &lt; 1,5m</v>
          </cell>
        </row>
        <row r="138">
          <cell r="A138" t="str">
            <v>Cây chanh đường kính tán 1,5m ≤ Φ &lt; 2m</v>
          </cell>
        </row>
        <row r="139">
          <cell r="A139" t="str">
            <v>Cây chanh đường kính tán 2m ≤ Φ &lt; 3m</v>
          </cell>
        </row>
        <row r="140">
          <cell r="A140" t="str">
            <v>Cây chanh đường kính tán 3m ≤ Φ &lt; 4m</v>
          </cell>
        </row>
        <row r="141">
          <cell r="A141" t="str">
            <v>Cây chanh đường kính tán 4m ≤ Φ &lt; 5m</v>
          </cell>
        </row>
        <row r="142">
          <cell r="A142" t="str">
            <v>Cây chanh đường kính tán Φ ≥ 5m</v>
          </cell>
        </row>
        <row r="143">
          <cell r="A143" t="str">
            <v xml:space="preserve">Cây quýt giống đủ tiêu chuẩn mới trồng, chiều cao cây H ≥ 40cm </v>
          </cell>
        </row>
        <row r="144">
          <cell r="A144" t="str">
            <v>Cây quýt đường kính tán 0,7m ≤ Φ &lt; 1m</v>
          </cell>
        </row>
        <row r="145">
          <cell r="A145" t="str">
            <v>Cây quýt đường kính tán 1m ≤ Φ &lt; 1,5m</v>
          </cell>
        </row>
        <row r="146">
          <cell r="A146" t="str">
            <v>Cây quýt đường kính tán 1,5m ≤ Φ &lt; 2m</v>
          </cell>
        </row>
        <row r="147">
          <cell r="A147" t="str">
            <v>Cây quýt đường kính tán 2m ≤ Φ &lt; 3m</v>
          </cell>
        </row>
        <row r="148">
          <cell r="A148" t="str">
            <v>Cây quýt đường kính tán 3m ≤ Φ &lt; 4m</v>
          </cell>
        </row>
        <row r="149">
          <cell r="A149" t="str">
            <v>Cây quýt đường kính tán 4m ≤ Φ &lt; 5m</v>
          </cell>
        </row>
        <row r="150">
          <cell r="A150" t="str">
            <v>Cây quýt đường kính tán Φ ≥ 5m</v>
          </cell>
        </row>
        <row r="151">
          <cell r="A151" t="str">
            <v xml:space="preserve">Cây quất ăn quả giống đủ tiêu chuẩn mới trồng, chiều cao cây H ≥ 40cm </v>
          </cell>
        </row>
        <row r="152">
          <cell r="A152" t="str">
            <v>Cây quất ăn quả đường kính tán 0,7m ≤ Φ &lt; 1m</v>
          </cell>
        </row>
        <row r="153">
          <cell r="A153" t="str">
            <v>Cây quất ăn quả đường kính tán 1m ≤ Φ &lt; 1,5m</v>
          </cell>
        </row>
        <row r="154">
          <cell r="A154" t="str">
            <v>Cây quất ăn quả đường kính tán 1,5m ≤ Φ &lt; 2m</v>
          </cell>
        </row>
        <row r="155">
          <cell r="A155" t="str">
            <v>Cây quất ăn quả đường kính tán 2m ≤ Φ &lt; 3m</v>
          </cell>
        </row>
        <row r="156">
          <cell r="A156" t="str">
            <v>Cây quất ăn quả đường kính tán 3m ≤ Φ &lt; 4m</v>
          </cell>
        </row>
        <row r="157">
          <cell r="A157" t="str">
            <v>Cây quất ăn quả đường kính tán 4m ≤ Φ &lt; 5m</v>
          </cell>
        </row>
        <row r="158">
          <cell r="A158" t="str">
            <v>Cây quất ăn quả đường kính tán Φ ≥ 5m</v>
          </cell>
        </row>
        <row r="159">
          <cell r="A159" t="str">
            <v xml:space="preserve">Cam (tính theo đường kính tán lá F) </v>
          </cell>
        </row>
        <row r="160">
          <cell r="A160" t="str">
            <v>Cây giống đủ tiêu chuẩn mới trồng</v>
          </cell>
        </row>
        <row r="161">
          <cell r="A161" t="str">
            <v xml:space="preserve">Cây cam loại cây ghép có chiều cao cây 40cm ≤ Φ &lt; 1m  </v>
          </cell>
        </row>
        <row r="162">
          <cell r="A162" t="str">
            <v xml:space="preserve">Cây cam loại cây ghép có chiều cao cây  H ≥ 1m  </v>
          </cell>
        </row>
        <row r="163">
          <cell r="A163" t="str">
            <v xml:space="preserve">Cây cam loại cây chiết cành có chiều cao 40cm ≤ Φ &lt; 1m  </v>
          </cell>
        </row>
        <row r="164">
          <cell r="A164" t="str">
            <v xml:space="preserve">Cây cam loại cây chiết cành có chiều cao cây  H ≥ 1m  </v>
          </cell>
        </row>
        <row r="165">
          <cell r="A165" t="str">
            <v>Cây cam đường kính tán 0,7m ≤ Φ &lt; 1m</v>
          </cell>
        </row>
        <row r="166">
          <cell r="A166" t="str">
            <v>Cây cam đường kính tán 1m ≤ Φ &lt; 1,5m</v>
          </cell>
        </row>
        <row r="167">
          <cell r="A167" t="str">
            <v>Cây cam đường kính tán 1,5m ≤ Φ &lt; 2m</v>
          </cell>
        </row>
        <row r="168">
          <cell r="A168" t="str">
            <v>Cây cam đường kính tán 2m ≤ Φ &lt; 3m</v>
          </cell>
        </row>
        <row r="169">
          <cell r="A169" t="str">
            <v>Cây cam đường kính tán 3m ≤ Φ &lt; 4m</v>
          </cell>
        </row>
        <row r="170">
          <cell r="A170" t="str">
            <v>Cây cam đường kính tán 4m ≤ Φ &lt; 5m</v>
          </cell>
        </row>
        <row r="171">
          <cell r="A171" t="str">
            <v>Cây cam đường kính tán 5m ≤ Φ &lt; 6m</v>
          </cell>
        </row>
        <row r="172">
          <cell r="A172" t="str">
            <v>Cây cam đường kính tán Φ ≥ 6m</v>
          </cell>
        </row>
        <row r="173">
          <cell r="A173" t="str">
            <v>Bưởi (tính theo đường kính gốc F)</v>
          </cell>
        </row>
        <row r="174">
          <cell r="A174" t="str">
            <v>Cây giống đủ tiêu chuẩn mới trồng</v>
          </cell>
        </row>
        <row r="175">
          <cell r="A175" t="str">
            <v xml:space="preserve">Bưởi loại cây ghép có chiều cao cây 40cm ≤ H &lt; 1m  </v>
          </cell>
        </row>
        <row r="176">
          <cell r="A176" t="str">
            <v xml:space="preserve">Bưởi loại cây ghép có chiều cao cây  H ≥ 1m  </v>
          </cell>
        </row>
        <row r="177">
          <cell r="A177" t="str">
            <v xml:space="preserve">Bưởi loại cây chiết cành có chiều cao  40cm ≤ H &lt; 1m  </v>
          </cell>
        </row>
        <row r="178">
          <cell r="A178" t="str">
            <v xml:space="preserve">Bưởi loại cây chiết cành có chiều cao cây  H ≥ 1m  </v>
          </cell>
        </row>
        <row r="179">
          <cell r="A179" t="str">
            <v>Cây bưởi đường kính gốc 1cm ≤ Φ &lt; 2cm</v>
          </cell>
        </row>
        <row r="180">
          <cell r="A180" t="str">
            <v>Cây bưởi đường kính gốc 2cm ≤ Φ &lt; 5cm</v>
          </cell>
        </row>
        <row r="181">
          <cell r="A181" t="str">
            <v>Cây bưởi đường kính gốc 5cm ≤ Φ &lt; 7cm</v>
          </cell>
        </row>
        <row r="182">
          <cell r="A182" t="str">
            <v>Cây bưởi đường kính gốc 7cm ≤ Φ &lt; 9cm</v>
          </cell>
        </row>
        <row r="183">
          <cell r="A183" t="str">
            <v>Cây bưởi đường kính gốc 9cm ≤ Φ &lt; 12cm</v>
          </cell>
        </row>
        <row r="184">
          <cell r="A184" t="str">
            <v xml:space="preserve">Cây bưởi đường kính gốc 12cm ≤ Φ &lt; 15cm </v>
          </cell>
        </row>
        <row r="185">
          <cell r="A185" t="str">
            <v>Cây bưởi đường kính gốc 15cm ≤ Φ &lt; 20cm</v>
          </cell>
        </row>
        <row r="186">
          <cell r="A186" t="str">
            <v>Cây bưởi đường kính gốc 20cm ≤ Φ &lt; 25cm</v>
          </cell>
        </row>
        <row r="187">
          <cell r="A187" t="str">
            <v>Cây bưởi đường kính gốc Φ ≥ 25cm</v>
          </cell>
        </row>
        <row r="188">
          <cell r="A188" t="str">
            <v>Xoài, muỗm, quéo, thị (tính theo đường kính gốc F)</v>
          </cell>
        </row>
        <row r="189">
          <cell r="A189" t="str">
            <v>Cây xoài giống đủ tiêu chuẩn mới trồng, chiều cao cây H ≥ 40cm</v>
          </cell>
        </row>
        <row r="190">
          <cell r="A190" t="str">
            <v xml:space="preserve">Cây xoài đường kính gốc 1cm ≤ Φ &lt; 2cm </v>
          </cell>
        </row>
        <row r="191">
          <cell r="A191" t="str">
            <v>Cây xoài đường kính gốc 2cm ≤ Φ &lt; 5cm</v>
          </cell>
        </row>
        <row r="192">
          <cell r="A192" t="str">
            <v>Cây xoài đường kính gốc 5cm ≤ Φ &lt; 7cm</v>
          </cell>
        </row>
        <row r="193">
          <cell r="A193" t="str">
            <v>Cây xoài đường kính gốc 7cm ≤ Φ &lt; 9cm</v>
          </cell>
        </row>
        <row r="194">
          <cell r="A194" t="str">
            <v>Cây xoài đường kính gốc 9cm ≤ Φ &lt; 12cm</v>
          </cell>
        </row>
        <row r="195">
          <cell r="A195" t="str">
            <v xml:space="preserve">Cây xoài đường kính gốc 12cm ≤ Φ &lt; 15cm </v>
          </cell>
        </row>
        <row r="196">
          <cell r="A196" t="str">
            <v>Cây xoài đường kính gốc 15cm ≤ Φ &lt; 20cm</v>
          </cell>
        </row>
        <row r="197">
          <cell r="A197" t="str">
            <v>Cây xoài đường kính gốc 20cm ≤ Φ &lt; 25cm</v>
          </cell>
        </row>
        <row r="198">
          <cell r="A198" t="str">
            <v>Cây xoài đường kính gốc 25cm ≤ Φ &lt; 35cm</v>
          </cell>
        </row>
        <row r="199">
          <cell r="A199" t="str">
            <v>Cây xoài đường kính gốc 35cm ≤ Φ &lt; 50cm</v>
          </cell>
        </row>
        <row r="200">
          <cell r="A200" t="str">
            <v>Cây xoài đường kính gốc Φ ≥ 50cm</v>
          </cell>
        </row>
        <row r="201">
          <cell r="A201" t="str">
            <v>Cây muỗm giống đủ tiêu chuẩn mới trồng, chiều cao cây H ≥ 40cm</v>
          </cell>
        </row>
        <row r="202">
          <cell r="A202" t="str">
            <v xml:space="preserve">Cây muỗm đường kính gốc 1cm ≤ Φ &lt; 2cm </v>
          </cell>
        </row>
        <row r="203">
          <cell r="A203" t="str">
            <v>Cây muỗm đường kính gốc 2cm ≤ Φ &lt; 5cm</v>
          </cell>
        </row>
        <row r="204">
          <cell r="A204" t="str">
            <v>Cây muỗm đường kính gốc 5cm ≤ Φ &lt; 7cm</v>
          </cell>
        </row>
        <row r="205">
          <cell r="A205" t="str">
            <v>Cây muỗm đường kính gốc 7cm ≤ Φ &lt; 9cm</v>
          </cell>
        </row>
        <row r="206">
          <cell r="A206" t="str">
            <v>Cây muỗm đường kính gốc 9cm ≤ Φ &lt; 12cm</v>
          </cell>
        </row>
        <row r="207">
          <cell r="A207" t="str">
            <v xml:space="preserve">Cây muỗm đường kính gốc 12cm ≤ Φ &lt; 15cm </v>
          </cell>
        </row>
        <row r="208">
          <cell r="A208" t="str">
            <v>Cây muỗm đường kính gốc 15cm ≤ Φ &lt; 20cm</v>
          </cell>
        </row>
        <row r="209">
          <cell r="A209" t="str">
            <v>Cây muỗm đường kính gốc 20cm ≤ Φ &lt; 25cm</v>
          </cell>
        </row>
        <row r="210">
          <cell r="A210" t="str">
            <v>Cây muỗm đường kính gốc 25cm ≤ Φ &lt; 35cm</v>
          </cell>
        </row>
        <row r="211">
          <cell r="A211" t="str">
            <v>Cây muỗm đường kính gốc 35cm ≤ Φ &lt; 50cm</v>
          </cell>
        </row>
        <row r="212">
          <cell r="A212" t="str">
            <v>Cây muỗm đường kính gốc Φ ≥ 50cm</v>
          </cell>
        </row>
        <row r="213">
          <cell r="A213" t="str">
            <v>Cây quéo giống đủ tiêu chuẩn mới trồng, chiều cao cây H ≥ 40cm</v>
          </cell>
        </row>
        <row r="214">
          <cell r="A214" t="str">
            <v xml:space="preserve">Cây quéo đường kính gốc 1cm ≤ Φ &lt; 2cm </v>
          </cell>
        </row>
        <row r="215">
          <cell r="A215" t="str">
            <v>Cây quéo đường kính gốc 2cm ≤ Φ &lt; 5cm</v>
          </cell>
        </row>
        <row r="216">
          <cell r="A216" t="str">
            <v>Cây quéo đường kính gốc 5cm ≤ Φ &lt; 7cm</v>
          </cell>
        </row>
        <row r="217">
          <cell r="A217" t="str">
            <v>Cây quéo đường kính gốc 7cm ≤ Φ &lt; 9cm</v>
          </cell>
        </row>
        <row r="218">
          <cell r="A218" t="str">
            <v>Cây quéo đường kính gốc 9cm ≤ Φ &lt; 12cm</v>
          </cell>
        </row>
        <row r="219">
          <cell r="A219" t="str">
            <v xml:space="preserve">Cây quéo đường kính gốc 12cm ≤ Φ &lt; 15cm </v>
          </cell>
        </row>
        <row r="220">
          <cell r="A220" t="str">
            <v>Cây quéo đường kính gốc 15cm ≤ Φ &lt; 20cm</v>
          </cell>
        </row>
        <row r="221">
          <cell r="A221" t="str">
            <v>Cây quéo đường kính gốc 20cm ≤ Φ &lt; 25cm</v>
          </cell>
        </row>
        <row r="222">
          <cell r="A222" t="str">
            <v>Cây quéo đường kính gốc 25cm ≤ Φ &lt; 35cm</v>
          </cell>
        </row>
        <row r="223">
          <cell r="A223" t="str">
            <v>Cây quéo đường kính gốc 35cm ≤ Φ &lt; 50cm</v>
          </cell>
        </row>
        <row r="224">
          <cell r="A224" t="str">
            <v>Cây quéo đường kính gốc Φ ≥ 50cm</v>
          </cell>
        </row>
        <row r="225">
          <cell r="A225" t="str">
            <v>Cây thị giống đủ tiêu chuẩn mới trồng, chiều cao cây H ≥ 40cm</v>
          </cell>
        </row>
        <row r="226">
          <cell r="A226" t="str">
            <v xml:space="preserve">Cây thị đường kính gốc 1cm ≤ Φ &lt; 2cm </v>
          </cell>
        </row>
        <row r="227">
          <cell r="A227" t="str">
            <v>Cây thị đường kính gốc 2cm ≤ Φ &lt; 5cm</v>
          </cell>
        </row>
        <row r="228">
          <cell r="A228" t="str">
            <v>Cây thị đường kính gốc 5cm ≤ Φ &lt; 7cm</v>
          </cell>
        </row>
        <row r="229">
          <cell r="A229" t="str">
            <v>Cây thị đường kính gốc 7cm ≤ Φ &lt; 9cm</v>
          </cell>
        </row>
        <row r="230">
          <cell r="A230" t="str">
            <v>Cây thị đường kính gốc 9cm ≤ Φ &lt; 12cm</v>
          </cell>
        </row>
        <row r="231">
          <cell r="A231" t="str">
            <v xml:space="preserve">Cây thị đường kính gốc 12cm ≤ Φ &lt; 15cm </v>
          </cell>
        </row>
        <row r="232">
          <cell r="A232" t="str">
            <v>Cây thị đường kính gốc 15cm ≤ Φ &lt; 20cm</v>
          </cell>
        </row>
        <row r="233">
          <cell r="A233" t="str">
            <v>Cây thị đường kính gốc 20cm ≤ Φ &lt; 25cm</v>
          </cell>
        </row>
        <row r="234">
          <cell r="A234" t="str">
            <v>Cây thị đường kính gốc 25cm ≤ Φ &lt; 35cm</v>
          </cell>
        </row>
        <row r="235">
          <cell r="A235" t="str">
            <v>Cây thị đường kính gốc 35cm ≤ Φ &lt; 50cm</v>
          </cell>
        </row>
        <row r="236">
          <cell r="A236" t="str">
            <v>Cây thị đường kính gốc Φ ≥ 50cm</v>
          </cell>
        </row>
        <row r="237">
          <cell r="A237" t="str">
            <v>Dừa (tính theo đường kính gốc F)</v>
          </cell>
        </row>
        <row r="238">
          <cell r="A238" t="str">
            <v>Cây dừa giống đủ tiêu chuẩn mới trồng</v>
          </cell>
        </row>
        <row r="239">
          <cell r="A239" t="str">
            <v>Cây dừa đường kính gốc 7cm ≤ Φ &lt; 9cm</v>
          </cell>
        </row>
        <row r="240">
          <cell r="A240" t="str">
            <v>Cây dừa đường kính gốc 9cm ≤ Φ &lt; 12cm</v>
          </cell>
        </row>
        <row r="241">
          <cell r="A241" t="str">
            <v>Cây dừa đường kính gốc 12cm ≤ Φ &lt; 15cm</v>
          </cell>
        </row>
        <row r="242">
          <cell r="A242" t="str">
            <v>Cây dừa đường kính gốc 15cm ≤ Φ &lt; 20cm</v>
          </cell>
        </row>
        <row r="243">
          <cell r="A243" t="str">
            <v>Cây dừa đường kính gốc 20cm ≤ Φ &lt; 25cm</v>
          </cell>
        </row>
        <row r="244">
          <cell r="A244" t="str">
            <v>Cây dừa đường kính gốc 25cm ≤ Φ &lt; 30cm</v>
          </cell>
        </row>
        <row r="245">
          <cell r="A245" t="str">
            <v>Cây dừa đường kính gốc 30cm ≤ Φ &lt; 35cm</v>
          </cell>
        </row>
        <row r="246">
          <cell r="A246" t="str">
            <v>Cây dừa đường kính gốc 35cm ≤ Φ &lt; 50cm</v>
          </cell>
        </row>
        <row r="247">
          <cell r="A247" t="str">
            <v>Cây dừa đường kính gốc Φ ≥ 50cm</v>
          </cell>
        </row>
        <row r="248">
          <cell r="A248" t="str">
            <v>Na (tính theo đường kính gốc F)</v>
          </cell>
        </row>
        <row r="249">
          <cell r="A249" t="str">
            <v>Cây na giống đủ tiêu chuẩn mới trồng, chiều cao cây H ≥ 40cm</v>
          </cell>
        </row>
        <row r="250">
          <cell r="A250" t="str">
            <v>Cây na đường kính gốc 1cm ≤ Φ &lt; 2cm</v>
          </cell>
        </row>
        <row r="251">
          <cell r="A251" t="str">
            <v>Cây na đường kính gốc 2cm ≤ Φ &lt; 5cm</v>
          </cell>
        </row>
        <row r="252">
          <cell r="A252" t="str">
            <v>Cây na đường kính gốc 5cm ≤ Φ &lt; 7cm</v>
          </cell>
        </row>
        <row r="253">
          <cell r="A253" t="str">
            <v xml:space="preserve">Cây na đường kính gốc 7cm ≤ Φ &lt; 9cm </v>
          </cell>
        </row>
        <row r="254">
          <cell r="A254" t="str">
            <v>Cây na đường kính gốc 9cm ≤ Φ &lt; 12cm</v>
          </cell>
        </row>
        <row r="255">
          <cell r="A255" t="str">
            <v>Cây na đường kính gốc 12cm ≤ Φ &lt; 15cm</v>
          </cell>
        </row>
        <row r="256">
          <cell r="A256" t="str">
            <v>Cây na đường kính gốc Φ ≥ 15cm</v>
          </cell>
        </row>
        <row r="257">
          <cell r="A257" t="str">
            <v>Dâu da (tính theo đường kính gốc F)</v>
          </cell>
        </row>
        <row r="258">
          <cell r="A258" t="str">
            <v>Cây dâu da giống đủ tiêu chuẩn mới trồng, chiều cao cây H ≥ 40cm</v>
          </cell>
        </row>
        <row r="259">
          <cell r="A259" t="str">
            <v>Cây dâu da đường kính gốc 1cm ≤ Φ &lt; 2cm</v>
          </cell>
        </row>
        <row r="260">
          <cell r="A260" t="str">
            <v>Cây dâu da đường kính gốc 2cm ≤ Φ &lt; 5cm</v>
          </cell>
        </row>
        <row r="261">
          <cell r="A261" t="str">
            <v>Cây dâu da đường kính gốc 5cm ≤ Φ &lt; 7cm</v>
          </cell>
        </row>
        <row r="262">
          <cell r="A262" t="str">
            <v>Cây dâu da đường kính gốc 7cm ≤ Φ &lt; 9cm</v>
          </cell>
        </row>
        <row r="263">
          <cell r="A263" t="str">
            <v>Cây dâu da đường kính gốc 9cm ≤ Φ &lt; 12cm</v>
          </cell>
        </row>
        <row r="264">
          <cell r="A264" t="str">
            <v>Cây dâu da đường kính gốc 12cm ≤ Φ &lt; 15cm</v>
          </cell>
        </row>
        <row r="265">
          <cell r="A265" t="str">
            <v>Cây dâu da đường kính gốc 15cm ≤ Φ &lt; 20cm</v>
          </cell>
        </row>
        <row r="266">
          <cell r="A266" t="str">
            <v>Cây dâu da đường kính gốc 20cm ≤ Φ &lt; 25cm</v>
          </cell>
        </row>
        <row r="267">
          <cell r="A267" t="str">
            <v>Cây dâu da đường kính gốc 25cm ≤ Φ &lt; 35cm</v>
          </cell>
        </row>
        <row r="268">
          <cell r="A268" t="str">
            <v>Cây dâu da đường kính gốc 35cm ≤ Φ &lt; 50cm</v>
          </cell>
        </row>
        <row r="269">
          <cell r="A269" t="str">
            <v>Cây dâu da đường kính gốc Φ ≥ 50cm</v>
          </cell>
        </row>
        <row r="270">
          <cell r="A270" t="str">
            <v xml:space="preserve">Bồ kết (tính theo đường kính gốc F) </v>
          </cell>
        </row>
        <row r="271">
          <cell r="A271" t="str">
            <v>Cây bồ kết giống đủ tiêu chuẩn mới trồng, chiều cao cây H ≥ 40cm</v>
          </cell>
        </row>
        <row r="272">
          <cell r="A272" t="str">
            <v>Cây bồ kết đường kính gốc 1cm ≤ Φ &lt; 2cm</v>
          </cell>
        </row>
        <row r="273">
          <cell r="A273" t="str">
            <v>Cây bồ kết đường kính gốc 2cm ≤ Φ &lt; 5cm</v>
          </cell>
        </row>
        <row r="274">
          <cell r="A274" t="str">
            <v>Cây bồ kết đường kính gốc 5cm ≤ Φ &lt; 7cm</v>
          </cell>
        </row>
        <row r="275">
          <cell r="A275" t="str">
            <v>Cây bồ kết đường kính gốc 7cm ≤ Φ &lt; 9cm</v>
          </cell>
        </row>
        <row r="276">
          <cell r="A276" t="str">
            <v>Cây bồ kết đường kính gốc 9cm ≤ Φ &lt; 12cm</v>
          </cell>
        </row>
        <row r="277">
          <cell r="A277" t="str">
            <v>Cây bồ kết đường kính gốc 12cm ≤ Φ &lt; 15cm</v>
          </cell>
        </row>
        <row r="278">
          <cell r="A278" t="str">
            <v>Cây bồ kết đường kính gốc 15cm ≤ Φ &lt; 20cm</v>
          </cell>
        </row>
        <row r="279">
          <cell r="A279" t="str">
            <v>Cây bồ kết đường kính gốc 20cm ≤ Φ &lt; 25cm</v>
          </cell>
        </row>
        <row r="280">
          <cell r="A280" t="str">
            <v>Cây bồ kết đường kính gốc 25cm ≤ Φ &lt; 30cm</v>
          </cell>
        </row>
        <row r="281">
          <cell r="A281" t="str">
            <v>Cây bồ kết đường kính gốc 30cm ≤ Φ &lt; 35cm</v>
          </cell>
        </row>
        <row r="282">
          <cell r="A282" t="str">
            <v>Cây bồ kết đường kính gốc 35cm ≤ Φ &lt; 50cm</v>
          </cell>
        </row>
        <row r="283">
          <cell r="A283" t="str">
            <v>Cây bồ kết đường kính gốc Φ ≥ 50cm</v>
          </cell>
        </row>
        <row r="284">
          <cell r="A284" t="str">
            <v>Trứng gà (tính theo đường kính gốc F)</v>
          </cell>
        </row>
        <row r="285">
          <cell r="A285" t="str">
            <v>Cây trứng gà giống đủ tiêu chuẩn mới trồng, chiều cao cây H ≥ 40cm</v>
          </cell>
        </row>
        <row r="286">
          <cell r="A286" t="str">
            <v>Cây trứng gà đường kính gốc 1cm ≤ Φ &lt; 2cm</v>
          </cell>
        </row>
        <row r="287">
          <cell r="A287" t="str">
            <v>Cây trứng gà đường kính gốc 2cm ≤ Φ &lt; 5cm</v>
          </cell>
        </row>
        <row r="288">
          <cell r="A288" t="str">
            <v>Cây trứng gà đường kính gốc 5cm ≤ Φ &lt; 7cm</v>
          </cell>
        </row>
        <row r="289">
          <cell r="A289" t="str">
            <v>Cây trứng gà đường kính gốc 7cm ≤ Φ &lt; 9cm</v>
          </cell>
        </row>
        <row r="290">
          <cell r="A290" t="str">
            <v>Cây trứng gà đường kính gốc 9cm ≤ Φ &lt; 12cm</v>
          </cell>
        </row>
        <row r="291">
          <cell r="A291" t="str">
            <v>Cây trứng gà đường kính gốc 12cm ≤ Φ &lt; 15cm</v>
          </cell>
        </row>
        <row r="292">
          <cell r="A292" t="str">
            <v>Cây trứng gà đường kính gốc 15cm ≤ Φ &lt; 20cm</v>
          </cell>
        </row>
        <row r="293">
          <cell r="A293" t="str">
            <v>Cây trứng gà đường kính gốc 20cm ≤ Φ &lt; 25cm</v>
          </cell>
        </row>
        <row r="294">
          <cell r="A294" t="str">
            <v>Cây trứng gà đường kính gốc 25cm ≤ Φ &lt; 30cm</v>
          </cell>
        </row>
        <row r="295">
          <cell r="A295" t="str">
            <v>Cây trứng gà đường kính gốc 30cm ≤ Φ &lt; 35cm</v>
          </cell>
        </row>
        <row r="296">
          <cell r="A296" t="str">
            <v>Cây trứng gà đường kính gốc Φ ≥ 35cm</v>
          </cell>
        </row>
        <row r="297">
          <cell r="A297" t="str">
            <v>Táo (tính theo đường kính gốc F)</v>
          </cell>
        </row>
        <row r="298">
          <cell r="A298" t="str">
            <v>Cây giống đủ tiêu chuẩn mới trồng</v>
          </cell>
        </row>
        <row r="299">
          <cell r="A299" t="str">
            <v xml:space="preserve">Cây táo loại cây ghép có chiều cao cây 40cm ≤ H &lt; 1m  </v>
          </cell>
        </row>
        <row r="300">
          <cell r="A300" t="str">
            <v xml:space="preserve">Cây táo loại cây ghép có chiều cao cây  H ≥ 1m  </v>
          </cell>
        </row>
        <row r="301">
          <cell r="A301" t="str">
            <v>Cây táo đường kính gốc 1cm ≤ Φ &lt; 2cm</v>
          </cell>
        </row>
        <row r="302">
          <cell r="A302" t="str">
            <v>Cây táo đường kính gốc 2cm ≤ Φ &lt; 5cm</v>
          </cell>
        </row>
        <row r="303">
          <cell r="A303" t="str">
            <v>Cây táo đường kính gốc 5cm ≤ Φ &lt; 7cm</v>
          </cell>
        </row>
        <row r="304">
          <cell r="A304" t="str">
            <v>Cây táo đường kính gốc 7cm ≤ Φ &lt; 9cm</v>
          </cell>
        </row>
        <row r="305">
          <cell r="A305" t="str">
            <v>Cây táo đường kính gốc 9cm ≤ Φ &lt; 12cm</v>
          </cell>
        </row>
        <row r="306">
          <cell r="A306" t="str">
            <v>Cây táo đường kính gốc 12cm ≤ Φ &lt; 15cm</v>
          </cell>
        </row>
        <row r="307">
          <cell r="A307" t="str">
            <v>Cây táo đường kính gốc 15cm ≤ Φ &lt; 20cm</v>
          </cell>
        </row>
        <row r="308">
          <cell r="A308" t="str">
            <v>Cây táo đường kính gốc 20cm ≤ Φ &lt; 25cm</v>
          </cell>
        </row>
        <row r="309">
          <cell r="A309" t="str">
            <v>Cây táo đường kính gốc Φ ≥ 25cm</v>
          </cell>
        </row>
        <row r="310">
          <cell r="A310" t="str">
            <v>Ổi (tính theo đường kính gốc F)</v>
          </cell>
        </row>
        <row r="311">
          <cell r="A311" t="str">
            <v>Cây giống đủ tiêu chuẩn mới trồng</v>
          </cell>
        </row>
        <row r="312">
          <cell r="A312" t="str">
            <v xml:space="preserve">Cây ổi loại cây ghép có chiều cao cây 40cm ≤ H &lt; 1m </v>
          </cell>
        </row>
        <row r="313">
          <cell r="A313" t="str">
            <v xml:space="preserve">Cây ổi loại cây ghép có chiều cao cây  H ≥ 1m  </v>
          </cell>
        </row>
        <row r="314">
          <cell r="A314" t="str">
            <v xml:space="preserve">Cây ổi loại cây chiết có chiều cao cây 40cm ≤ H &lt; 1m  </v>
          </cell>
        </row>
        <row r="315">
          <cell r="A315" t="str">
            <v>Cây ổi đường kính gốc 1cm ≤ Φ &lt; 2cm</v>
          </cell>
        </row>
        <row r="316">
          <cell r="A316" t="str">
            <v>Cây ổi đường kính gốc 2cm ≤ Φ &lt; 5cm</v>
          </cell>
        </row>
        <row r="317">
          <cell r="A317" t="str">
            <v>Cây ổi đường kính gốc 5cm ≤ Φ &lt; 7cm</v>
          </cell>
        </row>
        <row r="318">
          <cell r="A318" t="str">
            <v>Cây ổi đường kính gốc 7cm ≤ Φ &lt; 9cm</v>
          </cell>
        </row>
        <row r="319">
          <cell r="A319" t="str">
            <v>Cây ổi đường kính gốc 9cm ≤ Φ &lt; 12cm</v>
          </cell>
        </row>
        <row r="320">
          <cell r="A320" t="str">
            <v>Cây ổi đường kính gốc 12cm ≤ Φ &lt; 15cm</v>
          </cell>
        </row>
        <row r="321">
          <cell r="A321" t="str">
            <v>Cây ổi đường kính gốc 15cm ≤ Φ &lt; 20cm</v>
          </cell>
        </row>
        <row r="322">
          <cell r="A322" t="str">
            <v>Cây ổi đường kính gốc 20cm ≤ Φ &lt; 25cm</v>
          </cell>
        </row>
        <row r="323">
          <cell r="A323" t="str">
            <v>Cây ổi đường kính gốc Φ ≥ 25cm</v>
          </cell>
        </row>
        <row r="324">
          <cell r="A324" t="str">
            <v>Chay (tính theo đường kính gốc F)</v>
          </cell>
        </row>
        <row r="325">
          <cell r="A325" t="str">
            <v>Cây chay giống đủ tiêu chuẩn mới trồng, chiều cao cây H ≥ 40cm</v>
          </cell>
        </row>
        <row r="326">
          <cell r="A326" t="str">
            <v>Cây chay đường kính gốc 1cm ≤ Φ &lt; 2cm</v>
          </cell>
        </row>
        <row r="327">
          <cell r="A327" t="str">
            <v>Cây chay đường kính gốc 2cm ≤ Φ &lt; 5cm</v>
          </cell>
        </row>
        <row r="328">
          <cell r="A328" t="str">
            <v>Cây chay đường kính gốc 5cm ≤ Φ &lt; 7cm</v>
          </cell>
        </row>
        <row r="329">
          <cell r="A329" t="str">
            <v>Cây chay đường kính gốc 7cm ≤ Φ &lt; 9cm</v>
          </cell>
        </row>
        <row r="330">
          <cell r="A330" t="str">
            <v>Cây chay đường kính gốc 9cm ≤ Φ &lt; 12cm</v>
          </cell>
        </row>
        <row r="331">
          <cell r="A331" t="str">
            <v>Cây chay đường kính gốc 12cm ≤ Φ &lt; 15cm</v>
          </cell>
        </row>
        <row r="332">
          <cell r="A332" t="str">
            <v>Cây chay đường kính gốc 15cm ≤ Φ &lt; 20cm</v>
          </cell>
        </row>
        <row r="333">
          <cell r="A333" t="str">
            <v>Cây chay đường kính gốc 20cm ≤ Φ &lt; 30cm</v>
          </cell>
        </row>
        <row r="334">
          <cell r="A334" t="str">
            <v>Cây chay đường kính gốc 30cm ≤ Φ &lt; 50cm</v>
          </cell>
        </row>
        <row r="335">
          <cell r="A335" t="str">
            <v>Cây chay đường kính gốc Φ ≥ 50cm</v>
          </cell>
        </row>
        <row r="336">
          <cell r="A336" t="str">
            <v xml:space="preserve">Khế (tính theo đường kính gốc F) </v>
          </cell>
        </row>
        <row r="337">
          <cell r="A337" t="str">
            <v>Cây giống đủ tiêu chuẩn mới trồng</v>
          </cell>
        </row>
        <row r="338">
          <cell r="A338" t="str">
            <v xml:space="preserve">Cây khế loại cây ghép có chiều cao cây 40cm ≤ H &lt; 1m  </v>
          </cell>
        </row>
        <row r="339">
          <cell r="A339" t="str">
            <v xml:space="preserve">Cây khế loại cây ghép có chiều cao cây  H ≥ 1m  </v>
          </cell>
        </row>
        <row r="340">
          <cell r="A340" t="str">
            <v>Cây khế đường kính gốc 1cm ≤ Φ &lt; 2cm</v>
          </cell>
        </row>
        <row r="341">
          <cell r="A341" t="str">
            <v>Cây khế đường kính gốc 2cm ≤ Φ &lt; 5cm</v>
          </cell>
        </row>
        <row r="342">
          <cell r="A342" t="str">
            <v>Cây khế đường kính gốc 5cm ≤ Φ &lt; 7cm</v>
          </cell>
        </row>
        <row r="343">
          <cell r="A343" t="str">
            <v>Cây khế đường kính gốc 7cm ≤ Φ &lt; 9cm</v>
          </cell>
        </row>
        <row r="344">
          <cell r="A344" t="str">
            <v>Cây khế đường kính gốc 9cm ≤ Φ &lt; 12cm</v>
          </cell>
        </row>
        <row r="345">
          <cell r="A345" t="str">
            <v>Cây khế đường kính gốc 12cm ≤ Φ &lt; 15cm</v>
          </cell>
        </row>
        <row r="346">
          <cell r="A346" t="str">
            <v>Cây khế đường kính gốc 15cm ≤ Φ &lt; 20cm</v>
          </cell>
        </row>
        <row r="347">
          <cell r="A347" t="str">
            <v>Cây khế đường kính gốc 20cm ≤ Φ &lt; 25cm</v>
          </cell>
        </row>
        <row r="348">
          <cell r="A348" t="str">
            <v>Cây khế đường kính gốc  Φ ≥ 25cm</v>
          </cell>
        </row>
        <row r="349">
          <cell r="A349" t="str">
            <v xml:space="preserve">Me (tính theo đường kính gốc F) </v>
          </cell>
        </row>
        <row r="350">
          <cell r="A350" t="str">
            <v xml:space="preserve">Cây me giống đủ tiêu chuẩn mới trồng, chiều cao cây H ≥ 40cm </v>
          </cell>
        </row>
        <row r="351">
          <cell r="A351" t="str">
            <v>Cây me đường kính gốc 1cm ≤ Φ &lt; 2cm</v>
          </cell>
        </row>
        <row r="352">
          <cell r="A352" t="str">
            <v>Cây me đường kính gốc 2cm ≤ Φ &lt; 5cm</v>
          </cell>
        </row>
        <row r="353">
          <cell r="A353" t="str">
            <v>Cây me đường kính gốc 5cm ≤ Φ &lt; 7cm</v>
          </cell>
        </row>
        <row r="354">
          <cell r="A354" t="str">
            <v>Cây me đường kính gốc 7cm ≤ Φ &lt; 9cm</v>
          </cell>
        </row>
        <row r="355">
          <cell r="A355" t="str">
            <v>Cây me đường kính gốc 9cm ≤ Φ &lt; 12cm</v>
          </cell>
        </row>
        <row r="356">
          <cell r="A356" t="str">
            <v>Cây me đường kính gốc 12cm ≤ Φ &lt; 15cm</v>
          </cell>
        </row>
        <row r="357">
          <cell r="A357" t="str">
            <v>Cây me đường kính gốc 15cm ≤ Φ &lt; 20cm</v>
          </cell>
        </row>
        <row r="358">
          <cell r="A358" t="str">
            <v>Cây me đường kính gốc 20cm ≤ Φ &lt; 25cm</v>
          </cell>
        </row>
        <row r="359">
          <cell r="A359" t="str">
            <v>Cây me đường kính gốc 25cm ≤ Φ &lt; 30cm</v>
          </cell>
        </row>
        <row r="360">
          <cell r="A360" t="str">
            <v>Cây me đường kính gốc 30cm ≤ Φ &lt; 35cm</v>
          </cell>
        </row>
        <row r="361">
          <cell r="A361" t="str">
            <v>Cây me đường kính gốc 35cm ≤ Φ &lt; 50cm</v>
          </cell>
        </row>
        <row r="362">
          <cell r="A362" t="str">
            <v>Cây me đường kính gốc Φ ≥ 50cm</v>
          </cell>
        </row>
        <row r="363">
          <cell r="A363" t="str">
            <v>Mơ, mận (tính theo đường kính gốc F)</v>
          </cell>
        </row>
        <row r="364">
          <cell r="A364" t="str">
            <v>Cây mơ, mận giống đủ tiêu chuẩn mới trồng, chiều cao cây H ≥ 40cm</v>
          </cell>
        </row>
        <row r="365">
          <cell r="A365" t="str">
            <v>Cây mơ, mận đường kính gốc 1cm ≤ Φ &lt; 2cm</v>
          </cell>
        </row>
        <row r="366">
          <cell r="A366" t="str">
            <v>Cây mơ, mận đường kính gốc 2cm ≤ Φ &lt; 5cm</v>
          </cell>
        </row>
        <row r="367">
          <cell r="A367" t="str">
            <v>Cây mơ, mận đường kính gốc 5cm ≤ Φ &lt; 7cm</v>
          </cell>
        </row>
        <row r="368">
          <cell r="A368" t="str">
            <v>Cây mơ, mận đường kính gốc 7cm ≤ Φ &lt; 9cm</v>
          </cell>
        </row>
        <row r="369">
          <cell r="A369" t="str">
            <v>Cây mơ, mận đường kính gốc 9cm ≤ Φ &lt; 12cm</v>
          </cell>
        </row>
        <row r="370">
          <cell r="A370" t="str">
            <v>Cây mơ, mận đường kính gốc 12cm ≤ Φ &lt; 15cm</v>
          </cell>
        </row>
        <row r="371">
          <cell r="A371" t="str">
            <v>Cây mơ, mận đường kính gốc 15cm ≤ Φ &lt; 20cm</v>
          </cell>
        </row>
        <row r="372">
          <cell r="A372" t="str">
            <v>Cây mơ, mận đường kính gốc 20cm ≤ Φ &lt; 25cm</v>
          </cell>
        </row>
        <row r="373">
          <cell r="A373" t="str">
            <v>Cây mơ, mận đường kính gốc Φ ≥ 25cm</v>
          </cell>
        </row>
        <row r="374">
          <cell r="A374" t="str">
            <v xml:space="preserve">Cau ăn quả (tính theo đường kính gốc F) </v>
          </cell>
        </row>
        <row r="375">
          <cell r="A375" t="str">
            <v>Cây cau giống đủ tiêu chuẩn mới trồng, chiều cao cây H ≥ 40cm</v>
          </cell>
        </row>
        <row r="376">
          <cell r="A376" t="str">
            <v>Cây cau đường kính gốc 1cm ≤ Φ &lt; 2cm</v>
          </cell>
        </row>
        <row r="377">
          <cell r="A377" t="str">
            <v>Cây cau đường kính gốc 2cm ≤ Φ &lt; 5cm</v>
          </cell>
        </row>
        <row r="378">
          <cell r="A378" t="str">
            <v>Cây cau đường kính gốc 5cm ≤ Φ &lt; 7cm</v>
          </cell>
        </row>
        <row r="379">
          <cell r="A379" t="str">
            <v>Cây cau đường kính gốc 7cm ≤ Φ &lt; 9cm</v>
          </cell>
        </row>
        <row r="380">
          <cell r="A380" t="str">
            <v>Cây cau đường kính gốc 9cm ≤ Φ &lt; 12cm</v>
          </cell>
        </row>
        <row r="381">
          <cell r="A381" t="str">
            <v>Cây cau đường kính gốc 12cm ≤ Φ &lt; 15cm</v>
          </cell>
        </row>
        <row r="382">
          <cell r="A382" t="str">
            <v>Cây cau đường kính gốc 15cm ≤ Φ &lt; 20cm</v>
          </cell>
        </row>
        <row r="383">
          <cell r="A383" t="str">
            <v>Cây cau đường kính gốc Φ ≥ 20cm</v>
          </cell>
        </row>
        <row r="384">
          <cell r="A384" t="str">
            <v xml:space="preserve">Vú sữa (tính theo đường kính gốc F) </v>
          </cell>
        </row>
        <row r="385">
          <cell r="A385" t="str">
            <v>Cây vú sữa giống đủ tiêu chuẩn mới trồng, chiều cao cây H ≥ 40cm</v>
          </cell>
        </row>
        <row r="386">
          <cell r="A386" t="str">
            <v>Cây vú sữa đường kính gốc 1cm ≤ Φ &lt; 2cm</v>
          </cell>
        </row>
        <row r="387">
          <cell r="A387" t="str">
            <v>Cây vú sữa đường kính gốc 2cm ≤ Φ &lt; 5cm</v>
          </cell>
        </row>
        <row r="388">
          <cell r="A388" t="str">
            <v>Cây vú sữa đường kính gốc 5cm ≤ Φ &lt; 7cm</v>
          </cell>
        </row>
        <row r="389">
          <cell r="A389" t="str">
            <v>Cây vú sữa đường kính gốc 7cm ≤ Φ &lt; 9cm</v>
          </cell>
        </row>
        <row r="390">
          <cell r="A390" t="str">
            <v>Cây vú sữa đường kính gốc 9cm ≤ Φ &lt; 12cm</v>
          </cell>
        </row>
        <row r="391">
          <cell r="A391" t="str">
            <v>Cây vú sữa đường kính gốc 12cm ≤ Φ &lt; 15cm</v>
          </cell>
        </row>
        <row r="392">
          <cell r="A392" t="str">
            <v>Cây vú sữa đường kính gốc 15cm ≤ Φ &lt; 20cm</v>
          </cell>
        </row>
        <row r="393">
          <cell r="A393" t="str">
            <v>Cây vú sữa đường kính gốc 20cm ≤ Φ &lt; 25cm</v>
          </cell>
        </row>
        <row r="394">
          <cell r="A394" t="str">
            <v>Cây vú sữa đường kính gốc 25cm ≤ Φ &lt; 30cm</v>
          </cell>
        </row>
        <row r="395">
          <cell r="A395" t="str">
            <v>Cây vú sữa đường kính gốc 30cm ≤ Φ &lt; 35cm</v>
          </cell>
        </row>
        <row r="396">
          <cell r="A396" t="str">
            <v>Cây vú sữa đường kính gốc 35cm ≤ Φ &lt; 50cm</v>
          </cell>
        </row>
        <row r="397">
          <cell r="A397" t="str">
            <v>Cây vú sữa đường kính gốc Φ ≥ 50cm</v>
          </cell>
        </row>
        <row r="398">
          <cell r="A398" t="str">
            <v>Đu đủ (tính theo đường kính gốc F)</v>
          </cell>
        </row>
        <row r="399">
          <cell r="A399" t="str">
            <v xml:space="preserve">Cây đu đủ giống đủ tiêu chuẩn mới trồng, chiều cao cây H ≥ 40cm </v>
          </cell>
        </row>
        <row r="400">
          <cell r="A400" t="str">
            <v>Cây đu đủ đường kính gốc 2cm ≤ Φ &lt; 5cm</v>
          </cell>
        </row>
        <row r="401">
          <cell r="A401" t="str">
            <v>Cây đu đủ đường kính gốc 5cm ≤ Φ &lt; 9cm</v>
          </cell>
        </row>
        <row r="402">
          <cell r="A402" t="str">
            <v>Cây đu đủ đường kính gốc 9cm ≤ Φ &lt; 12cm</v>
          </cell>
        </row>
        <row r="403">
          <cell r="A403" t="str">
            <v>Cây đu đủ đường kính gốc 12cm ≤ Φ &lt; 15cm</v>
          </cell>
        </row>
        <row r="404">
          <cell r="A404" t="str">
            <v>Cây đu đủ đường kính gốc 15cm ≤ Φ &lt; 20cm</v>
          </cell>
        </row>
        <row r="405">
          <cell r="A405" t="str">
            <v>Cây đu đủ đường kính gốc Φ ≥ 20cm</v>
          </cell>
        </row>
        <row r="406">
          <cell r="A406" t="str">
            <v xml:space="preserve">Roi (tính theo đường kính tán F) </v>
          </cell>
        </row>
        <row r="407">
          <cell r="A407" t="str">
            <v>Cây roi giống đủ tiêu chuẩn mới trồng</v>
          </cell>
        </row>
        <row r="408">
          <cell r="A408" t="str">
            <v>Cây roi đường kính tán 0,7m ≤ Φ &lt; 1m</v>
          </cell>
        </row>
        <row r="409">
          <cell r="A409" t="str">
            <v>Cây roi đường kính tán 1m ≤ Φ &lt; 1,5m</v>
          </cell>
        </row>
        <row r="410">
          <cell r="A410" t="str">
            <v>Cây roi đường kính tán 1,5m ≤ Φ &lt; 2m</v>
          </cell>
        </row>
        <row r="411">
          <cell r="A411" t="str">
            <v>Cây roi đường kính tán 2m ≤ Φ &lt; 3m</v>
          </cell>
        </row>
        <row r="412">
          <cell r="A412" t="str">
            <v>Cây roi đường kính tán 3m ≤ Φ &lt; 4m</v>
          </cell>
        </row>
        <row r="413">
          <cell r="A413" t="str">
            <v>Cây roi đường kính tán 4m ≤ Φ &lt; 5m</v>
          </cell>
        </row>
        <row r="414">
          <cell r="A414" t="str">
            <v>Cây roi đường kính tán 5m ≤ Φ &lt; 6m</v>
          </cell>
        </row>
        <row r="415">
          <cell r="A415" t="str">
            <v>Cây roi đường kính tán 6m ≤ Φ &lt; 7m</v>
          </cell>
        </row>
        <row r="416">
          <cell r="A416" t="str">
            <v>Cây roi đường kính tán 7m ≤ Φ &lt; 8m</v>
          </cell>
        </row>
        <row r="417">
          <cell r="A417" t="str">
            <v>Cây roi đường kính tán 8m ≤ Φ &lt; 9m</v>
          </cell>
        </row>
        <row r="418">
          <cell r="A418" t="str">
            <v>Cây roi đường kính tán 9m ≤ Φ &lt; 12m</v>
          </cell>
        </row>
        <row r="419">
          <cell r="A419" t="str">
            <v>Cây roi đường kính tán Φ ≥ 12m</v>
          </cell>
        </row>
        <row r="420">
          <cell r="A420" t="str">
            <v>Sấu (tính theo đường kính gốc F)</v>
          </cell>
        </row>
        <row r="421">
          <cell r="A421" t="str">
            <v>Cây sấu giống đủ tiêu chuẩn mới trồng, chiều cao cây H ≥ 40cm</v>
          </cell>
        </row>
        <row r="422">
          <cell r="A422" t="str">
            <v>Cây sấu đường kính gốc 1cm ≤ Φ &lt; 2cm</v>
          </cell>
        </row>
        <row r="423">
          <cell r="A423" t="str">
            <v>Cây sấu đường kính gốc 2cm ≤ Φ &lt; 5cm</v>
          </cell>
        </row>
        <row r="424">
          <cell r="A424" t="str">
            <v>Cây sấu đường kính gốc 5cm ≤ Φ &lt; 7cm</v>
          </cell>
        </row>
        <row r="425">
          <cell r="A425" t="str">
            <v>Cây sấu đường kính gốc 7cm ≤ Φ &lt; 9cm</v>
          </cell>
        </row>
        <row r="426">
          <cell r="A426" t="str">
            <v>Cây sấu đường kính gốc 9cm ≤ Φ &lt; 12cm</v>
          </cell>
        </row>
        <row r="427">
          <cell r="A427" t="str">
            <v>Cây sấu đường kính gốc 12cm ≤ Φ &lt; 15cm</v>
          </cell>
        </row>
        <row r="428">
          <cell r="A428" t="str">
            <v>Cây sấu đường kính gốc 15cm ≤ Φ &lt; 20cm</v>
          </cell>
        </row>
        <row r="429">
          <cell r="A429" t="str">
            <v>Cây sấu đường kính gốc 20cm ≤ Φ &lt; 25cm</v>
          </cell>
        </row>
        <row r="430">
          <cell r="A430" t="str">
            <v>Cây sấu đường kính gốc 25cm ≤ Φ &lt; 30cm</v>
          </cell>
        </row>
        <row r="431">
          <cell r="A431" t="str">
            <v>Cây sấu đường kính gốc 30cm ≤ Φ &lt; 35cm</v>
          </cell>
        </row>
        <row r="432">
          <cell r="A432" t="str">
            <v>Cây sấu đường kính gốc 35cm ≤ Φ &lt; 50cm</v>
          </cell>
        </row>
        <row r="433">
          <cell r="A433" t="str">
            <v>Cây sấu đường kính gốc Φ ≥ 50cm</v>
          </cell>
        </row>
        <row r="434">
          <cell r="A434" t="str">
            <v>Trứng cá (tính theo đường kính gốc F)</v>
          </cell>
        </row>
        <row r="435">
          <cell r="A435" t="str">
            <v>Cây trứng cá giống đủ tiêu chuẩn mới trồng, chiều cao cây H ≥ 40cm</v>
          </cell>
        </row>
        <row r="436">
          <cell r="A436" t="str">
            <v xml:space="preserve">Cây trứng cá đường kính gốc 1cm ≤ Φ &lt; 2cm </v>
          </cell>
        </row>
        <row r="437">
          <cell r="A437" t="str">
            <v>Cây trứng cá đường kính gốc 2cm ≤ Φ &lt; 5cm</v>
          </cell>
        </row>
        <row r="438">
          <cell r="A438" t="str">
            <v>Cây trứng cá đường kính gốc 5cm ≤ Φ &lt; 7cm</v>
          </cell>
        </row>
        <row r="439">
          <cell r="A439" t="str">
            <v>Cây trứng cá đường kính gốc 7cm ≤ Φ &lt; 9cm</v>
          </cell>
        </row>
        <row r="440">
          <cell r="A440" t="str">
            <v>Cây trứng cá đường kính gốc 9cm ≤ Φ &lt; 12cm</v>
          </cell>
        </row>
        <row r="441">
          <cell r="A441" t="str">
            <v>Cây trứng cá đường kính gốc 12cm ≤ Φ &lt; 15cm</v>
          </cell>
        </row>
        <row r="442">
          <cell r="A442" t="str">
            <v>Cây trứng cá đường kính gốc 15cm ≤ Φ &lt; 20cm</v>
          </cell>
        </row>
        <row r="443">
          <cell r="A443" t="str">
            <v>Cây trứng cá đường kính gốc 20cm ≤ Φ &lt; 25cm</v>
          </cell>
        </row>
        <row r="444">
          <cell r="A444" t="str">
            <v>Cây trứng cá đường kính gốc 25cm ≤ Φ &lt; 30cm</v>
          </cell>
        </row>
        <row r="445">
          <cell r="A445" t="str">
            <v>Cây trứng cá đường kính gốc 30cm ≤ Φ &lt; 35cm</v>
          </cell>
        </row>
        <row r="446">
          <cell r="A446" t="str">
            <v>Cây trứng cá đường kính gốc Φ ≥ 35cm</v>
          </cell>
        </row>
        <row r="447">
          <cell r="A447" t="str">
            <v>Sung (tính theo đường kính gốc F)</v>
          </cell>
        </row>
        <row r="448">
          <cell r="A448" t="str">
            <v xml:space="preserve">Cây sung giống đủ tiêu chuẩn mới trồng, chiều cao cây H ≥ 40cm  </v>
          </cell>
        </row>
        <row r="449">
          <cell r="A449" t="str">
            <v>Cây sung đường kính gốc 1cm ≤ Φ &lt; 5cm</v>
          </cell>
        </row>
        <row r="450">
          <cell r="A450" t="str">
            <v>Cây sung đường kính gốc 5cm ≤ Φ &lt; 10cm</v>
          </cell>
        </row>
        <row r="451">
          <cell r="A451" t="str">
            <v xml:space="preserve">Cây sung đường kính gốc 10cm ≤ Φ &lt; 15cm  </v>
          </cell>
        </row>
        <row r="452">
          <cell r="A452" t="str">
            <v>Cây sung đường kính gốc 15cm ≤ Φ &lt; 20cm</v>
          </cell>
        </row>
        <row r="453">
          <cell r="A453" t="str">
            <v>Cây sung đường kính gốc 20cm ≤ Φ &lt; 25cm</v>
          </cell>
        </row>
        <row r="454">
          <cell r="A454" t="str">
            <v>Cây sung đường kính gốc 25cm ≤ Φ &lt; 30cm</v>
          </cell>
        </row>
        <row r="455">
          <cell r="A455" t="str">
            <v>Cây sung đường kính gốc 30cm ≤ Φ &lt; 35cm</v>
          </cell>
        </row>
        <row r="456">
          <cell r="A456" t="str">
            <v>Cây sung đường kính gốc 35cm ≤ Φ &lt; 50cm</v>
          </cell>
        </row>
        <row r="457">
          <cell r="A457" t="str">
            <v>Cây sung đường kính gốc Φ ≥ 50cm</v>
          </cell>
        </row>
        <row r="458">
          <cell r="A458" t="str">
            <v>Vối (tính theo đường kính gốc F)</v>
          </cell>
        </row>
        <row r="459">
          <cell r="A459" t="str">
            <v>Cây vối giống đủ tiêu chuẩn mới trồng, chiều cao cây H ≥ 40cm</v>
          </cell>
        </row>
        <row r="460">
          <cell r="A460" t="str">
            <v>Cây vối đường kính gốc 1cm ≤ Φ &lt; 5cm</v>
          </cell>
        </row>
        <row r="461">
          <cell r="A461" t="str">
            <v>Cây vối đường kính gốc 5cm ≤ Φ &lt; 10cm</v>
          </cell>
        </row>
        <row r="462">
          <cell r="A462" t="str">
            <v>Cây vối đường kính gốc 10cm ≤ Φ &lt; 15cm</v>
          </cell>
        </row>
        <row r="463">
          <cell r="A463" t="str">
            <v>Cây vối đường kính gốc 15cm ≤ Φ &lt; 20cm</v>
          </cell>
        </row>
        <row r="464">
          <cell r="A464" t="str">
            <v>Cây vối đường kính gốc 20cm ≤ Φ &lt; 25cm</v>
          </cell>
        </row>
        <row r="465">
          <cell r="A465" t="str">
            <v>Cây vối đường kính gốc 25cm ≤ Φ &lt; 30cm</v>
          </cell>
        </row>
        <row r="466">
          <cell r="A466" t="str">
            <v>Cây vối đường kính gốc 30cm ≤ Φ &lt; 35cm</v>
          </cell>
        </row>
        <row r="467">
          <cell r="A467" t="str">
            <v>Cây vối đường kính gốc 35cm ≤ Φ &lt; 50cm</v>
          </cell>
        </row>
        <row r="468">
          <cell r="A468" t="str">
            <v>Cây vối đường kính gốc F ³ 50cm</v>
          </cell>
        </row>
        <row r="469">
          <cell r="A469" t="str">
            <v>Cây Mãng cầu</v>
          </cell>
        </row>
        <row r="470">
          <cell r="A470" t="str">
            <v>Cây mãng cầu mới trồng &lt; 01 năm (cây từ hạt)</v>
          </cell>
        </row>
        <row r="471">
          <cell r="A471" t="str">
            <v>Cây mãng cầu mới trồng &lt; 01 năm (cây ghép)</v>
          </cell>
        </row>
        <row r="472">
          <cell r="A472" t="str">
            <v>Cây mãng cầu trồng ≥ 01 năm, chiều cao thân cây &lt; 1m chưa có quả</v>
          </cell>
        </row>
        <row r="473">
          <cell r="A473" t="str">
            <v>Cây mãng cầu có chiều cao thân cây ≥ 1m chưa có quả</v>
          </cell>
        </row>
        <row r="474">
          <cell r="A474" t="str">
            <v>Cây mãng cầu đã có quả</v>
          </cell>
        </row>
        <row r="475">
          <cell r="A475" t="str">
            <v>Cây mãng cầu có quả kém, già cỗi (hỗ trợ công chặt)</v>
          </cell>
        </row>
        <row r="476">
          <cell r="A476" t="str">
            <v>Cây Bơ </v>
          </cell>
        </row>
        <row r="477">
          <cell r="A477" t="str">
            <v>Cây bơ mới trồng &lt; 01 năm (cây từ hạt)</v>
          </cell>
        </row>
        <row r="478">
          <cell r="A478" t="str">
            <v>Cây bơ mới trồng &lt; 01 năm (cây ghép)</v>
          </cell>
        </row>
        <row r="479">
          <cell r="A479" t="str">
            <v>Cây bơ trồng ≥ 01 năm, chiều cao thân cây &lt; 1m chưa có quả</v>
          </cell>
        </row>
        <row r="480">
          <cell r="A480" t="str">
            <v>Cây bơ có chiều cao thân cây ≥ 1m chưa có quả</v>
          </cell>
        </row>
        <row r="481">
          <cell r="A481" t="str">
            <v>Cây bơ có quả đường kính gốc &lt; 20cm</v>
          </cell>
        </row>
        <row r="482">
          <cell r="A482" t="str">
            <v>Cây bơ có quả tốt đường kính gốc từ 20cm đến 40cm</v>
          </cell>
        </row>
        <row r="483">
          <cell r="A483" t="str">
            <v>Cây bơ có quả đường kính gốc &gt; 40cm</v>
          </cell>
        </row>
        <row r="484">
          <cell r="A484" t="str">
            <v>Cây bơ có quả kém, già cỗi (hỗ trợ công chặt)</v>
          </cell>
        </row>
        <row r="485">
          <cell r="A485" t="str">
            <v>Cây Sầu riêng</v>
          </cell>
        </row>
        <row r="486">
          <cell r="A486" t="str">
            <v>Cây sầu riêng mới trồng &lt; 01 năm (cây từ hạt)</v>
          </cell>
        </row>
        <row r="487">
          <cell r="A487" t="str">
            <v>Cây sầu riêng mới trồng &lt; 01 năm (cây ghép)</v>
          </cell>
        </row>
        <row r="488">
          <cell r="A488" t="str">
            <v>Cây sầu riêng trồng ≥ 01 năm, chiều cao thân cây &lt; 1m chưa có quả</v>
          </cell>
        </row>
        <row r="489">
          <cell r="A489" t="str">
            <v>Cây sầu riêng trồng có chiều cao thân cây từ ≥ 1m chưa có quả</v>
          </cell>
        </row>
        <row r="490">
          <cell r="A490" t="str">
            <v>Cây sầu riêng có quả đường kính gốc &lt; 20cm</v>
          </cell>
        </row>
        <row r="491">
          <cell r="A491" t="str">
            <v>Cây sầu riêng có quả tốt đường kính gốc ≥ 20cm đến &lt; 45cm</v>
          </cell>
        </row>
        <row r="492">
          <cell r="A492" t="str">
            <v>Cây sầu riêng có quả thu hoạch tốt đường kính gốc ≥ 45cm</v>
          </cell>
        </row>
        <row r="493">
          <cell r="A493" t="str">
            <v>Dứa ăn quả</v>
          </cell>
        </row>
        <row r="494">
          <cell r="A494" t="str">
            <v>Dứa quả cây giống</v>
          </cell>
        </row>
        <row r="495">
          <cell r="A495" t="str">
            <v>Dứa cây chưa ra quả</v>
          </cell>
        </row>
        <row r="496">
          <cell r="A496" t="str">
            <v xml:space="preserve">Dứa đang ra quả </v>
          </cell>
        </row>
        <row r="497">
          <cell r="A497" t="str">
            <v>Dứa khóm (tính theo khóm) có từ 4 cây trở lên</v>
          </cell>
        </row>
        <row r="498">
          <cell r="A498" t="str">
            <v>Chuối (tính theo đường kính gốc Φ)</v>
          </cell>
        </row>
        <row r="499">
          <cell r="A499" t="str">
            <v>Cây chuối có đường kính gốc Φ &lt; 15cm</v>
          </cell>
        </row>
        <row r="500">
          <cell r="A500" t="str">
            <v>Cây chuối có đường kính gốc Φ ≥ 15cm (chưa có buồng)</v>
          </cell>
        </row>
        <row r="501">
          <cell r="A501" t="str">
            <v>Chuối có buồng non chưa thu hoạch</v>
          </cell>
        </row>
        <row r="502">
          <cell r="A502" t="str">
            <v>Nhót, nho</v>
          </cell>
        </row>
        <row r="503">
          <cell r="A503" t="str">
            <v>Cây nhót, nho giống</v>
          </cell>
        </row>
        <row r="504">
          <cell r="A504" t="str">
            <v>Cây nhót, nho đã phát triển (tính theo diện tích giàn)</v>
          </cell>
        </row>
        <row r="505">
          <cell r="A505" t="str">
            <v>Gấc</v>
          </cell>
        </row>
        <row r="506">
          <cell r="A506" t="str">
            <v xml:space="preserve">Gấc tính theo m2 giàn </v>
          </cell>
        </row>
        <row r="507">
          <cell r="A507" t="str">
            <v>Gấc tính theo khóm gốc</v>
          </cell>
        </row>
        <row r="508">
          <cell r="A508" t="str">
            <v xml:space="preserve">Cây gấc chiều dài dây leo L &lt; 3m </v>
          </cell>
        </row>
        <row r="509">
          <cell r="A509" t="str">
            <v xml:space="preserve">Cây gấc chiều dài dây leo 3m ≤ L &lt; 10m </v>
          </cell>
        </row>
        <row r="510">
          <cell r="A510" t="str">
            <v xml:space="preserve">Cây gấc chiều dài dây leo L ≥ 10m </v>
          </cell>
        </row>
        <row r="511">
          <cell r="A511" t="str">
            <v xml:space="preserve">Lựu (tính theo đường kính gốc F) </v>
          </cell>
        </row>
        <row r="512">
          <cell r="A512" t="str">
            <v>Cây lựu mới trồng, chiều cao cây  H ≥ 40cm</v>
          </cell>
        </row>
        <row r="513">
          <cell r="A513" t="str">
            <v>Cây lựu đường kính gốc 1cm ≤ Φ &lt; 2cm</v>
          </cell>
        </row>
        <row r="514">
          <cell r="A514" t="str">
            <v>Cây lựu đường kính gốc 2cm ≤ Φ &lt; 5cm</v>
          </cell>
        </row>
        <row r="515">
          <cell r="A515" t="str">
            <v>Cây lựu đường kính gốc 5cm ≤ Φ &lt; 7cm</v>
          </cell>
        </row>
        <row r="516">
          <cell r="A516" t="str">
            <v>Cây lựu đường kính gốc 7cm ≤ Φ &lt; 9cm</v>
          </cell>
        </row>
        <row r="517">
          <cell r="A517" t="str">
            <v>Cây lựu đường kính gốc 9cm ≤ Φ &lt; 12cm</v>
          </cell>
        </row>
        <row r="518">
          <cell r="A518" t="str">
            <v xml:space="preserve">Cây lựu đường kính gốc 12cm ≤ Φ &lt; 15cm </v>
          </cell>
        </row>
        <row r="519">
          <cell r="A519" t="str">
            <v xml:space="preserve">Cây lựu đường kính gốc 15cm ≤ Φ &lt; 20cm </v>
          </cell>
        </row>
        <row r="520">
          <cell r="A520" t="str">
            <v xml:space="preserve">Cây lựu đường kính gốc Φ ≥ 20cm </v>
          </cell>
        </row>
        <row r="521">
          <cell r="A521" t="str">
            <v>CÂY LẤY GỖ</v>
          </cell>
        </row>
        <row r="522">
          <cell r="A522" t="str">
            <v>Bạch đàn, phi lao, keo (tính theo đường kính gốc F)</v>
          </cell>
        </row>
        <row r="523">
          <cell r="A523" t="str">
            <v>Cây keo giống đủ tiêu chuẩn mới trồng, chiều cao cây H ≥ 40cm</v>
          </cell>
        </row>
        <row r="524">
          <cell r="A524" t="str">
            <v>Cây keo đường kính gốc 1cm ≤ Φ &lt; 2cm</v>
          </cell>
        </row>
        <row r="525">
          <cell r="A525" t="str">
            <v>Cây keo đường kính gốc 2cm ≤ Φ &lt; 5cm</v>
          </cell>
        </row>
        <row r="526">
          <cell r="A526" t="str">
            <v>Cây keo đường kính gốc 5cm ≤ Φ &lt; 10cm</v>
          </cell>
        </row>
        <row r="527">
          <cell r="A527" t="str">
            <v>Cây keo đường kính gốc 10cm ≤ Φ &lt; 15cm</v>
          </cell>
        </row>
        <row r="528">
          <cell r="A528" t="str">
            <v>Cây keo đường kính gốc 15cm ≤ Φ &lt; 20cm</v>
          </cell>
        </row>
        <row r="529">
          <cell r="A529" t="str">
            <v>Cây keo đường kính gốc 20cm ≤ Φ &lt; 25cm</v>
          </cell>
        </row>
        <row r="530">
          <cell r="A530" t="str">
            <v>Cây keo đường kính gốc 25cm ≤ Φ &lt; 30cm</v>
          </cell>
        </row>
        <row r="531">
          <cell r="A531" t="str">
            <v>Cây keo đường kính gốc 30cm ≤ Φ &lt; 35cm</v>
          </cell>
        </row>
        <row r="532">
          <cell r="A532" t="str">
            <v>Cây keo đường kính gốc 35cm ≤ Φ &lt; 50cm</v>
          </cell>
        </row>
        <row r="533">
          <cell r="A533" t="str">
            <v>Cây keo đường kính gốc Φ ≥ 50cm (chi phí chặt hạ)</v>
          </cell>
        </row>
        <row r="534">
          <cell r="A534" t="str">
            <v>Cây bạch đàn giống đủ tiêu chuẩn mới trồng, chiều cao cây H ≥ 40cm</v>
          </cell>
        </row>
        <row r="535">
          <cell r="A535" t="str">
            <v>Cây bạch đàn đường kính gốc 1cm ≤ Φ &lt; 2cm</v>
          </cell>
        </row>
        <row r="536">
          <cell r="A536" t="str">
            <v>Cây bạch đàn đường kính gốc 2cm ≤ Φ &lt; 5cm</v>
          </cell>
        </row>
        <row r="537">
          <cell r="A537" t="str">
            <v>Cây bạch đàn đường kính gốc 5cm ≤ Φ &lt; 10cm</v>
          </cell>
        </row>
        <row r="538">
          <cell r="A538" t="str">
            <v>Cây bạch đàn đường kính gốc 10cm ≤ Φ &lt; 15cm</v>
          </cell>
        </row>
        <row r="539">
          <cell r="A539" t="str">
            <v>Cây bạch đàn đường kính gốc 15cm ≤ Φ &lt; 20cm</v>
          </cell>
        </row>
        <row r="540">
          <cell r="A540" t="str">
            <v>Cây bạch đàn đường kính gốc 20cm ≤ Φ &lt; 25cm</v>
          </cell>
        </row>
        <row r="541">
          <cell r="A541" t="str">
            <v>Cây bạch đàn đường kính gốc 25cm ≤ Φ &lt; 30cm</v>
          </cell>
        </row>
        <row r="542">
          <cell r="A542" t="str">
            <v>Cây bạch đàn đường kính gốc 30cm ≤ Φ &lt; 35cm</v>
          </cell>
        </row>
        <row r="543">
          <cell r="A543" t="str">
            <v>Cây bạch đàn đường kính gốc 35cm ≤ Φ &lt; 50cm</v>
          </cell>
        </row>
        <row r="544">
          <cell r="A544" t="str">
            <v>Cây bạch đàn đường kính gốc Φ ≥ 50cm (chi phí chặt hạ)</v>
          </cell>
        </row>
        <row r="545">
          <cell r="A545" t="str">
            <v>Cây phi lao giống đủ tiêu chuẩn mới trồng, chiều cao cây H ≥ 40cm</v>
          </cell>
        </row>
        <row r="546">
          <cell r="A546" t="str">
            <v>Cây phi lao đường kính gốc 1cm ≤ Φ &lt; 2cm</v>
          </cell>
        </row>
        <row r="547">
          <cell r="A547" t="str">
            <v>Cây phi lao đường kính gốc 2cm ≤ Φ &lt; 5cm</v>
          </cell>
        </row>
        <row r="548">
          <cell r="A548" t="str">
            <v>Cây phi lao đường kính gốc 5cm ≤ Φ &lt; 10cm</v>
          </cell>
        </row>
        <row r="549">
          <cell r="A549" t="str">
            <v>Cây phi lao đường kính gốc 10cm ≤ Φ &lt; 15cm</v>
          </cell>
        </row>
        <row r="550">
          <cell r="A550" t="str">
            <v>Cây phi lao đường kính gốc 15cm ≤ Φ &lt; 20cm</v>
          </cell>
        </row>
        <row r="551">
          <cell r="A551" t="str">
            <v>Cây phi lao đường kính gốc 20cm ≤ Φ &lt; 25cm</v>
          </cell>
        </row>
        <row r="552">
          <cell r="A552" t="str">
            <v>Cây phi lao đường kính gốc 25cm ≤ Φ &lt; 30cm</v>
          </cell>
        </row>
        <row r="553">
          <cell r="A553" t="str">
            <v>Cây phi lao đường kính gốc 30cm ≤ Φ &lt; 35cm</v>
          </cell>
        </row>
        <row r="554">
          <cell r="A554" t="str">
            <v>Cây phi lao đường kính gốc 35cm ≤ Φ &lt; 50cm</v>
          </cell>
        </row>
        <row r="555">
          <cell r="A555" t="str">
            <v>Cây phi lao đường kính gốc Φ ≥ 50cm (chi phí chặt hạ)</v>
          </cell>
        </row>
        <row r="556">
          <cell r="A556" t="str">
            <v xml:space="preserve">Xà cừ, thông (tính theo đường kính gốc F) </v>
          </cell>
        </row>
        <row r="557">
          <cell r="A557" t="str">
            <v>Cây xà cừ giống đủ tiêu chuẩn mới trồng, chiều cao cây H ≥ 40cm</v>
          </cell>
        </row>
        <row r="558">
          <cell r="A558" t="str">
            <v>Cây xà cừ đường kính gốc 1cm ≤ Φ &lt;  2cm</v>
          </cell>
        </row>
        <row r="559">
          <cell r="A559" t="str">
            <v>Cây xà cừ đường kính gốc 2cm ≤ Φ &lt;  5cm</v>
          </cell>
        </row>
        <row r="560">
          <cell r="A560" t="str">
            <v>Cây xà cừ đường kính gốc 5cm ≤ Φ &lt;  10cm</v>
          </cell>
        </row>
        <row r="561">
          <cell r="A561" t="str">
            <v>Cây xà cừ đường kính gốc 10cm ≤ Φ &lt; 15cm</v>
          </cell>
        </row>
        <row r="562">
          <cell r="A562" t="str">
            <v>Cây xà cừ đường kính gốc 15cm ≤ Φ &lt;  20cm</v>
          </cell>
        </row>
        <row r="563">
          <cell r="A563" t="str">
            <v>Cây xà cừ đường kính gốc 20cm ≤ Φ &lt;  25cm</v>
          </cell>
        </row>
        <row r="564">
          <cell r="A564" t="str">
            <v>Cây xà cừ đường kính gốc 25cm ≤ Φ &lt;  30cm</v>
          </cell>
        </row>
        <row r="565">
          <cell r="A565" t="str">
            <v xml:space="preserve">Cây xà cừ đường kính gốc 30cm ≤ Φ &lt;  35cm </v>
          </cell>
        </row>
        <row r="566">
          <cell r="A566" t="str">
            <v xml:space="preserve">Cây xà cừ đường kính gốc 35cm ≤ Φ &lt;  50cm </v>
          </cell>
        </row>
        <row r="567">
          <cell r="A567" t="str">
            <v>Cây xà cừ đường kính gốc Φ ≥ 50cm (chi phí chặt hạ)</v>
          </cell>
        </row>
        <row r="568">
          <cell r="A568" t="str">
            <v>Cây thông giống đủ tiêu chuẩn mới trồng, chiều cao cây H ≥ 40cm</v>
          </cell>
        </row>
        <row r="569">
          <cell r="A569" t="str">
            <v>Cây thông đường kính gốc 1cm ≤ Φ &lt;  2cm</v>
          </cell>
        </row>
        <row r="570">
          <cell r="A570" t="str">
            <v>Cây thông đường kính gốc 2cm ≤ Φ &lt;  5cm</v>
          </cell>
        </row>
        <row r="571">
          <cell r="A571" t="str">
            <v>Cây thông đường kính gốc 5cm ≤ Φ &lt;  10cm</v>
          </cell>
        </row>
        <row r="572">
          <cell r="A572" t="str">
            <v>Cây thông đường kính gốc 10cm ≤ Φ &lt; 15cm</v>
          </cell>
        </row>
        <row r="573">
          <cell r="A573" t="str">
            <v>Cây thông đường kính gốc 15cm ≤ Φ &lt;  20cm</v>
          </cell>
        </row>
        <row r="574">
          <cell r="A574" t="str">
            <v>Cây thông đường kính gốc 20cm ≤ Φ &lt;  25cm</v>
          </cell>
        </row>
        <row r="575">
          <cell r="A575" t="str">
            <v>Cây thông đường kính gốc 25cm ≤ Φ &lt;  30cm</v>
          </cell>
        </row>
        <row r="576">
          <cell r="A576" t="str">
            <v xml:space="preserve">Cây thông đường kính gốc 30cm ≤ Φ &lt;  35cm </v>
          </cell>
        </row>
        <row r="577">
          <cell r="A577" t="str">
            <v xml:space="preserve">Cây thông đường kính gốc 35cm ≤ Φ &lt;  50cm </v>
          </cell>
        </row>
        <row r="578">
          <cell r="A578" t="str">
            <v>Cây thông đường kính gốc Φ ≥ 50cm (chi phí chặt hạ)</v>
          </cell>
        </row>
        <row r="579">
          <cell r="A579" t="str">
            <v>Bàng, hoa sữa, bằng lăng, gạo, đa, phượng vĩ và các cây tương tự (tính theo đường kính gốc F)</v>
          </cell>
        </row>
        <row r="580">
          <cell r="A580" t="str">
            <v>Cây bàng giống đủ tiêu chuẩn mới trồng, chiều cao H ≥ 40cm</v>
          </cell>
        </row>
        <row r="581">
          <cell r="A581" t="str">
            <v>Cây bàng đường kính gốc 1cm ≤ Φ &lt; 3cm</v>
          </cell>
        </row>
        <row r="582">
          <cell r="A582" t="str">
            <v>Cây bàng đường kính gốc 3cm ≤ Φ &lt; 5cm</v>
          </cell>
        </row>
        <row r="583">
          <cell r="A583" t="str">
            <v>Cây bàng đường kính gốc 5cm ≤ Φ &lt; 10cm</v>
          </cell>
        </row>
        <row r="584">
          <cell r="A584" t="str">
            <v>Cây bàng đường kính gốc 10cm ≤ Φ &lt; 15cm</v>
          </cell>
        </row>
        <row r="585">
          <cell r="A585" t="str">
            <v>Cây bàng đường kính gốc 15cm ≤ Φ &lt; 20cm</v>
          </cell>
        </row>
        <row r="586">
          <cell r="A586" t="str">
            <v>Cây bàng đường kính gốc 20cm ≤ Φ &lt; 25cm</v>
          </cell>
        </row>
        <row r="587">
          <cell r="A587" t="str">
            <v>Cây bàng đường kính gốc 25cm ≤ Φ &lt; 30cm</v>
          </cell>
        </row>
        <row r="588">
          <cell r="A588" t="str">
            <v>Cây bàng đường kính gốc 30cm ≤ Φ &lt; 35cm</v>
          </cell>
        </row>
        <row r="589">
          <cell r="A589" t="str">
            <v>Cây bàng đường kính gốc 35cm ≤ Φ &lt; 50cm</v>
          </cell>
        </row>
        <row r="590">
          <cell r="A590" t="str">
            <v>Cây bàng đường kính gốc Φ ≥ 50cm (chi phí chặt hạ)</v>
          </cell>
        </row>
        <row r="591">
          <cell r="A591" t="str">
            <v>Cây hoa sữa giống đủ tiêu chuẩn mới trồng, chiều cao H ≥ 40cm</v>
          </cell>
        </row>
        <row r="592">
          <cell r="A592" t="str">
            <v>Cây hoa sữa đường kính gốc 1cm ≤ Φ &lt; 3cm</v>
          </cell>
        </row>
        <row r="593">
          <cell r="A593" t="str">
            <v>Cây hoa sữa đường kính gốc 3cm ≤ Φ &lt; 5cm</v>
          </cell>
        </row>
        <row r="594">
          <cell r="A594" t="str">
            <v>Cây hoa sữa đường kính gốc 5cm ≤ Φ &lt; 10cm</v>
          </cell>
        </row>
        <row r="595">
          <cell r="A595" t="str">
            <v>Cây hoa sữa đường kính gốc 10cm ≤ Φ &lt; 15cm</v>
          </cell>
        </row>
        <row r="596">
          <cell r="A596" t="str">
            <v>Cây hoa sữa đường kính gốc 15cm ≤ Φ &lt; 20cm</v>
          </cell>
        </row>
        <row r="597">
          <cell r="A597" t="str">
            <v>Cây hoa sữa đường kính gốc 20cm ≤ Φ &lt; 25cm</v>
          </cell>
        </row>
        <row r="598">
          <cell r="A598" t="str">
            <v>Cây hoa sữa đường kính gốc 25cm ≤ Φ &lt; 30cm</v>
          </cell>
        </row>
        <row r="599">
          <cell r="A599" t="str">
            <v>Cây hoa sữa đường kính gốc 30cm ≤ Φ &lt; 35cm</v>
          </cell>
        </row>
        <row r="600">
          <cell r="A600" t="str">
            <v>Cây hoa sữa đường kính gốc 35cm ≤ Φ &lt; 50cm</v>
          </cell>
        </row>
        <row r="601">
          <cell r="A601" t="str">
            <v>Cây hoa sữa đường kính gốc Φ ≥ 50cm (chi phí chặt hạ)</v>
          </cell>
        </row>
        <row r="602">
          <cell r="A602" t="str">
            <v>Cây bằng lăng giống đủ tiêu chuẩn mới trồng, chiều cao H ≥ 40cm</v>
          </cell>
        </row>
        <row r="603">
          <cell r="A603" t="str">
            <v>Cây bằng lăng đường kính gốc 1cm ≤ Φ &lt; 3cm</v>
          </cell>
        </row>
        <row r="604">
          <cell r="A604" t="str">
            <v>Cây bằng lăng đường kính gốc 3cm ≤ Φ &lt; 5cm</v>
          </cell>
        </row>
        <row r="605">
          <cell r="A605" t="str">
            <v>Cây bằng lăng đường kính gốc 5cm ≤ Φ &lt; 10cm</v>
          </cell>
        </row>
        <row r="606">
          <cell r="A606" t="str">
            <v>Cây bằng lăng đường kính gốc 10cm ≤ Φ &lt; 15cm</v>
          </cell>
        </row>
        <row r="607">
          <cell r="A607" t="str">
            <v>Cây bằng lăng đường kính gốc 15cm ≤ Φ &lt; 20cm</v>
          </cell>
        </row>
        <row r="608">
          <cell r="A608" t="str">
            <v>Cây bằng lăng đường kính gốc 20cm ≤ Φ &lt; 25cm</v>
          </cell>
        </row>
        <row r="609">
          <cell r="A609" t="str">
            <v>Cây bằng lăng đường kính gốc 25cm ≤ Φ &lt; 30cm</v>
          </cell>
        </row>
        <row r="610">
          <cell r="A610" t="str">
            <v>Cây bằng lăng đường kính gốc 30cm ≤ Φ &lt; 35cm</v>
          </cell>
        </row>
        <row r="611">
          <cell r="A611" t="str">
            <v>Cây bằng lăng đường kính gốc 35cm ≤ Φ &lt; 50cm</v>
          </cell>
        </row>
        <row r="612">
          <cell r="A612" t="str">
            <v>Cây bằng lăng đường kính gốc Φ ≥ 50cm (chi phí chặt hạ)</v>
          </cell>
        </row>
        <row r="613">
          <cell r="A613" t="str">
            <v>Cây gạo giống đủ tiêu chuẩn mới trồng, chiều cao H ≥ 40cm</v>
          </cell>
        </row>
        <row r="614">
          <cell r="A614" t="str">
            <v>Cây gạo đường kính gốc 1cm ≤ Φ &lt; 3cm</v>
          </cell>
        </row>
        <row r="615">
          <cell r="A615" t="str">
            <v>Cây gạo đường kính gốc 3cm ≤ Φ &lt; 5cm</v>
          </cell>
        </row>
        <row r="616">
          <cell r="A616" t="str">
            <v>Cây gạo đường kính gốc 5cm ≤ Φ &lt; 10cm</v>
          </cell>
        </row>
        <row r="617">
          <cell r="A617" t="str">
            <v>Cây gạo đường kính gốc 10cm ≤ Φ &lt; 15cm</v>
          </cell>
        </row>
        <row r="618">
          <cell r="A618" t="str">
            <v>Cây gạo đường kính gốc 15cm ≤ Φ &lt; 20cm</v>
          </cell>
        </row>
        <row r="619">
          <cell r="A619" t="str">
            <v>Cây gạo đường kính gốc 20cm ≤ Φ &lt; 25cm</v>
          </cell>
        </row>
        <row r="620">
          <cell r="A620" t="str">
            <v>Cây gạo đường kính gốc 25cm ≤ Φ &lt; 30cm</v>
          </cell>
        </row>
        <row r="621">
          <cell r="A621" t="str">
            <v>Cây gạo đường kính gốc 30cm ≤ Φ &lt; 35cm</v>
          </cell>
        </row>
        <row r="622">
          <cell r="A622" t="str">
            <v>Cây gạo đường kính gốc 35cm ≤ Φ &lt; 50cm</v>
          </cell>
        </row>
        <row r="623">
          <cell r="A623" t="str">
            <v>Cây gạo đường kính gốc Φ ≥ 50cm (chi phí chặt hạ)</v>
          </cell>
        </row>
        <row r="624">
          <cell r="A624" t="str">
            <v>Cây đa giống đủ tiêu chuẩn mới trồng, chiều cao H ≥ 40cm</v>
          </cell>
        </row>
        <row r="625">
          <cell r="A625" t="str">
            <v>Cây đa đường kính gốc 1cm ≤ Φ &lt; 3cm</v>
          </cell>
        </row>
        <row r="626">
          <cell r="A626" t="str">
            <v>Cây đa đường kính gốc 3cm ≤ Φ &lt; 5cm</v>
          </cell>
        </row>
        <row r="627">
          <cell r="A627" t="str">
            <v>Cây đa đường kính gốc 5cm ≤ Φ &lt; 10cm</v>
          </cell>
        </row>
        <row r="628">
          <cell r="A628" t="str">
            <v>Cây đa đường kính gốc 10cm ≤ Φ &lt; 15cm</v>
          </cell>
        </row>
        <row r="629">
          <cell r="A629" t="str">
            <v>Cây đa đường kính gốc 15cm ≤ Φ &lt; 20cm</v>
          </cell>
        </row>
        <row r="630">
          <cell r="A630" t="str">
            <v>Cây đa đường kính gốc 20cm≤ Φ &lt; 25cm</v>
          </cell>
        </row>
        <row r="631">
          <cell r="A631" t="str">
            <v>Cây đa đường kính gốc 25cm ≤ Φ &lt; 30cm</v>
          </cell>
        </row>
        <row r="632">
          <cell r="A632" t="str">
            <v>Cây đa đường kính gốc 30cm ≤ Φ &lt; 35cm</v>
          </cell>
        </row>
        <row r="633">
          <cell r="A633" t="str">
            <v>Cây đa đường kính gốc 35cm ≤ Φ &lt; 50cm</v>
          </cell>
        </row>
        <row r="634">
          <cell r="A634" t="str">
            <v>Cây đa đường kính gốc Φ ≥ 50cm (chi phí chặt hạ)</v>
          </cell>
        </row>
        <row r="635">
          <cell r="A635" t="str">
            <v>Cây phượng vĩ giống đủ tiêu chuẩn mới trồng, chiều cao H ≥ 40cm</v>
          </cell>
        </row>
        <row r="636">
          <cell r="A636" t="str">
            <v>Cây phượng vĩ đường kính gốc 1cm ≤ Φ &lt; 3cm</v>
          </cell>
        </row>
        <row r="637">
          <cell r="A637" t="str">
            <v>Cây phượng vĩ đường kính gốc 3cm ≤ Φ &lt; 5cm</v>
          </cell>
        </row>
        <row r="638">
          <cell r="A638" t="str">
            <v>Cây phượng vĩ đường kính gốc 5cm ≤ Φ &lt; 10cm</v>
          </cell>
        </row>
        <row r="639">
          <cell r="A639" t="str">
            <v>Cây phượng vĩ đường kính gốc 10cm ≤ Φ &lt; 15cm</v>
          </cell>
        </row>
        <row r="640">
          <cell r="A640" t="str">
            <v>Cây phượng vĩ đường kính gốc 15cm ≤ Φ &lt; 20cm</v>
          </cell>
        </row>
        <row r="641">
          <cell r="A641" t="str">
            <v>Cây phượng vĩ đường kính gốc 20cm≤ Φ &lt; 25cm</v>
          </cell>
        </row>
        <row r="642">
          <cell r="A642" t="str">
            <v>Cây phượng vĩ đường kính gốc 25cm ≤ Φ &lt; 30cm</v>
          </cell>
        </row>
        <row r="643">
          <cell r="A643" t="str">
            <v>Cây phượng vĩ đường kính gốc 30cm ≤ Φ &lt; 35cm</v>
          </cell>
        </row>
        <row r="644">
          <cell r="A644" t="str">
            <v>Cây phượng vĩ đường kính gốc 35cm ≤ Φ &lt; 50cm</v>
          </cell>
        </row>
        <row r="645">
          <cell r="A645" t="str">
            <v>Cây phượng vĩ đường kính gốc Φ ≥ 50cm (chi phí chặt hạ)</v>
          </cell>
        </row>
        <row r="646">
          <cell r="A646" t="str">
            <v>Xoan nâu, xoan đào (tính theo đường kính gốc F)</v>
          </cell>
        </row>
        <row r="647">
          <cell r="A647" t="str">
            <v xml:space="preserve">Cây xoan giống đủ tiêu chuẩn, mới trồng, chiều cao cây H ≥ 40cm     </v>
          </cell>
        </row>
        <row r="648">
          <cell r="A648" t="str">
            <v>Cây xoan đường kính gốc 1cm ≤ Φ &lt; 2cm</v>
          </cell>
        </row>
        <row r="649">
          <cell r="A649" t="str">
            <v>Cây xoan đường kính gốc 2cm ≤ Φ &lt; 5cm</v>
          </cell>
        </row>
        <row r="650">
          <cell r="A650" t="str">
            <v>Cây xoan đường kính gốc 5cm ≤ Φ &lt; 9cm</v>
          </cell>
        </row>
        <row r="651">
          <cell r="A651" t="str">
            <v>Cây xoan đường kính gốc 9cm ≤ Φ &lt; 12cm</v>
          </cell>
        </row>
        <row r="652">
          <cell r="A652" t="str">
            <v>Cây xoan đường kính gốc 12cm ≤ Φ &lt; 15cm</v>
          </cell>
        </row>
        <row r="653">
          <cell r="A653" t="str">
            <v>Cây xoan đường kính gốc 15cm ≤ Φ &lt; 20cm</v>
          </cell>
        </row>
        <row r="654">
          <cell r="A654" t="str">
            <v>Cây xoan đường kính gốc 20cm ≤ Φ &lt; 25cm</v>
          </cell>
        </row>
        <row r="655">
          <cell r="A655" t="str">
            <v>Cây xoan đường kính gốc 25cm ≤ Φ &lt; 30cm</v>
          </cell>
        </row>
        <row r="656">
          <cell r="A656" t="str">
            <v>Cây xoan đường kính gốc 30cm ≤ Φ &lt; 35cm</v>
          </cell>
        </row>
        <row r="657">
          <cell r="A657" t="str">
            <v>Cây xoan đường kính gốc Φ ≥ 35cm (chi phí chặt hạ)</v>
          </cell>
        </row>
        <row r="658">
          <cell r="A658" t="str">
            <v xml:space="preserve">Tre, mai (tính theo đường kính gốc F) </v>
          </cell>
        </row>
        <row r="659">
          <cell r="A659" t="str">
            <v>Cây tre giống đủ tiêu chuẩn mới trồng</v>
          </cell>
        </row>
        <row r="660">
          <cell r="A660" t="str">
            <v>Cây tre đường kính gốc 2cm ≤ Φ &lt; 5cm</v>
          </cell>
        </row>
        <row r="661">
          <cell r="A661" t="str">
            <v>Cây tre đường kính gốc 5cm ≤ Φ &lt; 7cm</v>
          </cell>
        </row>
        <row r="662">
          <cell r="A662" t="str">
            <v>Cây tre đường kính gốc 7cm ≤ Φ &lt; 10cm</v>
          </cell>
        </row>
        <row r="663">
          <cell r="A663" t="str">
            <v>Cây tre đường kính gốc 10cm ≤ Φ &lt; 12cm</v>
          </cell>
        </row>
        <row r="664">
          <cell r="A664" t="str">
            <v>Cây tre đường kính gốc Φ ≥ 12cm (chi phí chặt hạ)</v>
          </cell>
        </row>
        <row r="665">
          <cell r="A665" t="str">
            <v>Long não  (tính theo đường kính gốc)</v>
          </cell>
        </row>
        <row r="666">
          <cell r="A666" t="str">
            <v xml:space="preserve">Cây long não giống đủ tiêu chuẩn mới trồng, chiều cao cây  H ≤40cm  </v>
          </cell>
        </row>
        <row r="667">
          <cell r="A667" t="str">
            <v>Cây long não đường kính gốc 1cm ≤ Φ &lt; 3cm</v>
          </cell>
        </row>
        <row r="668">
          <cell r="A668" t="str">
            <v>Cây long não đường kính gốc 3cm ≤ Φ &lt; 5cm</v>
          </cell>
        </row>
        <row r="669">
          <cell r="A669" t="str">
            <v>Cây long não đường kính gốc 5cm ≤ Φ &lt; 10cm</v>
          </cell>
        </row>
        <row r="670">
          <cell r="A670" t="str">
            <v>Cây long não đường kính gốc 10cm ≤ Φ &lt; 15cm</v>
          </cell>
        </row>
        <row r="671">
          <cell r="A671" t="str">
            <v>Cây long não đường kính gốc 15cm ≤ Φ &lt; 20cm</v>
          </cell>
        </row>
        <row r="672">
          <cell r="A672" t="str">
            <v xml:space="preserve">Cây long não đường kính gốc 20cm ≤ Φ &lt; 30cm </v>
          </cell>
        </row>
        <row r="673">
          <cell r="A673" t="str">
            <v xml:space="preserve">Cây long não đường kính gốc 30cm ≤ Φ &lt; 40cm </v>
          </cell>
        </row>
        <row r="674">
          <cell r="A674" t="str">
            <v xml:space="preserve">Cây long não đường kính gốc Φ ≥ 40cm </v>
          </cell>
        </row>
        <row r="675">
          <cell r="A675" t="str">
            <v xml:space="preserve">Cây Dẻ lấy quả </v>
          </cell>
        </row>
        <row r="676">
          <cell r="A676" t="str">
            <v>Cây dẻ lấy quả mới trồng, đường kính gốc &lt;5 cm</v>
          </cell>
        </row>
        <row r="677">
          <cell r="A677" t="str">
            <v>Cây dẻ lấy quả đường kính gốc từ 5 cm đến 10cm</v>
          </cell>
        </row>
        <row r="678">
          <cell r="A678" t="str">
            <v>Cây dẻ lấy quả đường kính gốc &gt;10 cm đến 20cm</v>
          </cell>
        </row>
        <row r="679">
          <cell r="A679" t="str">
            <v>Cây dẻ lấy quả đường kính gốc &gt; 20 cm đến 30cm</v>
          </cell>
        </row>
        <row r="680">
          <cell r="A680" t="str">
            <v>Cây dẻ lấy quả đường kính gốc &gt; 30cm</v>
          </cell>
        </row>
        <row r="681">
          <cell r="A681" t="str">
            <v>Cây Trám</v>
          </cell>
        </row>
        <row r="682">
          <cell r="A682" t="str">
            <v>Cây trám mới trồng, đường kính gốc &lt;2cm</v>
          </cell>
        </row>
        <row r="683">
          <cell r="A683" t="str">
            <v>Cây trám đường kính gốc từ 2cm đến 5cm</v>
          </cell>
        </row>
        <row r="684">
          <cell r="A684" t="str">
            <v>Cây trám đường kính gốc từ 5cm đến 10cm</v>
          </cell>
        </row>
        <row r="685">
          <cell r="A685" t="str">
            <v>Cây trám đường kính gốc &gt;10cm đến 15cm</v>
          </cell>
        </row>
        <row r="686">
          <cell r="A686" t="str">
            <v>Cây trám đường kính gốc &gt;15cm đến 20cm</v>
          </cell>
        </row>
        <row r="687">
          <cell r="A687" t="str">
            <v>Cây trám đường kính gốc &gt;20cm đến 25cm</v>
          </cell>
        </row>
        <row r="688">
          <cell r="A688" t="str">
            <v>Cây trám đường kính gốc &gt;25cm đến 30cm</v>
          </cell>
        </row>
        <row r="689">
          <cell r="A689" t="str">
            <v>Cây trám đường kính gốc &gt; 30cm</v>
          </cell>
        </row>
        <row r="690">
          <cell r="A690" t="str">
            <v xml:space="preserve">Cây Lát </v>
          </cell>
        </row>
        <row r="691">
          <cell r="A691" t="str">
            <v>Cây lát mới trồng, đường kính gốc &lt; 5cm</v>
          </cell>
        </row>
        <row r="692">
          <cell r="A692" t="str">
            <v>Cây lát đường kính gốc từ 5 cm đến 10cm</v>
          </cell>
        </row>
        <row r="693">
          <cell r="A693" t="str">
            <v>Cây lát đường kính gốc &gt; 10 cm đến 20cm</v>
          </cell>
        </row>
        <row r="694">
          <cell r="A694" t="str">
            <v>Cây lát đường kính gốc &gt; 20 cm đến 30cm</v>
          </cell>
        </row>
        <row r="695">
          <cell r="A695" t="str">
            <v>Cây lát đường kính gốc &gt; 30 cm</v>
          </cell>
        </row>
        <row r="696">
          <cell r="A696" t="str">
            <v xml:space="preserve">Cây Vông </v>
          </cell>
        </row>
        <row r="697">
          <cell r="A697" t="str">
            <v>Cây vông mới trồng, đường kính gốc &lt; 5cm</v>
          </cell>
        </row>
        <row r="698">
          <cell r="A698" t="str">
            <v>Cây vông đường kính gốc từ 5cm đến 10cm</v>
          </cell>
        </row>
        <row r="699">
          <cell r="A699" t="str">
            <v>Cây vông đường kính gốc &gt;10 cm đến 20cm</v>
          </cell>
        </row>
        <row r="700">
          <cell r="A700" t="str">
            <v>Cây vông đường kính gốc &gt; 20 cm đến 30 cm</v>
          </cell>
        </row>
        <row r="701">
          <cell r="A701" t="str">
            <v>Cây vông đường kính gốc &gt; 30 cm</v>
          </cell>
        </row>
        <row r="702">
          <cell r="A702" t="str">
            <v>CÂY TRỒNG KHÁC</v>
          </cell>
        </row>
        <row r="703">
          <cell r="A703" t="str">
            <v>Dâu trồng lấy lá nuôi tằm (tính theo thời gian trồng)</v>
          </cell>
        </row>
        <row r="704">
          <cell r="A704" t="str">
            <v>Cây dâu trồng lấy lá nuôi tằm giống đủ tiêu chuẩn mới trồng &lt; 3 tháng</v>
          </cell>
        </row>
        <row r="705">
          <cell r="A705" t="str">
            <v xml:space="preserve"> Cây dâu trồng lấy lá nuôi tằm 3 tháng £ thời gian trồng &lt; 1 năm</v>
          </cell>
        </row>
        <row r="706">
          <cell r="A706" t="str">
            <v>Cây dâu trồng lấy lá nuôi tằm 1 năm £ thời gian trồng &lt; 2 năm</v>
          </cell>
        </row>
        <row r="707">
          <cell r="A707" t="str">
            <v>Cây dâu trồng lấy lá nuôi tằm thời gian trồng ³ 2 năm</v>
          </cell>
        </row>
        <row r="708">
          <cell r="A708" t="str">
            <v>Dâu ăn quả</v>
          </cell>
        </row>
        <row r="709">
          <cell r="A709" t="str">
            <v xml:space="preserve">Cây dâu ăn quả giống đủ tiêu chuẩn mới trồng </v>
          </cell>
        </row>
        <row r="710">
          <cell r="A710" t="str">
            <v>Cây dâu ăn quả có đường kính 1cm £ F &lt; 2cm</v>
          </cell>
        </row>
        <row r="711">
          <cell r="A711" t="str">
            <v>Cây dâu ăn quả có đường kính 2cm £ F &lt; 4cm</v>
          </cell>
        </row>
        <row r="712">
          <cell r="A712" t="str">
            <v>Cây dâu ăn quả có đường kính 4cm £ F &lt; 6cm</v>
          </cell>
        </row>
        <row r="713">
          <cell r="A713" t="str">
            <v>Cây dâu ăn quả có đường kính 6cm £ F &lt; 10cm</v>
          </cell>
        </row>
        <row r="714">
          <cell r="A714" t="str">
            <v>Cây dâu ăn quả có đường kính  F ³ 10cm</v>
          </cell>
        </row>
        <row r="715">
          <cell r="A715" t="str">
            <v xml:space="preserve">Chè </v>
          </cell>
        </row>
        <row r="716">
          <cell r="A716" t="str">
            <v xml:space="preserve">Cây chè giống đủ tiêu chuẩn mới trồng  </v>
          </cell>
        </row>
        <row r="717">
          <cell r="A717" t="str">
            <v>Cây chè trồng theo luống, dảnh có thời gian &lt; 6 tháng</v>
          </cell>
        </row>
        <row r="718">
          <cell r="A718" t="str">
            <v>Cây chè trồng theo luống, dảnh có thời gian ≥ 6 tháng</v>
          </cell>
        </row>
        <row r="719">
          <cell r="A719" t="str">
            <v>Cây chè trồng đơn lẻ có đường kính tán lá Φ  &lt; 0,5m</v>
          </cell>
        </row>
        <row r="720">
          <cell r="A720" t="str">
            <v xml:space="preserve">Cây chè trồng đơn lẻ có đường kính tán lá 0,5m ≤ Φ &lt; 1m </v>
          </cell>
        </row>
        <row r="721">
          <cell r="A721" t="str">
            <v>Cây chè trồng đơn lẻ có đường kính tán lá 1m ≤ Φ &lt; 1,5m</v>
          </cell>
        </row>
        <row r="722">
          <cell r="A722" t="str">
            <v>Cây chè trồng đơn lẻ có đường kính tán lá 1,5m ≤ Φ &lt; 2m</v>
          </cell>
        </row>
        <row r="723">
          <cell r="A723" t="str">
            <v>Cây chè trồng đơn lẻ có đường kính tán lá Φ ≥ 2m</v>
          </cell>
        </row>
        <row r="724">
          <cell r="A724" t="str">
            <v>Mây</v>
          </cell>
        </row>
        <row r="725">
          <cell r="A725" t="str">
            <v xml:space="preserve">Cây mây giống đủ tiêu chuẩn mới trồng </v>
          </cell>
        </row>
        <row r="726">
          <cell r="A726" t="str">
            <v>Cây mây chưa đến kỳ thu hoạch (tính theo khóm)</v>
          </cell>
        </row>
        <row r="727">
          <cell r="A727" t="str">
            <v>Dâm bụt, găng, tre gai... trồng hàng rào</v>
          </cell>
        </row>
        <row r="728">
          <cell r="A728" t="str">
            <v>Lộc vừng, sanh, si (ươm, trồng dưới đất, tính theo đường kính tán F)</v>
          </cell>
        </row>
        <row r="729">
          <cell r="A729" t="str">
            <v xml:space="preserve">Cây sanh có đường kính tán 0,5m  ≤ Φ &lt; 0,7m </v>
          </cell>
        </row>
        <row r="730">
          <cell r="A730" t="str">
            <v xml:space="preserve">Cây sanh có đường kính tán 0,7m  ≤ Φ &lt; 1,0m </v>
          </cell>
        </row>
        <row r="731">
          <cell r="A731" t="str">
            <v>Cây sanh có đường kính tán 1,0m  ≤ Φ &lt; 1,5m</v>
          </cell>
        </row>
        <row r="732">
          <cell r="A732" t="str">
            <v>Cây sanh có đường kính tán 1,5m ≤ Φ &lt; 2,0m</v>
          </cell>
        </row>
        <row r="733">
          <cell r="A733" t="str">
            <v>Cây sanh có đường kính tán 2,0m  ≤ Φ &lt; 3,0m</v>
          </cell>
        </row>
        <row r="734">
          <cell r="A734" t="str">
            <v>Cây sanh có đường kính tán 3,0m ≤ Φ &lt; 4,0m</v>
          </cell>
        </row>
        <row r="735">
          <cell r="A735" t="str">
            <v>Cây sanh có đường kính tán Φ ≥  4,0m</v>
          </cell>
        </row>
        <row r="736">
          <cell r="A736" t="str">
            <v xml:space="preserve">Cây lộc vừng có đường kính tán 0,5m  ≤ Φ &lt; 0,7m </v>
          </cell>
        </row>
        <row r="737">
          <cell r="A737" t="str">
            <v xml:space="preserve">Cây lộc vừng có đường kính tán 0,7m  ≤ Φ &lt; 1,0m </v>
          </cell>
        </row>
        <row r="738">
          <cell r="A738" t="str">
            <v>Cây lộc vừng có đường kính tán 1,0m  ≤ Φ &lt; 1,5m</v>
          </cell>
        </row>
        <row r="739">
          <cell r="A739" t="str">
            <v>Cây lộc vừng có đường kính tán 1,5m ≤ Φ &lt; 2,0m</v>
          </cell>
        </row>
        <row r="740">
          <cell r="A740" t="str">
            <v>Cây lộc vừng có đường kính tán 2,0m  ≤ Φ &lt; 3,0m</v>
          </cell>
        </row>
        <row r="741">
          <cell r="A741" t="str">
            <v>Cây lộc vừng có đường kính tán 3,0m ≤ Φ &lt; 4,0m</v>
          </cell>
        </row>
        <row r="742">
          <cell r="A742" t="str">
            <v>Cây lộc vừng có đường kính tán Φ ≥  4,0m</v>
          </cell>
        </row>
        <row r="743">
          <cell r="A743" t="str">
            <v xml:space="preserve">Cây si có đường kính tán 0,5m  ≤ Φ &lt; 0,7m </v>
          </cell>
        </row>
        <row r="744">
          <cell r="A744" t="str">
            <v xml:space="preserve">Cây si có đường kính tán 0,7m  ≤ Φ &lt; 1,0m </v>
          </cell>
        </row>
        <row r="745">
          <cell r="A745" t="str">
            <v>Cây si có đường kính tán 1,0m  ≤ Φ &lt; 1,5m</v>
          </cell>
        </row>
        <row r="746">
          <cell r="A746" t="str">
            <v>Cây si có đường kính tán 1,5m ≤ Φ &lt; 2,0m</v>
          </cell>
        </row>
        <row r="747">
          <cell r="A747" t="str">
            <v>Cây si có đường kính tán 2,0m  ≤ Φ &lt; 3,0m</v>
          </cell>
        </row>
        <row r="748">
          <cell r="A748" t="str">
            <v>Cây si có đường kính tán 3,0m ≤ Φ &lt; 4,0m</v>
          </cell>
        </row>
        <row r="749">
          <cell r="A749" t="str">
            <v>Cây si có đường kính tán Φ ≥  4,0m</v>
          </cell>
        </row>
        <row r="750">
          <cell r="A750" t="str">
            <v xml:space="preserve">Cau vua, thiết mộc lan, hoa giấy (ươm, trồng dưới đất, chiều cao cây H ³  50cm, tính theo đường kính gốc F) </v>
          </cell>
        </row>
        <row r="751">
          <cell r="A751" t="str">
            <v xml:space="preserve">Cây cau vua có đường kính gốc 0,03m  ≤ Φ &lt; 0,05m </v>
          </cell>
        </row>
        <row r="752">
          <cell r="A752" t="str">
            <v xml:space="preserve">Cây cau vua có đường kính gốc 0,05m  ≤ Φ &lt; 0,10m </v>
          </cell>
        </row>
        <row r="753">
          <cell r="A753" t="str">
            <v>Cây cau vua có đường kính gốc 0,10m  ≤ Φ &lt; 0,15m</v>
          </cell>
        </row>
        <row r="754">
          <cell r="A754" t="str">
            <v>Cây cau vua có đường kính gốc 0,15m ≤ Φ &lt; 0,20m</v>
          </cell>
        </row>
        <row r="755">
          <cell r="A755" t="str">
            <v>Cây cau vua có đường kính gốc 0,20m  ≤ Φ &lt; 0,25m</v>
          </cell>
        </row>
        <row r="756">
          <cell r="A756" t="str">
            <v>Cây cau vua có đường kính gốc 0,25m ≤ Φ &lt; 0,30m</v>
          </cell>
        </row>
        <row r="757">
          <cell r="A757" t="str">
            <v>Cây cau vua có đường kính gốc 0,30m  ≤ Φ &lt; 0,35m</v>
          </cell>
        </row>
        <row r="758">
          <cell r="A758" t="str">
            <v>Cây cau vua có đường kính gốc Φ ≥  0,35m</v>
          </cell>
        </row>
        <row r="759">
          <cell r="A759" t="str">
            <v xml:space="preserve">Cây thiết mộc lan có đường kính gốc 0,03m  ≤ Φ &lt; 0,05m </v>
          </cell>
        </row>
        <row r="760">
          <cell r="A760" t="str">
            <v xml:space="preserve">Cây thiết mộc lan có đường kính gốc 0,05m  ≤ Φ &lt; 0,10m </v>
          </cell>
        </row>
        <row r="761">
          <cell r="A761" t="str">
            <v>Cây thiết mộc lan có đường kính gốc 0,10m  ≤ Φ &lt; 0,15m</v>
          </cell>
        </row>
        <row r="762">
          <cell r="A762" t="str">
            <v>Cây thiết mộc lan có đường kính gốc 0,15m ≤ Φ &lt; 0,20m</v>
          </cell>
        </row>
        <row r="763">
          <cell r="A763" t="str">
            <v>Cây thiết mộc lan có đường kính gốc 0,20m  ≤ Φ &lt; 0,25m</v>
          </cell>
        </row>
        <row r="764">
          <cell r="A764" t="str">
            <v>Cây thiết mộc lan có đường kính gốc 0,25m ≤ Φ &lt; 0,30m</v>
          </cell>
        </row>
        <row r="765">
          <cell r="A765" t="str">
            <v>Cây thiết mộc lan có đường kính gốc 0,30m  ≤ Φ &lt; 0,35m</v>
          </cell>
        </row>
        <row r="766">
          <cell r="A766" t="str">
            <v>Cây thiết mộc lan có đường kính gốc Φ ≥  0,35m</v>
          </cell>
        </row>
        <row r="767">
          <cell r="A767" t="str">
            <v xml:space="preserve">Cây hoa giấy có đường kính gốc 0,03m  ≤ Φ &lt; 0,05m </v>
          </cell>
        </row>
        <row r="768">
          <cell r="A768" t="str">
            <v xml:space="preserve">Cây hoa giấy có đường kính gốc 0,05m  ≤ Φ &lt; 0,10m </v>
          </cell>
        </row>
        <row r="769">
          <cell r="A769" t="str">
            <v>Cây hoa giấy có đường kính gốc 0,10m  ≤ Φ &lt; 0,15m</v>
          </cell>
        </row>
        <row r="770">
          <cell r="A770" t="str">
            <v>Cây hoa giấy có đường kính gốc 0,15m ≤ Φ &lt; 0,20m</v>
          </cell>
        </row>
        <row r="771">
          <cell r="A771" t="str">
            <v>Cây hoa giấy có đường kính gốc 0,20m  ≤ Φ &lt; 0,25m</v>
          </cell>
        </row>
        <row r="772">
          <cell r="A772" t="str">
            <v>Cây hoa giấy có đường kính gốc 0,25m ≤ Φ &lt; 0,30m</v>
          </cell>
        </row>
        <row r="773">
          <cell r="A773" t="str">
            <v>Cây hoa giấy có đường kính gốc 0,30m  ≤ Φ &lt; 0,35m</v>
          </cell>
        </row>
        <row r="774">
          <cell r="A774" t="str">
            <v>Cây hoa giấy có đường kính gốc Φ ≥  0,35m</v>
          </cell>
        </row>
        <row r="775">
          <cell r="A775" t="str">
            <v>Cau trắng, cau sâm banh, cau lợn cọ, cau Nhật liên, tùng la hán (ươm, trồng dưới đất, chiều cao cây H ³  50cm, tính theo đường kính gốc F)</v>
          </cell>
        </row>
        <row r="776">
          <cell r="A776" t="str">
            <v xml:space="preserve">Cây cau trắng có đường kính gốc 0,03m  ≤ Φ &lt; 0,05m </v>
          </cell>
        </row>
        <row r="777">
          <cell r="A777" t="str">
            <v xml:space="preserve">Cây cau trắng có đường kính gốc 0,05m  ≤ Φ &lt; 0,10m </v>
          </cell>
        </row>
        <row r="778">
          <cell r="A778" t="str">
            <v>Cây cau trắng có đường kính gốc 0,10m  ≤ Φ &lt; 0,15m</v>
          </cell>
        </row>
        <row r="779">
          <cell r="A779" t="str">
            <v>Cây cau trắng có đường kính gốc 0,15m ≤ Φ &lt; 0,20m</v>
          </cell>
        </row>
        <row r="780">
          <cell r="A780" t="str">
            <v>Cây cau trắng có đường kính gốc 0,20m  ≤ Φ &lt; 0,25m</v>
          </cell>
        </row>
        <row r="781">
          <cell r="A781" t="str">
            <v>Cây cau trắng có đường kính gốc 0,25m ≤ Φ &lt; 0,30m</v>
          </cell>
        </row>
        <row r="782">
          <cell r="A782" t="str">
            <v>Cây cau trắng có đường kính gốc 0,30m  ≤ Φ &lt; 0,35m</v>
          </cell>
        </row>
        <row r="783">
          <cell r="A783" t="str">
            <v>Cây cau trắng có đường kính gốc Φ ≥  0,35m</v>
          </cell>
        </row>
        <row r="784">
          <cell r="A784" t="str">
            <v xml:space="preserve">Cây cau sâm banh có đường kính gốc 0,03m  ≤ Φ &lt; 0,05m </v>
          </cell>
        </row>
        <row r="785">
          <cell r="A785" t="str">
            <v xml:space="preserve">Cây cau sâm banh có đường kính gốc 0,05m  ≤ Φ &lt; 0,10m </v>
          </cell>
        </row>
        <row r="786">
          <cell r="A786" t="str">
            <v>Cây cau sâm banh có đường kính gốc 0,10m  ≤ Φ &lt; 0,15m</v>
          </cell>
        </row>
        <row r="787">
          <cell r="A787" t="str">
            <v>Cây cau sâm banh có đường kính gốc 0,15m ≤ Φ &lt; 0,20m</v>
          </cell>
        </row>
        <row r="788">
          <cell r="A788" t="str">
            <v>Cây cau sâm banh có đường kính gốc 0,20m  ≤ Φ &lt; 0,25m</v>
          </cell>
        </row>
        <row r="789">
          <cell r="A789" t="str">
            <v>Cây cau sâm banh có đường kính gốc 0,25m ≤ Φ &lt; 0,30m</v>
          </cell>
        </row>
        <row r="790">
          <cell r="A790" t="str">
            <v>Cây cau sâm banh có đường kính gốc 0,30m  ≤ Φ &lt; 0,35m</v>
          </cell>
        </row>
        <row r="791">
          <cell r="A791" t="str">
            <v>Cây cau sâm banh có đường kính gốc Φ ≥  0,35m</v>
          </cell>
        </row>
        <row r="792">
          <cell r="A792" t="str">
            <v xml:space="preserve">Cây cau lợn cọ có đường kính gốc 0,03m  ≤ Φ &lt; 0,05m </v>
          </cell>
        </row>
        <row r="793">
          <cell r="A793" t="str">
            <v xml:space="preserve">Cây cau lợn cọ có đường kính gốc 0,05m  ≤ Φ &lt; 0,10m </v>
          </cell>
        </row>
        <row r="794">
          <cell r="A794" t="str">
            <v>Cây cau lợn cọ có đường kính gốc 0,10m  ≤ Φ &lt; 0,15m</v>
          </cell>
        </row>
        <row r="795">
          <cell r="A795" t="str">
            <v>Cây cau lợn cọ có đường kính gốc 0,15m ≤ Φ &lt; 0,20m</v>
          </cell>
        </row>
        <row r="796">
          <cell r="A796" t="str">
            <v>Cây cau lợn cọ có đường kính gốc 0,20m  ≤ Φ &lt; 0,25m</v>
          </cell>
        </row>
        <row r="797">
          <cell r="A797" t="str">
            <v>Cây cau lợn cọ có đường kính gốc 0,25m ≤ Φ &lt; 0,30m</v>
          </cell>
        </row>
        <row r="798">
          <cell r="A798" t="str">
            <v>Cây cau lợn cọ có đường kính gốc 0,30m  ≤ Φ &lt; 0,35m</v>
          </cell>
        </row>
        <row r="799">
          <cell r="A799" t="str">
            <v>Cây cau lợn cọ có đường kính gốc Φ ≥  0,35m</v>
          </cell>
        </row>
        <row r="800">
          <cell r="A800" t="str">
            <v xml:space="preserve">Cây tùng la hán có đường kính gốc 0,03m  ≤ Φ &lt; 0,05m </v>
          </cell>
        </row>
        <row r="801">
          <cell r="A801" t="str">
            <v xml:space="preserve">Cây tùng la hán có đường kính gốc 0,05m  ≤ Φ &lt; 0,10m </v>
          </cell>
        </row>
        <row r="802">
          <cell r="A802" t="str">
            <v>Cây tùng la hán có đường kính gốc 0,10m  ≤ Φ &lt; 0,15m</v>
          </cell>
        </row>
        <row r="803">
          <cell r="A803" t="str">
            <v>Cây tùng la hán có đường kính gốc 0,15m ≤ Φ &lt; 0,20m</v>
          </cell>
        </row>
        <row r="804">
          <cell r="A804" t="str">
            <v>Cây tùng la hán có đường kính gốc 0,20m  ≤ Φ &lt; 0,25m</v>
          </cell>
        </row>
        <row r="805">
          <cell r="A805" t="str">
            <v>Cây tùng la hán có đường kính gốc 0,25m ≤ Φ &lt; 0,30m</v>
          </cell>
        </row>
        <row r="806">
          <cell r="A806" t="str">
            <v>Cây tùng la hán có đường kính gốc 0,30m  ≤ Φ &lt; 0,35m</v>
          </cell>
        </row>
        <row r="807">
          <cell r="A807" t="str">
            <v>Cây tùng la hán có đường kính gốc Φ ≥  0,35m</v>
          </cell>
        </row>
        <row r="808">
          <cell r="A808" t="str">
            <v>Cau bụi, cau kiểng vàng (trồng khóm dưới đất, khóm cách khóm &gt; 3m, chiều cao khóm H ³  50cm, tính theo đường kính khóm F)</v>
          </cell>
        </row>
        <row r="809">
          <cell r="A809" t="str">
            <v>Cau bụi, cau kiểng vàng có đường kính khóm Φ ≤ 1,0m</v>
          </cell>
        </row>
        <row r="810">
          <cell r="A810" t="str">
            <v xml:space="preserve">Cau bụi, cau kiểng vàng có đường kính khóm 1,0m ≤ Φ &lt; 1,5m </v>
          </cell>
        </row>
        <row r="811">
          <cell r="A811" t="str">
            <v xml:space="preserve">Cau bụi, cau kiểng vàng có đường kính khóm 1,5m ≤ Φ &lt; 2,0m </v>
          </cell>
        </row>
        <row r="812">
          <cell r="A812" t="str">
            <v>Cau bụi, cau kiểng vàng có đường kính khóm 2,0m ≤ Φ &lt; 2,5m</v>
          </cell>
        </row>
        <row r="813">
          <cell r="A813" t="str">
            <v>Cau bụi, cau kiểng vàng có đường kính khóm Φ ≥  2,5m</v>
          </cell>
        </row>
        <row r="814">
          <cell r="A814" t="str">
            <v>Hoa ngọc lan, ngâu, hoa sứ, mai tứ quý (đã chiết ghép, trồng dưới đất, tính theo đường kính tán F)</v>
          </cell>
        </row>
        <row r="815">
          <cell r="A815" t="str">
            <v>Cây hoa ngọc lan giống đủ tiêu chuẩn mới trồng, chưa ra hoa</v>
          </cell>
        </row>
        <row r="816">
          <cell r="A816" t="str">
            <v xml:space="preserve">Cây hoa ngọc lan có đường kính tán Φ  &lt; 1,0m (đã có hoa) </v>
          </cell>
        </row>
        <row r="817">
          <cell r="A817" t="str">
            <v xml:space="preserve">Cây hoa ngọc lan có đường kính tán 1,0m  ≤ Φ &lt;2,0m (đã có hoa) </v>
          </cell>
        </row>
        <row r="818">
          <cell r="A818" t="str">
            <v xml:space="preserve">Cây hoa ngọc lan có đường kính tán 2,0m  ≤ Φ &lt; 3,0m (đã có hoa) </v>
          </cell>
        </row>
        <row r="819">
          <cell r="A819" t="str">
            <v xml:space="preserve">Cây hoa ngọc lan có đường kính tán 3,0m  ≤ Φ &lt;4,0m (đã có hoa) </v>
          </cell>
        </row>
        <row r="820">
          <cell r="A820" t="str">
            <v xml:space="preserve">Cây hoa ngọc lan có đường kính tán Φ ≥  4,0m </v>
          </cell>
        </row>
        <row r="821">
          <cell r="A821" t="str">
            <v>Cây ngâu giống đủ tiêu chuẩn mới trồng, chưa ra hoa</v>
          </cell>
        </row>
        <row r="822">
          <cell r="A822" t="str">
            <v xml:space="preserve">Cây ngâu có đường kính tán Φ  &lt; 1,0m (đã có hoa) </v>
          </cell>
        </row>
        <row r="823">
          <cell r="A823" t="str">
            <v xml:space="preserve">Cây ngâu có đường kính tán 1,0m  ≤ Φ &lt;2,0m (đã có hoa) </v>
          </cell>
        </row>
        <row r="824">
          <cell r="A824" t="str">
            <v xml:space="preserve">Cây ngâu có đường kính tán 2,0m  ≤ Φ &lt; 3,0m (đã có hoa) </v>
          </cell>
        </row>
        <row r="825">
          <cell r="A825" t="str">
            <v xml:space="preserve">Cây ngâu có đường kính tán 3,0m  ≤ Φ &lt;4,0m (đã có hoa) </v>
          </cell>
        </row>
        <row r="826">
          <cell r="A826" t="str">
            <v xml:space="preserve">Cây ngâu có đường kính tán Φ ≥  4,0m </v>
          </cell>
        </row>
        <row r="827">
          <cell r="A827" t="str">
            <v>Cây hoa sứ giống đủ tiêu chuẩn mới trồng, chưa ra hoa</v>
          </cell>
        </row>
        <row r="828">
          <cell r="A828" t="str">
            <v xml:space="preserve">Cây hoa sứ có đường kính tán Φ  &lt; 1,0m (đã có hoa) </v>
          </cell>
        </row>
        <row r="829">
          <cell r="A829" t="str">
            <v xml:space="preserve">Cây hoa sứ có đường kính tán 1,0m  ≤ Φ &lt;2,0m (đã có hoa) </v>
          </cell>
        </row>
        <row r="830">
          <cell r="A830" t="str">
            <v xml:space="preserve">Cây hoa sứ có đường kính tán 2,0m  ≤ Φ &lt; 3,0m (đã có hoa) </v>
          </cell>
        </row>
        <row r="831">
          <cell r="A831" t="str">
            <v xml:space="preserve">Cây hoa sứ có đường kính tán 3,0m  ≤ Φ &lt;4,0m (đã có hoa) </v>
          </cell>
        </row>
        <row r="832">
          <cell r="A832" t="str">
            <v xml:space="preserve">Cây hoa sứ có đường kính tán Φ ≥  4,0m </v>
          </cell>
        </row>
        <row r="833">
          <cell r="A833" t="str">
            <v>Cây mai tứ quý giống đủ tiêu chuẩn mới trồng, chưa ra hoa</v>
          </cell>
        </row>
        <row r="834">
          <cell r="A834" t="str">
            <v xml:space="preserve">Cây mai tứ quý có đường kính tán Φ  &lt; 1,0m (đã có hoa) </v>
          </cell>
        </row>
        <row r="835">
          <cell r="A835" t="str">
            <v xml:space="preserve">Cây mai tứ quý có đường kính tán 1,0m  ≤ Φ &lt;2,0m (đã có hoa) </v>
          </cell>
        </row>
        <row r="836">
          <cell r="A836" t="str">
            <v xml:space="preserve">Cây mai tứ quý có đường kính tán 2,0m  ≤ Φ &lt; 3,0m (đã có hoa) </v>
          </cell>
        </row>
        <row r="837">
          <cell r="A837" t="str">
            <v xml:space="preserve">Cây mai tứ quý có đường kính tán 3,0m  ≤ Φ &lt;4,0m (đã có hoa) </v>
          </cell>
        </row>
        <row r="838">
          <cell r="A838" t="str">
            <v xml:space="preserve">Cây mai tứ quý có đường kính tán Φ ≥  4,0m </v>
          </cell>
        </row>
        <row r="839">
          <cell r="A839" t="str">
            <v xml:space="preserve">Sưa (ươm, trồng dưới đất, tính theo đường kính gốc F) </v>
          </cell>
        </row>
        <row r="840">
          <cell r="A840" t="str">
            <v>Cây sưa giống đủ tiêu chuẩn, mới trồng, chiều cao cây H ≥ 30cm</v>
          </cell>
        </row>
        <row r="841">
          <cell r="A841" t="str">
            <v>Cây sưa có đường kính gốc 0,01m  ≤ Φ &lt; 0,05m, chiều cao cây H ≥  50cm</v>
          </cell>
        </row>
        <row r="842">
          <cell r="A842" t="str">
            <v>Cây sưa có đường kính gốc 0,05m  ≤ Φ &lt; 0,10m, chiều cao cây H ≥  50cm</v>
          </cell>
        </row>
        <row r="843">
          <cell r="A843" t="str">
            <v>Cây sưa có đường kính gốc 0,10m  ≤ Φ &lt; 0,15m, chiều cao cây H ≥  50cm</v>
          </cell>
        </row>
        <row r="844">
          <cell r="A844" t="str">
            <v>Cây sưa có đường kính gốc 0,15m ≤ Φ &lt; 0,20m, chiều cao cây H ≥  50cm</v>
          </cell>
        </row>
        <row r="845">
          <cell r="A845" t="str">
            <v>Cây sưa có đường kính gốc 0,20m  ≤ Φ &lt; 0,25m, chiều cao cây H ≥  50cm</v>
          </cell>
        </row>
        <row r="846">
          <cell r="A846" t="str">
            <v>Cây sưa có đường kính gốc 0,25m ≤ Φ &lt; 0,30m, chiều cao cây H ≥ 50cm</v>
          </cell>
        </row>
        <row r="847">
          <cell r="A847" t="str">
            <v>Cây sưa có đường kính gốc 0,30m  ≤ Φ &lt; 0,35m, chiều cao cây H ≥  50cm</v>
          </cell>
        </row>
        <row r="848">
          <cell r="A848" t="str">
            <v>Cây sưa có đường kính gốc Φ ≥ 0,35m</v>
          </cell>
        </row>
        <row r="849">
          <cell r="A849" t="str">
            <v>Cọ trồng làm cảnh (tính theo đường kính tán F)</v>
          </cell>
        </row>
        <row r="850">
          <cell r="A850" t="str">
            <v>Cây cọ trồng làm cảnh có đường kính tán 0,5m ≤ Φ &lt;0,7m</v>
          </cell>
        </row>
        <row r="851">
          <cell r="A851" t="str">
            <v>Cây cọ trồng làm cảnh có đường kính tán 0,7m ≤ Φ &lt; 1,0m</v>
          </cell>
        </row>
        <row r="852">
          <cell r="A852" t="str">
            <v>Cây cọ trồng làm cảnh có đường kính tán 1,0m ≤ Φ &lt; 1,5m</v>
          </cell>
        </row>
        <row r="853">
          <cell r="A853" t="str">
            <v xml:space="preserve">Cây cọ trồng làm cảnh có đường kính tán 1,5m ≤ Φ &lt; 2,0m </v>
          </cell>
        </row>
        <row r="854">
          <cell r="A854" t="str">
            <v xml:space="preserve">Cây cọ trồng làm cảnh có đường kính tán 2,0m ≤ Φ &lt; 3,0m      </v>
          </cell>
        </row>
        <row r="855">
          <cell r="A855" t="str">
            <v>Cây cọ trồng làm cảnh có đường kính tán 3,0m ≤ Φ &lt; 4,0m</v>
          </cell>
        </row>
        <row r="856">
          <cell r="A856" t="str">
            <v>Cây cọ trồng làm cảnh có đường kính tán Φ ≥ 4,0m</v>
          </cell>
        </row>
        <row r="857">
          <cell r="A857" t="str">
            <v xml:space="preserve">Mai vàng (trồng dưới đất, tính theo đường kính gốc F) </v>
          </cell>
        </row>
        <row r="858">
          <cell r="A858" t="str">
            <v>Cây mai vàng có đường kính gốc 0,5cm ≤ Φ &lt; 1cm</v>
          </cell>
        </row>
        <row r="859">
          <cell r="A859" t="str">
            <v>Cây mai vàng có đường kính gốc 1cm ≤ Φ &lt; 2cm</v>
          </cell>
        </row>
        <row r="860">
          <cell r="A860" t="str">
            <v>Cây mai vàng có đường kính gốc 2cm ≤ Φ &lt; 4cm</v>
          </cell>
        </row>
        <row r="861">
          <cell r="A861" t="str">
            <v>Cây mai vàng có đường kính gốc 4cm ≤ Φ &lt; 6cm</v>
          </cell>
        </row>
        <row r="862">
          <cell r="A862" t="str">
            <v xml:space="preserve">Cây mai vàng có đường kính gốc 6cm ≤ Φ &lt; 10cm </v>
          </cell>
        </row>
        <row r="863">
          <cell r="A863" t="str">
            <v xml:space="preserve">Cây mai vàng có đường kính gốc Φ ≥ 10cm </v>
          </cell>
        </row>
        <row r="864">
          <cell r="A864" t="str">
            <v>Cây Móc Mật (Mác Mật)</v>
          </cell>
        </row>
        <row r="865">
          <cell r="A865" t="str">
            <v>Cây móc mật (mác mật) mới trồng, đường kính gốc &lt; 2cm</v>
          </cell>
        </row>
        <row r="866">
          <cell r="A866" t="str">
            <v>Cây móc mật (mác mật) đường kính gốc từ 2 đến 5cm.</v>
          </cell>
        </row>
        <row r="867">
          <cell r="A867" t="str">
            <v>Cây móc mật (mác mật) đường kính gốc &gt; 5 đến 10 cm</v>
          </cell>
        </row>
        <row r="868">
          <cell r="A868" t="str">
            <v>Cây móc mật (mác mật) đường kính gốc &gt; 10 đến 15 cm</v>
          </cell>
        </row>
        <row r="869">
          <cell r="A869" t="str">
            <v>Cây móc mật (mác mật) đường kính gốc &gt; 15 đến 20 cm</v>
          </cell>
        </row>
        <row r="870">
          <cell r="A870" t="str">
            <v>Cây móc mật (mác mật) đường kính gốc &gt; 20cm</v>
          </cell>
        </row>
        <row r="871">
          <cell r="A871" t="str">
            <v xml:space="preserve">Đào tiên (tính theo đường kính gốc F) </v>
          </cell>
        </row>
        <row r="872">
          <cell r="A872" t="str">
            <v>Đào tiên giống đủ tiêu chuẩn mới trồng</v>
          </cell>
        </row>
        <row r="873">
          <cell r="A873" t="str">
            <v>Đào tiên loại cây ghép có chiều cao cây 40cm ≤ Φ &lt; 1m</v>
          </cell>
        </row>
        <row r="874">
          <cell r="A874" t="str">
            <v>Đào tiên loại cây ghép có chiều cao cây H ≥ 1m</v>
          </cell>
        </row>
        <row r="875">
          <cell r="A875" t="str">
            <v>Đào tiên loại cây chiết cành có chiều cao cây 40cm ≤ Φ &lt; 1m</v>
          </cell>
        </row>
        <row r="876">
          <cell r="A876" t="str">
            <v>Đào tiên loại cây chiết cành có chiều cao cây H ≥ 1m</v>
          </cell>
        </row>
        <row r="877">
          <cell r="A877" t="str">
            <v>Cây đào tiên đường kính gốc 1cm ≤ Φ &lt; 2cm</v>
          </cell>
        </row>
        <row r="878">
          <cell r="A878" t="str">
            <v>Cây đào tiên đường kính gốc 2cm ≤ Φ &lt; 5cm</v>
          </cell>
        </row>
        <row r="879">
          <cell r="A879" t="str">
            <v xml:space="preserve">Cây đào tiên đường kính gốc 5cm ≤ Φ &lt; 7cm </v>
          </cell>
        </row>
        <row r="880">
          <cell r="A880" t="str">
            <v xml:space="preserve">Cây đào tiên đường kính gốc 7cm ≤ Φ &lt; 9cm </v>
          </cell>
        </row>
        <row r="881">
          <cell r="A881" t="str">
            <v xml:space="preserve">Cây đào tiên đường kính gốc 9cm ≤ Φ &lt; 12cm </v>
          </cell>
        </row>
        <row r="882">
          <cell r="A882" t="str">
            <v xml:space="preserve">Cây đào tiên đường kính gốc 12cm ≤ Φ &lt; 15cm </v>
          </cell>
        </row>
        <row r="883">
          <cell r="A883" t="str">
            <v xml:space="preserve">Cây đào tiên đường kính gốc 15cm ≤ Φ &lt; 20cm </v>
          </cell>
        </row>
        <row r="884">
          <cell r="A884" t="str">
            <v>Cây đào tiên đường kính gốc 20cm ≤ Φ &lt; 25cm</v>
          </cell>
        </row>
        <row r="885">
          <cell r="A885" t="str">
            <v xml:space="preserve">Cây đào tiên đường kính gốc Φ ≥ 25cm </v>
          </cell>
        </row>
        <row r="886">
          <cell r="A886" t="str">
            <v xml:space="preserve">Gáo (tính theo đường kính gốc F) </v>
          </cell>
        </row>
        <row r="887">
          <cell r="A887" t="str">
            <v>Cây gáo giống đủ tiêu chuẩn mới trồng, chiều cao cây  H ≥ 40cm</v>
          </cell>
        </row>
        <row r="888">
          <cell r="A888" t="str">
            <v>Cây gáo có đường kính gốc 1cm ≤ Φ &lt; 3cm</v>
          </cell>
        </row>
        <row r="889">
          <cell r="A889" t="str">
            <v>Cây gáo có đường kính gốc 3cm ≤ Φ &lt; 5cm</v>
          </cell>
        </row>
        <row r="890">
          <cell r="A890" t="str">
            <v>Cây gáo có đường kính gốc 5cm ≤ Φ &lt; 10cm</v>
          </cell>
        </row>
        <row r="891">
          <cell r="A891" t="str">
            <v>Cây gáo có đường kính gốc 10cm ≤ Φ &lt; 15cm</v>
          </cell>
        </row>
        <row r="892">
          <cell r="A892" t="str">
            <v>Cây gáo có đường kính gốc 15cm ≤ Φ &lt; 20cm</v>
          </cell>
        </row>
        <row r="893">
          <cell r="A893" t="str">
            <v xml:space="preserve">Cây gáo có đường kính gốc 20cm ≤ Φ &lt; 30cm </v>
          </cell>
        </row>
        <row r="894">
          <cell r="A894" t="str">
            <v xml:space="preserve">Cây gáo có đường kính gốc 30cm ≤ Φ &lt; 40cm </v>
          </cell>
        </row>
        <row r="895">
          <cell r="A895" t="str">
            <v>Cây gáo có đường kính gốc Φ ≥ 40cm</v>
          </cell>
        </row>
        <row r="896">
          <cell r="A896" t="str">
            <v>Đinh Lăng</v>
          </cell>
        </row>
        <row r="897">
          <cell r="A897" t="str">
            <v>Cây đinh lăng có chiều cao cây H &lt; 50cm</v>
          </cell>
        </row>
        <row r="898">
          <cell r="A898" t="str">
            <v>Cây đinh lăng có chiều cao cây 50cm ≤ H &lt; 100cm</v>
          </cell>
        </row>
        <row r="899">
          <cell r="A899" t="str">
            <v>Cây đinh lăng có chiều cao cây H ≥ 100cm</v>
          </cell>
        </row>
        <row r="900">
          <cell r="A900" t="str">
            <v>Thiên lý (tính theo m2 giàn, không bao gồm chi phí cọc bê tông cốt thép dựng giàn)</v>
          </cell>
        </row>
        <row r="901">
          <cell r="A901" t="str">
            <v>Đối với cây ươm, gieo hoặc cây trồng hàng năm xen dưới tán lá cây lâu năm (tính bình quân trên diện tích cây trồng chiếm chỗ)</v>
          </cell>
        </row>
        <row r="902">
          <cell r="A902" t="str">
            <v>Đối với lâm sản phụ trồng trên diện tích nông nghiệp do Nhà nước giao cho hộ đình, cá nhân để trồng, khoanh, nuôi, bảo vệ, tái sinh rừng, mà khi giao là đất trống, đồi núi trọc... hộ gia đình, cá nhân tự bỏ vốn đầu tư trồng rừng (tính bình quân trên diện tích cây trồng chiếm chỗ)</v>
          </cell>
        </row>
        <row r="903">
          <cell r="A903" t="str">
            <v>Muồng hoàng yến - Osaka vàng (tính theo đường kính gốc)</v>
          </cell>
        </row>
        <row r="904">
          <cell r="A904" t="str">
            <v>Cây muồng hoàng yến - Osaka vàng giống đủ tiêu chuẩn mới trồng, chiều cao cây  H ≤ 40cm</v>
          </cell>
        </row>
        <row r="905">
          <cell r="A905" t="str">
            <v>Cây muồng hoàng yến - Osaka vàng có đường kính gốc 1cm ≤ Φ &lt; 3cm</v>
          </cell>
        </row>
        <row r="906">
          <cell r="A906" t="str">
            <v>Cây muồng hoàng yến - Osaka vàng có đường kính gốc 3cm ≤ Φ &lt; 5cm</v>
          </cell>
        </row>
        <row r="907">
          <cell r="A907" t="str">
            <v>Cây muồng hoàng yến - Osaka vàng có đường kính gốc 5cm ≤ Φ &lt;10cm</v>
          </cell>
        </row>
        <row r="908">
          <cell r="A908" t="str">
            <v>Cây muồng hoàng yến - Osaka vàng có đường kính gốc 10cm ≤ Φ &lt; 15cm</v>
          </cell>
        </row>
        <row r="909">
          <cell r="A909" t="str">
            <v>Cây muồng hoàng yến - Osaka vàng có đường kính gốc 15cm ≤ Φ &lt; 20cm</v>
          </cell>
        </row>
        <row r="910">
          <cell r="A910" t="str">
            <v xml:space="preserve">Cây muồng hoàng yến - Osaka vàng có đường kính gốc 20cm ≤ Φ &lt; 30cm </v>
          </cell>
        </row>
        <row r="911">
          <cell r="A911" t="str">
            <v xml:space="preserve">Cây muồng hoàng yến - Osaka vàng có đường kính gốc 30cm ≤ Φ &lt; 40cm </v>
          </cell>
        </row>
        <row r="912">
          <cell r="A912" t="str">
            <v xml:space="preserve">Cây muồng hoàng yến - Osaka vàng có đường kính gốc Φ  ≥ 40cm </v>
          </cell>
        </row>
        <row r="913">
          <cell r="A913" t="str">
            <v>Bàng Đài Loan (tính theo đường kính gốc )</v>
          </cell>
        </row>
        <row r="914">
          <cell r="A914" t="str">
            <v>Cây bàng Đài Loan giống đủ tiêu chuẩn mới trồng, chiều cao cây  H ≤40cm</v>
          </cell>
        </row>
        <row r="915">
          <cell r="A915" t="str">
            <v>Cây bàng Đài Loan có đường kính gốc 1cm ≤ Φ &lt; 3cm</v>
          </cell>
        </row>
        <row r="916">
          <cell r="A916" t="str">
            <v xml:space="preserve">Cây bàng Đài Loan có đường kính gốc 3cm ≤ Φ &lt; 5cm </v>
          </cell>
        </row>
        <row r="917">
          <cell r="A917" t="str">
            <v>Cây bàng Đài Loan có đường kính gốc 5cm ≤ Φ &lt; 10cm</v>
          </cell>
        </row>
        <row r="918">
          <cell r="A918" t="str">
            <v>Cây bàng Đài Loan có đường kính gốc 10cm ≤ Φ &lt; 15cm</v>
          </cell>
        </row>
        <row r="919">
          <cell r="A919" t="str">
            <v>Cây bàng Đài Loan có đường kính gốc 15cm ≤ Φ &lt; 20cm</v>
          </cell>
        </row>
        <row r="920">
          <cell r="A920" t="str">
            <v xml:space="preserve">Cây bàng Đài Loan có đường kính gốc 20cm ≤ Φ &lt; 25cm </v>
          </cell>
        </row>
        <row r="921">
          <cell r="A921" t="str">
            <v xml:space="preserve">Cây bàng Đài Loan có đường kính gốc 25cm ≤ Φ &lt; 30cm </v>
          </cell>
        </row>
        <row r="922">
          <cell r="A922" t="str">
            <v xml:space="preserve">Cây bàng Đài Loan có đường kính gốc Φ ≥ 30cm </v>
          </cell>
        </row>
        <row r="923">
          <cell r="A923" t="str">
            <v xml:space="preserve">Hoa mẫu đơn ta  </v>
          </cell>
        </row>
        <row r="924">
          <cell r="A924" t="str">
            <v>Cây hoa mẫu đơn ta giống đủ tiêu chuẩn mới trồng, chiều cao cây  H &lt; 40cm</v>
          </cell>
        </row>
        <row r="925">
          <cell r="A925" t="str">
            <v xml:space="preserve">Cây hoa mẫu đơn ta giống đủ tiêu chuẩn mới trồng, chiều cao cây  40cm ≤ H &lt; 100cm </v>
          </cell>
        </row>
        <row r="926">
          <cell r="A926" t="str">
            <v xml:space="preserve">Cây hoa mẫu đơn ta giống đủ tiêu chuẩn mới trồng, chiều cao cây  H ≥ 100cm       </v>
          </cell>
        </row>
        <row r="927">
          <cell r="A927" t="str">
            <v>Cây hoa mẫu đơn ta có đường kính tán &lt;1m, gốc có 5-7 nhánh</v>
          </cell>
        </row>
        <row r="928">
          <cell r="A928" t="str">
            <v>Cây hoa mẫu đơn ta có đường kính tán từ 1,0m đến 1,2m gốc có 5-7 nhánh</v>
          </cell>
        </row>
        <row r="929">
          <cell r="A929" t="str">
            <v>Cây hoa mẫu đơn ta có đường kính tán  1,0m đến 1,2m, gốc có 8-10 nhánh</v>
          </cell>
        </row>
        <row r="930">
          <cell r="A930" t="str">
            <v>Cây hoa mẫu đơn ta có đường kính tán  1,3m đến 1,5 m, gốc có 8-10 nhánh</v>
          </cell>
        </row>
        <row r="931">
          <cell r="A931" t="str">
            <v>Cây hoa mẫu đơn ta có đường kính tán 1,6m đến 2m, gốc có trên 10 nhánh</v>
          </cell>
        </row>
        <row r="932">
          <cell r="A932" t="str">
            <v>Cây hoa mẫu đơn ta có đường kính tán 2,0m đến 2,2 m, gốc có trên 10 nhánh</v>
          </cell>
        </row>
        <row r="933">
          <cell r="A933" t="str">
            <v>Cây hoa mẫu đơn ta có đường kính tán &gt;2,2m đến 2,5m, gốc có trên 10 nhánh</v>
          </cell>
        </row>
        <row r="934">
          <cell r="A934" t="str">
            <v>Cây hoa mẫu đơn ta có đường kính tán &gt;2,5 m, gốc có trên 10 nhánh</v>
          </cell>
        </row>
        <row r="935">
          <cell r="A935" t="str">
            <v>Cây hoa hòe (tính theo đường kính tán)</v>
          </cell>
        </row>
        <row r="936">
          <cell r="A936" t="str">
            <v>Cây hoa hòe giống đủ tiêu chuẩn  mới trồng</v>
          </cell>
        </row>
        <row r="937">
          <cell r="A937" t="str">
            <v>Cây hoa hòe có đường kính tán 0,1m ≤ Φ &lt; 0,5m</v>
          </cell>
        </row>
        <row r="938">
          <cell r="A938" t="str">
            <v>Cây hoa hòe có đường kính tán 0,5m ≤ Φ &lt; 1m</v>
          </cell>
        </row>
        <row r="939">
          <cell r="A939" t="str">
            <v>Cây hoa hòe có đường kính tán 1m ≤ Φ &lt; 1,5m</v>
          </cell>
        </row>
        <row r="940">
          <cell r="A940" t="str">
            <v>Cây hoa hòe có đường kính tán 1,5m ≤ Φ &lt;2m</v>
          </cell>
        </row>
        <row r="941">
          <cell r="A941" t="str">
            <v>Cây hoa hòe có đường kính tán 2m ≤ Φ &lt; 3m</v>
          </cell>
        </row>
        <row r="942">
          <cell r="A942" t="str">
            <v>Cây hoa hòe có đường kính tán 3m ≤ Φ &lt; 4m</v>
          </cell>
        </row>
        <row r="943">
          <cell r="A943" t="str">
            <v>Cây hoa hòe có đường kính tán 4m ≤ Φ &lt; 5m</v>
          </cell>
        </row>
        <row r="944">
          <cell r="A944" t="str">
            <v>Cây hoa hòe có đường kính tán 5m ≤ Φ &lt; 6m</v>
          </cell>
        </row>
        <row r="945">
          <cell r="A945" t="str">
            <v>Cây hoa hòe có đường kính tán 6m ≤ Φ &lt; 7m</v>
          </cell>
        </row>
        <row r="946">
          <cell r="A946" t="str">
            <v>Cây hoa hòe có đường kính tán 7m ≤ Φ &lt; 8m</v>
          </cell>
        </row>
        <row r="947">
          <cell r="A947" t="str">
            <v>Cây hoa hòe có đường kính tán 8m ≤ Φ &lt; 9m</v>
          </cell>
        </row>
        <row r="948">
          <cell r="A948" t="str">
            <v>Cây hoa hòe có đường kính tán 9m ≤ Φ &lt; 12m</v>
          </cell>
        </row>
        <row r="949">
          <cell r="A949" t="str">
            <v>Cây hoa hòe có đường kính tán Φ ≥ 12m</v>
          </cell>
        </row>
        <row r="950">
          <cell r="A950" t="str">
            <v>Cây túc (tính theo đường kính gốc)</v>
          </cell>
        </row>
        <row r="951">
          <cell r="A951" t="str">
            <v>Cây túc giống đủ tiêu chuẩn mới trồng, chiều cao cây H &lt; 40cm</v>
          </cell>
        </row>
        <row r="952">
          <cell r="A952" t="str">
            <v>Cây túc đường kính gốc 1cm ≤ Φ &lt; 5cm</v>
          </cell>
        </row>
        <row r="953">
          <cell r="A953" t="str">
            <v>Cây túc đường kính gốc 5cm ≤ Φ &lt; 10cm</v>
          </cell>
        </row>
        <row r="954">
          <cell r="A954" t="str">
            <v xml:space="preserve">Cây túc đường kính gốc 10cm ≤ Φ &lt; 15cm  </v>
          </cell>
        </row>
        <row r="955">
          <cell r="A955" t="str">
            <v>Cây túc đường kính gốc 15cm ≤ Φ &lt; 20cm</v>
          </cell>
        </row>
        <row r="956">
          <cell r="A956" t="str">
            <v>Cây túc đường kính gốc 20cm ≤ Φ &lt; 25cm</v>
          </cell>
        </row>
        <row r="957">
          <cell r="A957" t="str">
            <v>Cây túc đường kính gốc 25cm ≤ Φ &lt; 30cm</v>
          </cell>
        </row>
        <row r="958">
          <cell r="A958" t="str">
            <v>Cây túc đường kính gốc 30cm ≤ Φ &lt; 35cm</v>
          </cell>
        </row>
        <row r="959">
          <cell r="A959" t="str">
            <v>Cây túc đường kính gốc Φ ≥ 35cm</v>
          </cell>
        </row>
        <row r="960">
          <cell r="A960" t="str">
            <v>Tùng ấn độ  (tính theo đường kính gốc)</v>
          </cell>
        </row>
        <row r="961">
          <cell r="A961" t="str">
            <v>Cây tùng ấn độ giống đủ tiêu chuẩn mới trồng, chiều cao cây H &lt; 40cm</v>
          </cell>
        </row>
        <row r="962">
          <cell r="A962" t="str">
            <v>Cây tùng ấn độ có đường kính gốc 1cm ≤ Φ &lt; 3cm</v>
          </cell>
        </row>
        <row r="963">
          <cell r="A963" t="str">
            <v>Cây tùng ấn độ có đường kính gốc 3cm ≤ Φ &lt; 5cm</v>
          </cell>
        </row>
        <row r="964">
          <cell r="A964" t="str">
            <v>Cây tùng ấn độ có đường kính gốc 5cm ≤ Φ &lt; 10cm</v>
          </cell>
        </row>
        <row r="965">
          <cell r="A965" t="str">
            <v>Cây tùng ấn độ có đường kính gốc 10cm ≤ Φ &lt; 15cm</v>
          </cell>
        </row>
        <row r="966">
          <cell r="A966" t="str">
            <v>Cây tùng ấn độ có đường kính gốc Φ ≥ 15cm</v>
          </cell>
        </row>
        <row r="967">
          <cell r="A967" t="str">
            <v>Cây Xạ đen (tính theo đường kính tán)</v>
          </cell>
        </row>
        <row r="968">
          <cell r="A968" t="str">
            <v>Cây xạ đen giống đủ tiêu chuẩn  mới trồng</v>
          </cell>
        </row>
        <row r="969">
          <cell r="A969" t="str">
            <v>Cây xạ đen có đường kính tán 0,1 ≤ Φ &lt; 0,5m</v>
          </cell>
        </row>
        <row r="970">
          <cell r="A970" t="str">
            <v>Cây xạ đen có đường kính tán 0,5m ≤ Φ &lt; 1m</v>
          </cell>
        </row>
        <row r="971">
          <cell r="A971" t="str">
            <v>Cây xạ đen có đường kính tán 1m ≤ Φ &lt; 1,5m</v>
          </cell>
        </row>
        <row r="972">
          <cell r="A972" t="str">
            <v>Cây xạ đen có đường kính tán 1,5m ≤ Φ &lt; 2m</v>
          </cell>
        </row>
        <row r="973">
          <cell r="A973" t="str">
            <v>Cây xạ đen có đường kính tán 2m ≤ Φ &lt; 3m</v>
          </cell>
        </row>
        <row r="974">
          <cell r="A974" t="str">
            <v>Cây xạ đen có đường kính tán 3m ≤ Φ &lt; 4m</v>
          </cell>
        </row>
        <row r="975">
          <cell r="A975" t="str">
            <v>Cây xạ đen có đường kính tán Φ ≥ 4m</v>
          </cell>
        </row>
        <row r="976">
          <cell r="A976" t="str">
            <v>Cây Hải đường (tính theo đường kính gốc)</v>
          </cell>
        </row>
        <row r="977">
          <cell r="A977" t="str">
            <v>Cây hải đường giống đủ tiêu chuẩn mới trồng</v>
          </cell>
        </row>
        <row r="978">
          <cell r="A978" t="str">
            <v>Cây hải đường có đường kính gốc 1cm ≤ Φ &lt; 3cm</v>
          </cell>
        </row>
        <row r="979">
          <cell r="A979" t="str">
            <v>Cây hải đường có đường kính gốc 3cm ≤ Φ &lt; 5cm</v>
          </cell>
        </row>
        <row r="980">
          <cell r="A980" t="str">
            <v>Cây hải đường có đường kính gốc 5cm ≤ Φ &lt; 7cm</v>
          </cell>
        </row>
        <row r="981">
          <cell r="A981" t="str">
            <v>Cây hải đường có đường kính gốc 7cm ≤ Φ &lt; 9cm</v>
          </cell>
        </row>
        <row r="982">
          <cell r="A982" t="str">
            <v>Cây hải đường có đường kính gốc Φ ≥ 9cm</v>
          </cell>
        </row>
        <row r="983">
          <cell r="A983" t="str">
            <v>Cây cóc (tính theo đường kính gốc)</v>
          </cell>
        </row>
        <row r="984">
          <cell r="A984" t="str">
            <v>Cây cóc có đường kính gốc 1cm ≤ Φ &lt; 2cm</v>
          </cell>
        </row>
        <row r="985">
          <cell r="A985" t="str">
            <v>Cây cóc có đường kính gốc 2cm ≤ Φ &lt; 5cm</v>
          </cell>
        </row>
        <row r="986">
          <cell r="A986" t="str">
            <v>Cây cóc có đường kính gốc 5cm ≤ Φ &lt; 7cm</v>
          </cell>
        </row>
        <row r="987">
          <cell r="A987" t="str">
            <v>Cây cóc có đường kính gốc Φ ≥ 7cm</v>
          </cell>
        </row>
        <row r="988">
          <cell r="A988" t="str">
            <v>Cây tùng cối (tính theo đường kính gốc)</v>
          </cell>
        </row>
        <row r="989">
          <cell r="A989" t="str">
            <v>Cây tùng cối có đường kính gốc 1cm ≤ Φ &lt; 2cm</v>
          </cell>
        </row>
        <row r="990">
          <cell r="A990" t="str">
            <v>Cây tùng cối có đường kính gốc 2cm ≤ Φ &lt; 5cm</v>
          </cell>
        </row>
        <row r="991">
          <cell r="A991" t="str">
            <v>Cây tùng cối có đường kính gốc 5cm ≤ Φ &lt; 7cm</v>
          </cell>
        </row>
        <row r="992">
          <cell r="A992" t="str">
            <v>Cây tùng cối có đường kính gốc Φ ≥ 7cm</v>
          </cell>
        </row>
        <row r="993">
          <cell r="A993" t="str">
            <v>Cây vạn tuế (tính theo đường kính gốc)</v>
          </cell>
        </row>
        <row r="994">
          <cell r="A994" t="str">
            <v>Cây vạn tuế có đường kính gốc  Φ &lt; 10cm</v>
          </cell>
        </row>
        <row r="995">
          <cell r="A995" t="str">
            <v>Cây vạn tuế có đường kính gốc 10cm ≤ Φ &lt; 20cm</v>
          </cell>
        </row>
        <row r="996">
          <cell r="A996" t="str">
            <v>Cây vạn tuế có đường kính gốc 20cm ≤ Φ &lt; 30cm</v>
          </cell>
        </row>
        <row r="997">
          <cell r="A997" t="str">
            <v>Cây vạn tuế có đường kính gốc Φ ≥ 30cm</v>
          </cell>
        </row>
        <row r="998">
          <cell r="A998" t="str">
            <v>Cây cảnh trồng trong chậu (tính chi phí di chuyển cả cây và chậu)</v>
          </cell>
        </row>
        <row r="999">
          <cell r="A999" t="str">
            <v>Di chuyển chậu có đường kính &lt; 0,5m</v>
          </cell>
        </row>
        <row r="1000">
          <cell r="A1000" t="str">
            <v xml:space="preserve">Di chuyển chậu có đường kính 0,5m ≤ Φ &lt; 0,7m </v>
          </cell>
        </row>
        <row r="1001">
          <cell r="A1001" t="str">
            <v xml:space="preserve">Di chuyển chậu có đường kính 0,7m ≤ Φ &lt; 1m </v>
          </cell>
        </row>
        <row r="1002">
          <cell r="A1002" t="str">
            <v xml:space="preserve">Di chuyển chậu có đường kính 1m ≤ Φ &lt; 1,5m </v>
          </cell>
        </row>
        <row r="1003">
          <cell r="A1003" t="str">
            <v xml:space="preserve">Di chuyển chậu có đường kính ≥ 1,5m </v>
          </cell>
        </row>
        <row r="1004">
          <cell r="A1004" t="str">
            <v>Quất cảnh (tính theo đường kính tán lá Φ)</v>
          </cell>
        </row>
        <row r="1005">
          <cell r="A1005" t="str">
            <v>Cây giống đủ tiêu chuẩn mới trồng</v>
          </cell>
        </row>
        <row r="1006">
          <cell r="A1006" t="str">
            <v>Cây có đường kính tán 0,7m ≤ Φ &lt; 1m</v>
          </cell>
        </row>
        <row r="1007">
          <cell r="A1007" t="str">
            <v>Cây có đường kính tán 1m ≤ Φ &lt; 1,5m</v>
          </cell>
        </row>
        <row r="1008">
          <cell r="A1008" t="str">
            <v>Cây có đường kính tán 1,5m ≤ Φ &lt; 2m</v>
          </cell>
        </row>
        <row r="1009">
          <cell r="A1009" t="str">
            <v>Cây có đường kính tán Φ ≥ 2m</v>
          </cell>
        </row>
        <row r="1010">
          <cell r="A1010" t="str">
            <v>Cây cảnh làm giống</v>
          </cell>
        </row>
        <row r="1011">
          <cell r="A1011" t="str">
            <v xml:space="preserve">Cây giống đào, hoa cảnh </v>
          </cell>
        </row>
        <row r="1012">
          <cell r="A1012" t="str">
            <v>Gieo, ươm hạt thành luống chưa ghép</v>
          </cell>
        </row>
        <row r="1013">
          <cell r="A1013" t="str">
            <v xml:space="preserve">Gieo, ươm hạt thành luống đã ghép </v>
          </cell>
        </row>
        <row r="1014">
          <cell r="A1014" t="str">
            <v>Cây giống đào hoa cảnh đã ghép đủ tiêu chuẩn</v>
          </cell>
        </row>
        <row r="1015">
          <cell r="A1015" t="str">
            <v xml:space="preserve">Cây giống trồng từ đào mạ, không ghép trồng thành luống </v>
          </cell>
        </row>
        <row r="1016">
          <cell r="A1016" t="str">
            <v>Cây giống lộc vừng, sanh, si</v>
          </cell>
        </row>
        <row r="1017">
          <cell r="A1017" t="str">
            <v>Cây gieo ươm từ hạt</v>
          </cell>
        </row>
        <row r="1018">
          <cell r="A1018" t="str">
            <v>Giống ươm gieo hạt chiều cao cây H &lt; 20cm</v>
          </cell>
        </row>
        <row r="1019">
          <cell r="A1019" t="str">
            <v xml:space="preserve">Giống ươm gieo hạt chiều cao cây H ≥ 20cm </v>
          </cell>
        </row>
        <row r="1020">
          <cell r="A1020" t="str">
            <v>Từ cây ươm gieo hạt tách ra đựng trong bầu nilong hoặc trồng thành luống</v>
          </cell>
        </row>
        <row r="1021">
          <cell r="A1021" t="str">
            <v xml:space="preserve">Chiều cao cây 20cm  ≤ H &lt; 50cm </v>
          </cell>
        </row>
        <row r="1022">
          <cell r="A1022" t="str">
            <v>Chiều cao cây 50cm  ≤ H &lt; 70cm</v>
          </cell>
        </row>
        <row r="1023">
          <cell r="A1023" t="str">
            <v xml:space="preserve">Chiều cao cây 70cm  ≤ H &lt;100cm </v>
          </cell>
        </row>
        <row r="1024">
          <cell r="A1024" t="str">
            <v>Cây giống cau cảnh</v>
          </cell>
        </row>
        <row r="1025">
          <cell r="A1025" t="str">
            <v>Cây gieo ươm từ hạt</v>
          </cell>
        </row>
        <row r="1026">
          <cell r="A1026" t="str">
            <v>Giống ươm gieo hạt thành luống, vạt chiều cao cây H &lt; 20cm</v>
          </cell>
        </row>
        <row r="1027">
          <cell r="A1027" t="str">
            <v xml:space="preserve">Giống ươm gieo hạt thành luống, vạt chiều cao cây H ≥ 20cm </v>
          </cell>
        </row>
        <row r="1028">
          <cell r="A1028" t="str">
            <v>Từ cây ươm gieo hạt tách ra đựng trong bầu nilong hoặc trồng thành luống</v>
          </cell>
        </row>
        <row r="1029">
          <cell r="A1029" t="str">
            <v>Chiều cao cây H &lt; 20cm</v>
          </cell>
        </row>
        <row r="1030">
          <cell r="A1030" t="str">
            <v>Chiều cao cây 20cm  ≤ H &lt; 50cm</v>
          </cell>
        </row>
        <row r="1031">
          <cell r="A1031" t="str">
            <v xml:space="preserve">Chiều cao cây H ≥ 50cm </v>
          </cell>
        </row>
        <row r="1032">
          <cell r="A1032" t="str">
            <v>Đào tán (đào hoa cảnh có đặc điểm tán lá hình tròn, hình tháp, thân chính không uốn tạo thế phát triển tự nhiên, chỉ cắt tỉa cành nhỏ; trồng trên đất đã được chuyển mục đích theo quy định, bao gồm: Đào cây, các loại cây khác trồng xen canh, bể chứa nước, bể chứa phân…tính trên diện tích 1 sào =360m2).</v>
          </cell>
        </row>
        <row r="1033">
          <cell r="A1033" t="str">
            <v xml:space="preserve">Đào tán loại 1 (số cây có đường kính tán từ 0,8m đến 1m, cao từ 1m đến 1,5m chiếm trên 50% diện tích; quy đổi 1 cây/1,8m2) </v>
          </cell>
        </row>
        <row r="1034">
          <cell r="A1034" t="str">
            <v xml:space="preserve">Đào tán loại 2 (số cây có đường kính tán từ 0,8m đến 1m, cao từ 1m đến 1,5m chiếm từ 40% đến 50% diện tích; quy đổi 1 cây/1,8m2) </v>
          </cell>
        </row>
        <row r="1035">
          <cell r="A1035" t="str">
            <v xml:space="preserve">Đào tán loại 3 (số cây có đường kính tán từ 0,8m đến 1m, cao từ 1m đến 1,5m chiếm từ 30% đến 40% diện tích; quy đổi 1 cây/1,8m2) </v>
          </cell>
        </row>
        <row r="1036">
          <cell r="A1036" t="str">
            <v xml:space="preserve">Đào tán loại 4 (số cây có đường kính tán từ 0,8m đến 1m, cao từ 1m đến 1,5m chiếm dưới 30% diện tích; quy đổi 1 cây/1,2m2) </v>
          </cell>
        </row>
        <row r="1037">
          <cell r="A1037" t="str">
            <v>Đào thế (đào trồng trên đất đã được chuyển mục đích theo quy định, bao gồm: Đào cây, các loại cây khác trồng xen canh, bể chứa nước, bể chứa phân…tính trên diện tích 1 sào =360m2)</v>
          </cell>
        </row>
        <row r="1038">
          <cell r="A1038" t="str">
            <v xml:space="preserve">Đào thế loại 1 (số cây có chiều cao từ 1m đến 1,5m chiếm trên 50% diện tích; quy đổi 1 cây/1,8m2) </v>
          </cell>
        </row>
        <row r="1039">
          <cell r="A1039" t="str">
            <v xml:space="preserve">Đào thế loại 2 (số cây có chiều cao từ 1m đến 1,5m chiếm từ 40% đến 50% diện tích; quy đổi 1 cây/1,8m2) </v>
          </cell>
        </row>
        <row r="1040">
          <cell r="A1040" t="str">
            <v xml:space="preserve">Đào thế loại 3 (số cây có chiều cao từ 1m đến 1,5m chiếm dưới 40% diện tích; quy đổi 1 cây/1,2m2) </v>
          </cell>
        </row>
        <row r="1041">
          <cell r="A1041" t="str">
            <v>Cỏ cảnh lá tre, cỏ nhung (trồng dày đặc)</v>
          </cell>
        </row>
        <row r="1042">
          <cell r="A1042" t="str">
            <v>Hương nhu, lá ngải, lá nếp, lưỡi hổ, láng tía, ngũ gia bì</v>
          </cell>
        </row>
        <row r="1043">
          <cell r="A1043" t="str">
            <v>Trầu không</v>
          </cell>
        </row>
        <row r="1044">
          <cell r="A1044" t="str">
            <v>Hương bài</v>
          </cell>
        </row>
        <row r="1045">
          <cell r="A1045" t="str">
            <v>GIỐNG CÂY ĂN QUẢ</v>
          </cell>
        </row>
        <row r="1046">
          <cell r="A1046" t="str">
            <v>Thanh long</v>
          </cell>
        </row>
        <row r="1047">
          <cell r="A1047" t="str">
            <v>Cành thanh long mới ươm chưa ra rễ</v>
          </cell>
        </row>
        <row r="1048">
          <cell r="A1048" t="str">
            <v>Cây thanh long ươm đã ra rễ và mầm, thời gian trồng &lt;  01 tháng</v>
          </cell>
        </row>
        <row r="1049">
          <cell r="A1049" t="str">
            <v>Cây thanh long ươm đã ra rễ và mầm, từ 01 tháng đến &lt; 02 tháng</v>
          </cell>
        </row>
        <row r="1050">
          <cell r="A1050" t="str">
            <v>Cây thanh long ươm đã ra rễ và mầm, thời gian trồng ≥ 02 tháng</v>
          </cell>
        </row>
        <row r="1051">
          <cell r="A1051" t="str">
            <v>Cây thanh long có chiều cao thân ≥ 0,7m (chưa ra quả)</v>
          </cell>
        </row>
        <row r="1052">
          <cell r="A1052" t="str">
            <v>Cây thanh long có chiều cao thân ≥ 0,7m (đã có quả)</v>
          </cell>
        </row>
        <row r="1053">
          <cell r="A1053" t="str">
            <v>Cây giống cây ăn quả</v>
          </cell>
        </row>
        <row r="1054">
          <cell r="A1054" t="str">
            <v>Loại ươm gieo hạt (thành luống, dảnh)</v>
          </cell>
        </row>
        <row r="1055">
          <cell r="A1055" t="str">
            <v xml:space="preserve">Chiều cao cây H &lt; 20cm </v>
          </cell>
        </row>
        <row r="1056">
          <cell r="A1056" t="str">
            <v>Chiều cao cây H ≥ 20cm</v>
          </cell>
        </row>
        <row r="1057">
          <cell r="A1057" t="str">
            <v>Cây giống vải, nhãn, doi, bưởi, thị, na, xoài, muỗm, quéo, trứng gà, sấu, táo, ổi, chay, me, khế, mận, mơ (từ cây ươm gieo hạt, đựng trong bầu nilon hoặc trồng thành luống chưa ghép)</v>
          </cell>
        </row>
        <row r="1058">
          <cell r="A1058" t="str">
            <v>Chiều cao cây H &lt; 40cm</v>
          </cell>
        </row>
        <row r="1059">
          <cell r="A1059" t="str">
            <v>Chiều cao cây 40cm ≤ H &lt; 100cm</v>
          </cell>
        </row>
        <row r="1060">
          <cell r="A1060" t="str">
            <v xml:space="preserve">Chiều cao cây H ≥ 100cm </v>
          </cell>
        </row>
        <row r="1061">
          <cell r="A1061" t="str">
            <v>Cây giống vải, nhãn, cam, bưởi, táo, ổi, khế (gieo hạt ươm thành luống đã ghép)</v>
          </cell>
        </row>
        <row r="1062">
          <cell r="A1062" t="str">
            <v>Chiều cao cây H &lt; 40cm</v>
          </cell>
        </row>
        <row r="1063">
          <cell r="A1063" t="str">
            <v>Chiều cao cây 40cm  ≤ H &lt; 100cm</v>
          </cell>
        </row>
        <row r="1064">
          <cell r="A1064" t="str">
            <v>Chiều cao cây H ≥ 100cm</v>
          </cell>
        </row>
        <row r="1065">
          <cell r="A1065" t="str">
            <v>Cây giống vải, nhãn, cam, bưởi, doi, hồng xiêm ... đang chiết cành (đã có rễ) chưa đem trồng</v>
          </cell>
        </row>
        <row r="1066">
          <cell r="A1066" t="str">
            <v>Giống Vải, Nhãn đã chiết cành, đã đem dâm ra vườn</v>
          </cell>
        </row>
        <row r="1067">
          <cell r="A1067" t="str">
            <v>Chiều cao cây H &lt; 40cm</v>
          </cell>
        </row>
        <row r="1068">
          <cell r="A1068" t="str">
            <v>Chiều cao cây 40cm  ≤ H &lt; 1,0m</v>
          </cell>
        </row>
        <row r="1069">
          <cell r="A1069" t="str">
            <v xml:space="preserve">Chiều cao cây H ≥ 1,0m </v>
          </cell>
        </row>
        <row r="1070">
          <cell r="A1070" t="str">
            <v>Cây giống cam, bưởi, doi, hồng xiêm đã chiết cành dâm ra vườn</v>
          </cell>
        </row>
        <row r="1071">
          <cell r="A1071" t="str">
            <v>Cây giống cây lấy gỗ, cây lấy lá…ươm gieo hạt thành luống, vạt</v>
          </cell>
        </row>
        <row r="1072">
          <cell r="A1072" t="str">
            <v xml:space="preserve">Chiều cao cây H &lt; 20cm </v>
          </cell>
        </row>
        <row r="1073">
          <cell r="A1073" t="str">
            <v xml:space="preserve">Chiều cao cây H ≥ 20cm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giá cây cối"/>
      <sheetName val="THKP"/>
      <sheetName val="125.129 Búp - Huê"/>
      <sheetName val="128.1.Hạnh"/>
      <sheetName val="133.1.Mùa"/>
      <sheetName val="128.2.134.1.Cường"/>
      <sheetName val="133.3.Duy-Chước"/>
      <sheetName val="134.Mận"/>
      <sheetName val="151.Phúc CN Hà - Thúy"/>
      <sheetName val="168.Yên"/>
      <sheetName val="175.176.204 Tư - Mai"/>
      <sheetName val="181. Trợ"/>
      <sheetName val="251.Quyên"/>
      <sheetName val="267.Hướng"/>
      <sheetName val=" 271.Hùng"/>
      <sheetName val="131. Hòa"/>
      <sheetName val="127.130.Thanh"/>
      <sheetName val="133. Thường"/>
    </sheetNames>
    <sheetDataSet>
      <sheetData sheetId="0">
        <row r="2">
          <cell r="A2" t="str">
            <v>Lúa các loại</v>
          </cell>
        </row>
        <row r="3">
          <cell r="A3" t="str">
            <v>Ngô các loại</v>
          </cell>
        </row>
        <row r="4">
          <cell r="A4" t="str">
            <v>Khoai lang</v>
          </cell>
        </row>
        <row r="5">
          <cell r="A5" t="str">
            <v>Khoai tây</v>
          </cell>
        </row>
        <row r="6">
          <cell r="A6" t="str">
            <v>Sắn mì</v>
          </cell>
        </row>
        <row r="7">
          <cell r="A7" t="str">
            <v xml:space="preserve">Khoai môn </v>
          </cell>
        </row>
        <row r="8">
          <cell r="A8" t="str">
            <v>Khoai sọ</v>
          </cell>
        </row>
        <row r="9">
          <cell r="A9" t="str">
            <v>Sắn dây</v>
          </cell>
        </row>
        <row r="10">
          <cell r="A10" t="str">
            <v>Củ ấu</v>
          </cell>
        </row>
        <row r="11">
          <cell r="A11" t="str">
            <v>Cây mía</v>
          </cell>
        </row>
        <row r="12">
          <cell r="A12" t="str">
            <v>Cây thuốc lào</v>
          </cell>
        </row>
        <row r="13">
          <cell r="A13" t="str">
            <v>Đay</v>
          </cell>
        </row>
        <row r="14">
          <cell r="A14" t="str">
            <v>Gai, dứa sợi</v>
          </cell>
        </row>
        <row r="15">
          <cell r="A15" t="str">
            <v>Đậu tương</v>
          </cell>
        </row>
        <row r="16">
          <cell r="A16" t="str">
            <v>Lạc</v>
          </cell>
        </row>
        <row r="17">
          <cell r="A17" t="str">
            <v>Vừng</v>
          </cell>
        </row>
        <row r="18">
          <cell r="A18" t="str">
            <v xml:space="preserve">Rau muống </v>
          </cell>
        </row>
        <row r="19">
          <cell r="A19" t="str">
            <v>Cải các loại</v>
          </cell>
        </row>
        <row r="20">
          <cell r="A20" t="str">
            <v>Rau mùng tơi</v>
          </cell>
        </row>
        <row r="21">
          <cell r="A21" t="str">
            <v>Rau ngót</v>
          </cell>
        </row>
        <row r="22">
          <cell r="A22" t="str">
            <v>Bắp cải</v>
          </cell>
        </row>
        <row r="23">
          <cell r="A23" t="str">
            <v>Rau dền</v>
          </cell>
        </row>
        <row r="24">
          <cell r="A24" t="str">
            <v>Súp lơ/bông cải</v>
          </cell>
        </row>
        <row r="25">
          <cell r="A25" t="str">
            <v>Dưa hấu</v>
          </cell>
        </row>
        <row r="26">
          <cell r="A26" t="str">
            <v>Dưa lê</v>
          </cell>
        </row>
        <row r="27">
          <cell r="A27" t="str">
            <v>Dưa vàng</v>
          </cell>
        </row>
        <row r="28">
          <cell r="A28" t="str">
            <v>Đậu đũa</v>
          </cell>
        </row>
        <row r="29">
          <cell r="A29" t="str">
            <v>Đậu co-ve</v>
          </cell>
        </row>
        <row r="30">
          <cell r="A30" t="str">
            <v>Đậu Hà Lan</v>
          </cell>
        </row>
        <row r="31">
          <cell r="A31" t="str">
            <v>Dưa chuột</v>
          </cell>
        </row>
        <row r="32">
          <cell r="A32" t="str">
            <v>Cà chua</v>
          </cell>
        </row>
        <row r="33">
          <cell r="A33" t="str">
            <v>Bí đỏ (Bí ngô)</v>
          </cell>
        </row>
        <row r="34">
          <cell r="A34" t="str">
            <v>Bí xanh</v>
          </cell>
        </row>
        <row r="35">
          <cell r="A35" t="str">
            <v>Bầu</v>
          </cell>
        </row>
        <row r="36">
          <cell r="A36" t="str">
            <v>Mướp</v>
          </cell>
        </row>
        <row r="37">
          <cell r="A37" t="str">
            <v>Su su</v>
          </cell>
        </row>
        <row r="38">
          <cell r="A38" t="str">
            <v>Ớt trái ngọt</v>
          </cell>
        </row>
        <row r="39">
          <cell r="A39" t="str">
            <v>Cà tím, cà pháo</v>
          </cell>
        </row>
        <row r="40">
          <cell r="A40" t="str">
            <v>Mướp đắng</v>
          </cell>
        </row>
        <row r="41">
          <cell r="A41" t="str">
            <v>Su hào</v>
          </cell>
        </row>
        <row r="42">
          <cell r="A42" t="str">
            <v>Cà rốt</v>
          </cell>
        </row>
        <row r="43">
          <cell r="A43" t="str">
            <v>Củ cải</v>
          </cell>
        </row>
        <row r="44">
          <cell r="A44" t="str">
            <v>Tỏi lấy củ</v>
          </cell>
        </row>
        <row r="45">
          <cell r="A45" t="str">
            <v>Hành tây</v>
          </cell>
        </row>
        <row r="46">
          <cell r="A46" t="str">
            <v>Hành hoa</v>
          </cell>
        </row>
        <row r="47">
          <cell r="A47" t="str">
            <v>Hành củ</v>
          </cell>
        </row>
        <row r="48">
          <cell r="A48" t="str">
            <v>Rau cần ta</v>
          </cell>
        </row>
        <row r="49">
          <cell r="A49" t="str">
            <v>Củ đậu</v>
          </cell>
        </row>
        <row r="50">
          <cell r="A50" t="str">
            <v>Rau tỏi tây</v>
          </cell>
        </row>
        <row r="51">
          <cell r="A51" t="str">
            <v>Măng tây</v>
          </cell>
        </row>
        <row r="52">
          <cell r="A52" t="str">
            <v>Cần tây</v>
          </cell>
        </row>
        <row r="53">
          <cell r="A53" t="str">
            <v>Củ rền</v>
          </cell>
        </row>
        <row r="54">
          <cell r="A54" t="str">
            <v>Ớt cay</v>
          </cell>
        </row>
        <row r="55">
          <cell r="A55" t="str">
            <v>Gừng</v>
          </cell>
        </row>
        <row r="56">
          <cell r="A56" t="str">
            <v>Riềng</v>
          </cell>
        </row>
        <row r="57">
          <cell r="A57" t="str">
            <v>Rau gia vị khác (Rau mùi, thì là, mùi tàu, tía tô...)</v>
          </cell>
        </row>
        <row r="58">
          <cell r="A58" t="str">
            <v>Ngải cứu</v>
          </cell>
        </row>
        <row r="59">
          <cell r="A59" t="str">
            <v>Nghệ</v>
          </cell>
        </row>
        <row r="60">
          <cell r="A60" t="str">
            <v>Sả</v>
          </cell>
        </row>
        <row r="61">
          <cell r="A61" t="str">
            <v>Sen lấy hạt</v>
          </cell>
        </row>
        <row r="62">
          <cell r="A62" t="str">
            <v xml:space="preserve">Cây vải loại cây ghép có chiều cao cây 40cm ≤ H &lt; 1m  </v>
          </cell>
        </row>
        <row r="63">
          <cell r="A63" t="str">
            <v xml:space="preserve">Cây vải loại cây ghép có chiều cao cây  H ≥ 1m  </v>
          </cell>
        </row>
        <row r="64">
          <cell r="A64" t="str">
            <v xml:space="preserve">Cây vải loại cây chiết cành có chiều cao  40cm ≤ H &lt; 1m  </v>
          </cell>
        </row>
        <row r="65">
          <cell r="A65" t="str">
            <v xml:space="preserve">Cây vải loại cây chiết cành có chiều cao cây  H ≥ 1m  </v>
          </cell>
        </row>
        <row r="66">
          <cell r="A66" t="str">
            <v>Cây vải đường kính tán 0,7m ≤ Φ &lt; 1m</v>
          </cell>
        </row>
        <row r="67">
          <cell r="A67" t="str">
            <v>Cây vải đường kính tán 1m ≤ Φ &lt; 2m</v>
          </cell>
        </row>
        <row r="68">
          <cell r="A68" t="str">
            <v>Cây vải đường kính tán 2m ≤ Φ &lt; 3m</v>
          </cell>
        </row>
        <row r="69">
          <cell r="A69" t="str">
            <v>Cây vải đường kính tán 3m ≤ Φ &lt; 4m</v>
          </cell>
        </row>
        <row r="70">
          <cell r="A70" t="str">
            <v>Cây vải đường kính tán 4m ≤ Φ &lt; 5m</v>
          </cell>
        </row>
        <row r="71">
          <cell r="A71" t="str">
            <v>Cây vải đường kính tán 5m ≤ Φ &lt; 6m</v>
          </cell>
        </row>
        <row r="72">
          <cell r="A72" t="str">
            <v>Cây vải đường kính tán 6m ≤ Φ &lt; 7m</v>
          </cell>
        </row>
        <row r="73">
          <cell r="A73" t="str">
            <v>Cây vải đường kính tán 7m ≤ Φ &lt; 8m</v>
          </cell>
        </row>
        <row r="74">
          <cell r="A74" t="str">
            <v>Cây vải đường kính tán 8m ≤ Φ &lt; 9m</v>
          </cell>
        </row>
        <row r="75">
          <cell r="A75" t="str">
            <v>Cây vải đường kính tán 9m ≤ Φ &lt; 10m</v>
          </cell>
        </row>
        <row r="76">
          <cell r="A76" t="str">
            <v>Cây vải đường kính tán 10m ≤ Φ &lt; 15m</v>
          </cell>
        </row>
        <row r="77">
          <cell r="A77" t="str">
            <v>Cây vải đường kính tán Φ ≥ 15m</v>
          </cell>
        </row>
        <row r="78">
          <cell r="A78" t="str">
            <v xml:space="preserve">Cây nhãn loại cây ghép có chiều cao cây 40cm ≤ H &lt; 1m  </v>
          </cell>
        </row>
        <row r="79">
          <cell r="A79" t="str">
            <v xml:space="preserve">Cây nhãn loại cây ghép có chiều cao cây  H ≥ 1m  </v>
          </cell>
        </row>
        <row r="80">
          <cell r="A80" t="str">
            <v xml:space="preserve">Cây nhãn loại cây chiết cành có chiều cao  40cm ≤ H &lt; 1m  </v>
          </cell>
        </row>
        <row r="81">
          <cell r="A81" t="str">
            <v xml:space="preserve">Cây nhãn loại cây chiết cành có chiều cao cây  H ≥ 1m  </v>
          </cell>
        </row>
        <row r="82">
          <cell r="A82" t="str">
            <v xml:space="preserve">Cây nhãn đường kính tán 0,7m ≤ Φ &lt; 1m </v>
          </cell>
        </row>
        <row r="83">
          <cell r="A83" t="str">
            <v xml:space="preserve">Cây nhãn đường kính tán 1m ≤ Φ &lt; 1,5m </v>
          </cell>
        </row>
        <row r="84">
          <cell r="A84" t="str">
            <v xml:space="preserve">Cây nhãn đường kính tán 1,5m ≤ Φ &lt; 2m </v>
          </cell>
        </row>
        <row r="85">
          <cell r="A85" t="str">
            <v xml:space="preserve">Cây nhãn đường kính tán 2m ≤ Φ &lt; 3m </v>
          </cell>
        </row>
        <row r="86">
          <cell r="A86" t="str">
            <v>Cây nhãn đường kính tán 3m ≤ Φ &lt; 4m</v>
          </cell>
        </row>
        <row r="87">
          <cell r="A87" t="str">
            <v>Cây nhãn đường kính tán 4m ≤ Φ &lt; 5m</v>
          </cell>
        </row>
        <row r="88">
          <cell r="A88" t="str">
            <v>Cây nhãn đường kính tán 5m ≤ Φ &lt; 6m</v>
          </cell>
        </row>
        <row r="89">
          <cell r="A89" t="str">
            <v>Cây nhãn đường kính tán 6m ≤ Φ &lt; 7m</v>
          </cell>
        </row>
        <row r="90">
          <cell r="A90" t="str">
            <v>Cây nhãn đường kính tán 7m ≤ Φ &lt; 8m</v>
          </cell>
        </row>
        <row r="91">
          <cell r="A91" t="str">
            <v>Cây nhãn đường kính tán 8m ≤ Φ &lt; 9m</v>
          </cell>
        </row>
        <row r="92">
          <cell r="A92" t="str">
            <v>Cây nhãn đường kính tán 9m ≤ Φ &lt; 12m</v>
          </cell>
        </row>
        <row r="93">
          <cell r="A93" t="str">
            <v>Cây nhãn đường kính tán Φ ≥ 12m</v>
          </cell>
        </row>
        <row r="94">
          <cell r="A94" t="str">
            <v>Mít (tính theo đường kính gốc F)</v>
          </cell>
        </row>
        <row r="95">
          <cell r="A95" t="str">
            <v>Cây mít giống đủ tiêu chuẩn mới trồng</v>
          </cell>
        </row>
        <row r="96">
          <cell r="A96" t="str">
            <v xml:space="preserve">Cây mít đường kính gốc 1cm ≤ Φ &lt; 2cm </v>
          </cell>
        </row>
        <row r="97">
          <cell r="A97" t="str">
            <v xml:space="preserve">Cây mít đường kính gốc 2cm ≤ Φ &lt; 5cm </v>
          </cell>
        </row>
        <row r="98">
          <cell r="A98" t="str">
            <v xml:space="preserve">Cây mít đường kính gốc 5cm ≤ Φ &lt; 7cm </v>
          </cell>
        </row>
        <row r="99">
          <cell r="A99" t="str">
            <v xml:space="preserve">Cây mít đường kính gốc 7cm ≤ Φ &lt; 9cm </v>
          </cell>
        </row>
        <row r="100">
          <cell r="A100" t="str">
            <v>Cây mít đường kính gốc 9cm ≤ Φ &lt; 12cm</v>
          </cell>
        </row>
        <row r="101">
          <cell r="A101" t="str">
            <v xml:space="preserve">Cây mít đường kính gốc 12cm ≤ Φ &lt; 15cm </v>
          </cell>
        </row>
        <row r="102">
          <cell r="A102" t="str">
            <v>Cây mít đường kính gốc 15cm ≤ Φ &lt; 20cm</v>
          </cell>
        </row>
        <row r="103">
          <cell r="A103" t="str">
            <v>Cây mít đường kính gốc 20cm ≤ Φ &lt; 25cm</v>
          </cell>
        </row>
        <row r="104">
          <cell r="A104" t="str">
            <v>Cây mít đường kính gốc 25cm ≤ Φ &lt; 35cm</v>
          </cell>
        </row>
        <row r="105">
          <cell r="A105" t="str">
            <v>Cây mít đường kính gốc 35cm ≤ Φ &lt; 50cm</v>
          </cell>
        </row>
        <row r="106">
          <cell r="A106" t="str">
            <v>Cây mít đường kính gốc Φ ≥ 50cm</v>
          </cell>
        </row>
        <row r="107">
          <cell r="A107" t="str">
            <v>Hồng xiêm (tính theo đường kính tán F)</v>
          </cell>
        </row>
        <row r="108">
          <cell r="A108" t="str">
            <v>Cây hồng xiêm giống đủ tiêu chuẩn  mới trồng</v>
          </cell>
        </row>
        <row r="109">
          <cell r="A109" t="str">
            <v>Cây hồng xiêm đường kính tán 0,7m ≤ Φ &lt; 1m</v>
          </cell>
        </row>
        <row r="110">
          <cell r="A110" t="str">
            <v>Cây hồng xiêm đường kính tán 1m ≤ Φ &lt; 1,5m</v>
          </cell>
        </row>
        <row r="111">
          <cell r="A111" t="str">
            <v>Cây hồng xiêm đường kính tán 1,5m ≤ Φ &lt; 2m</v>
          </cell>
        </row>
        <row r="112">
          <cell r="A112" t="str">
            <v>Cây hồng xiêm đường kính tán 2m ≤ Φ &lt; 3m</v>
          </cell>
        </row>
        <row r="113">
          <cell r="A113" t="str">
            <v>Cây hồng xiêm đường kính tán 3m ≤ Φ &lt; 4m</v>
          </cell>
        </row>
        <row r="114">
          <cell r="A114" t="str">
            <v>Cây hồng xiêm đường kính tán 4m ≤ Φ &lt; 5m</v>
          </cell>
        </row>
        <row r="115">
          <cell r="A115" t="str">
            <v>Cây hồng xiêm đường kính tán 5m ≤ Φ &lt; 6m</v>
          </cell>
        </row>
        <row r="116">
          <cell r="A116" t="str">
            <v>Cây hồng xiêm đường kính tán 6m ≤ Φ &lt; 7m</v>
          </cell>
        </row>
        <row r="117">
          <cell r="A117" t="str">
            <v>Cây hồng xiêm đường kính tán 7m ≤ Φ &lt; 8m</v>
          </cell>
        </row>
        <row r="118">
          <cell r="A118" t="str">
            <v>Cây hồng xiêm đường kính tán 8m ≤ Φ &lt; 9m</v>
          </cell>
        </row>
        <row r="119">
          <cell r="A119" t="str">
            <v>Cây hồng xiêm đường kính tán 9m ≤ Φ &lt; 12m</v>
          </cell>
        </row>
        <row r="120">
          <cell r="A120" t="str">
            <v>Cây hồng xiêm đường kính tán Φ ≥ 12m</v>
          </cell>
        </row>
        <row r="121">
          <cell r="A121" t="str">
            <v>Hồng ăn quả khác (tính theo đường kính gốc F)</v>
          </cell>
        </row>
        <row r="122">
          <cell r="A122" t="str">
            <v>Cây giống hồng ăn quả khác đủ tiêu chuẩn mới trồng, chiều cao cây H ≥ 40cm</v>
          </cell>
        </row>
        <row r="123">
          <cell r="A123" t="str">
            <v>Cây hồng ăn quả khác đường kính gốc 1cm ≤ Φ &lt; 2cm</v>
          </cell>
        </row>
        <row r="124">
          <cell r="A124" t="str">
            <v xml:space="preserve">Cây hồng ăn quả khác đường kính gốc 2cm ≤ Φ &lt; 5cm </v>
          </cell>
        </row>
        <row r="125">
          <cell r="A125" t="str">
            <v>Cây hồng ăn quả khác đường kính gốc 5cm ≤ Φ &lt; 7cm</v>
          </cell>
        </row>
        <row r="126">
          <cell r="A126" t="str">
            <v xml:space="preserve">Cây hồng ăn quả khác đường kính gốc 7cm ≤ Φ &lt; 9cm </v>
          </cell>
        </row>
        <row r="127">
          <cell r="A127" t="str">
            <v>Cây hồng ăn quả khác đường kính gốc 9cm ≤ Φ &lt; 12cm</v>
          </cell>
        </row>
        <row r="128">
          <cell r="A128" t="str">
            <v xml:space="preserve">Cây hồng ăn quả khác đường kính gốc 12cm ≤ Φ &lt; 15cm </v>
          </cell>
        </row>
        <row r="129">
          <cell r="A129" t="str">
            <v>Cây hồng ăn quả khác đường kính gốc 15cm ≤ Φ &lt; 20cm</v>
          </cell>
        </row>
        <row r="130">
          <cell r="A130" t="str">
            <v>Cây hồng ăn quả khác đường kính gốc 20cm ≤ Φ &lt; 25cm</v>
          </cell>
        </row>
        <row r="131">
          <cell r="A131" t="str">
            <v>Cây hồng ăn quả khác đường kính gốc 25cm ≤ Φ &lt; 30cm</v>
          </cell>
        </row>
        <row r="132">
          <cell r="A132" t="str">
            <v>Cây hồng ăn quả khác đường kính gốc 30cm ≤ Φ &lt; 35cm</v>
          </cell>
        </row>
        <row r="133">
          <cell r="A133" t="str">
            <v>Cây hồng ăn quả khác đường kính gốc Φ ≥ 35cm</v>
          </cell>
        </row>
        <row r="134">
          <cell r="A134" t="str">
            <v>Chanh, quýt, quất ăn quả (tính theo đường kính tán F)</v>
          </cell>
        </row>
        <row r="135">
          <cell r="A135" t="str">
            <v xml:space="preserve">Cây chanh giống đủ tiêu chuẩn mới trồng, chiều cao cây H ≥ 40cm </v>
          </cell>
        </row>
        <row r="136">
          <cell r="A136" t="str">
            <v>Cây chanh đường kính tán 0,7m ≤ Φ &lt; 1m</v>
          </cell>
        </row>
        <row r="137">
          <cell r="A137" t="str">
            <v>Cây chanh đường kính tán 1m ≤ Φ &lt; 1,5m</v>
          </cell>
        </row>
        <row r="138">
          <cell r="A138" t="str">
            <v>Cây chanh đường kính tán 1,5m ≤ Φ &lt; 2m</v>
          </cell>
        </row>
        <row r="139">
          <cell r="A139" t="str">
            <v>Cây chanh đường kính tán 2m ≤ Φ &lt; 3m</v>
          </cell>
        </row>
        <row r="140">
          <cell r="A140" t="str">
            <v>Cây chanh đường kính tán 3m ≤ Φ &lt; 4m</v>
          </cell>
        </row>
        <row r="141">
          <cell r="A141" t="str">
            <v>Cây chanh đường kính tán 4m ≤ Φ &lt; 5m</v>
          </cell>
        </row>
        <row r="142">
          <cell r="A142" t="str">
            <v>Cây chanh đường kính tán Φ ≥ 5m</v>
          </cell>
        </row>
        <row r="143">
          <cell r="A143" t="str">
            <v xml:space="preserve">Cây quýt giống đủ tiêu chuẩn mới trồng, chiều cao cây H ≥ 40cm </v>
          </cell>
        </row>
        <row r="144">
          <cell r="A144" t="str">
            <v>Cây quýt đường kính tán 0,7m ≤ Φ &lt; 1m</v>
          </cell>
        </row>
        <row r="145">
          <cell r="A145" t="str">
            <v>Cây quýt đường kính tán 1m ≤ Φ &lt; 1,5m</v>
          </cell>
        </row>
        <row r="146">
          <cell r="A146" t="str">
            <v>Cây quýt đường kính tán 1,5m ≤ Φ &lt; 2m</v>
          </cell>
        </row>
        <row r="147">
          <cell r="A147" t="str">
            <v>Cây quýt đường kính tán 2m ≤ Φ &lt; 3m</v>
          </cell>
        </row>
        <row r="148">
          <cell r="A148" t="str">
            <v>Cây quýt đường kính tán 3m ≤ Φ &lt; 4m</v>
          </cell>
        </row>
        <row r="149">
          <cell r="A149" t="str">
            <v>Cây quýt đường kính tán 4m ≤ Φ &lt; 5m</v>
          </cell>
        </row>
        <row r="150">
          <cell r="A150" t="str">
            <v>Cây quýt đường kính tán Φ ≥ 5m</v>
          </cell>
        </row>
        <row r="151">
          <cell r="A151" t="str">
            <v xml:space="preserve">Cây quất ăn quả giống đủ tiêu chuẩn mới trồng, chiều cao cây H ≥ 40cm </v>
          </cell>
        </row>
        <row r="152">
          <cell r="A152" t="str">
            <v>Cây quất ăn quả đường kính tán 0,7m ≤ Φ &lt; 1m</v>
          </cell>
        </row>
        <row r="153">
          <cell r="A153" t="str">
            <v>Cây quất ăn quả đường kính tán 1m ≤ Φ &lt; 1,5m</v>
          </cell>
        </row>
        <row r="154">
          <cell r="A154" t="str">
            <v>Cây quất ăn quả đường kính tán 1,5m ≤ Φ &lt; 2m</v>
          </cell>
        </row>
        <row r="155">
          <cell r="A155" t="str">
            <v>Cây quất ăn quả đường kính tán 2m ≤ Φ &lt; 3m</v>
          </cell>
        </row>
        <row r="156">
          <cell r="A156" t="str">
            <v>Cây quất ăn quả đường kính tán 3m ≤ Φ &lt; 4m</v>
          </cell>
        </row>
        <row r="157">
          <cell r="A157" t="str">
            <v>Cây quất ăn quả đường kính tán 4m ≤ Φ &lt; 5m</v>
          </cell>
        </row>
        <row r="158">
          <cell r="A158" t="str">
            <v>Cây quất ăn quả đường kính tán Φ ≥ 5m</v>
          </cell>
        </row>
        <row r="159">
          <cell r="A159" t="str">
            <v xml:space="preserve">Cam (tính theo đường kính tán lá F) </v>
          </cell>
        </row>
        <row r="160">
          <cell r="A160" t="str">
            <v>Cây giống đủ tiêu chuẩn mới trồng</v>
          </cell>
        </row>
        <row r="161">
          <cell r="A161" t="str">
            <v xml:space="preserve">Cây cam loại cây ghép có chiều cao cây 40cm ≤ Φ &lt; 1m  </v>
          </cell>
        </row>
        <row r="162">
          <cell r="A162" t="str">
            <v xml:space="preserve">Cây cam loại cây ghép có chiều cao cây  H ≥ 1m  </v>
          </cell>
        </row>
        <row r="163">
          <cell r="A163" t="str">
            <v xml:space="preserve">Cây cam loại cây chiết cành có chiều cao 40cm ≤ Φ &lt; 1m  </v>
          </cell>
        </row>
        <row r="164">
          <cell r="A164" t="str">
            <v xml:space="preserve">Cây cam loại cây chiết cành có chiều cao cây  H ≥ 1m  </v>
          </cell>
        </row>
        <row r="165">
          <cell r="A165" t="str">
            <v>Cây cam đường kính tán 0,7m ≤ Φ &lt; 1m</v>
          </cell>
        </row>
        <row r="166">
          <cell r="A166" t="str">
            <v>Cây cam đường kính tán 1m ≤ Φ &lt; 1,5m</v>
          </cell>
        </row>
        <row r="167">
          <cell r="A167" t="str">
            <v>Cây cam đường kính tán 1,5m ≤ Φ &lt; 2m</v>
          </cell>
        </row>
        <row r="168">
          <cell r="A168" t="str">
            <v>Cây cam đường kính tán 2m ≤ Φ &lt; 3m</v>
          </cell>
        </row>
        <row r="169">
          <cell r="A169" t="str">
            <v>Cây cam đường kính tán 3m ≤ Φ &lt; 4m</v>
          </cell>
        </row>
        <row r="170">
          <cell r="A170" t="str">
            <v>Cây cam đường kính tán 4m ≤ Φ &lt; 5m</v>
          </cell>
        </row>
        <row r="171">
          <cell r="A171" t="str">
            <v>Cây cam đường kính tán 5m ≤ Φ &lt; 6m</v>
          </cell>
        </row>
        <row r="172">
          <cell r="A172" t="str">
            <v>Cây cam đường kính tán Φ ≥ 6m</v>
          </cell>
        </row>
        <row r="173">
          <cell r="A173" t="str">
            <v>Bưởi (tính theo đường kính gốc F)</v>
          </cell>
        </row>
        <row r="174">
          <cell r="A174" t="str">
            <v>Cây giống đủ tiêu chuẩn mới trồng</v>
          </cell>
        </row>
        <row r="175">
          <cell r="A175" t="str">
            <v xml:space="preserve">Bưởi loại cây ghép có chiều cao cây 40cm ≤ H &lt; 1m  </v>
          </cell>
        </row>
        <row r="176">
          <cell r="A176" t="str">
            <v xml:space="preserve">Bưởi loại cây ghép có chiều cao cây  H ≥ 1m  </v>
          </cell>
        </row>
        <row r="177">
          <cell r="A177" t="str">
            <v xml:space="preserve">Bưởi loại cây chiết cành có chiều cao  40cm ≤ H &lt; 1m  </v>
          </cell>
        </row>
        <row r="178">
          <cell r="A178" t="str">
            <v xml:space="preserve">Bưởi loại cây chiết cành có chiều cao cây  H ≥ 1m  </v>
          </cell>
        </row>
        <row r="179">
          <cell r="A179" t="str">
            <v>Cây bưởi đường kính gốc 1cm ≤ Φ &lt; 2cm</v>
          </cell>
        </row>
        <row r="180">
          <cell r="A180" t="str">
            <v>Cây bưởi đường kính gốc 2cm ≤ Φ &lt; 5cm</v>
          </cell>
        </row>
        <row r="181">
          <cell r="A181" t="str">
            <v>Cây bưởi đường kính gốc 5cm ≤ Φ &lt; 7cm</v>
          </cell>
        </row>
        <row r="182">
          <cell r="A182" t="str">
            <v>Cây bưởi đường kính gốc 7cm ≤ Φ &lt; 9cm</v>
          </cell>
        </row>
        <row r="183">
          <cell r="A183" t="str">
            <v>Cây bưởi đường kính gốc 9cm ≤ Φ &lt; 12cm</v>
          </cell>
        </row>
        <row r="184">
          <cell r="A184" t="str">
            <v xml:space="preserve">Cây bưởi đường kính gốc 12cm ≤ Φ &lt; 15cm </v>
          </cell>
        </row>
        <row r="185">
          <cell r="A185" t="str">
            <v>Cây bưởi đường kính gốc 15cm ≤ Φ &lt; 20cm</v>
          </cell>
        </row>
        <row r="186">
          <cell r="A186" t="str">
            <v>Cây bưởi đường kính gốc 20cm ≤ Φ &lt; 25cm</v>
          </cell>
        </row>
        <row r="187">
          <cell r="A187" t="str">
            <v>Cây bưởi đường kính gốc Φ ≥ 25cm</v>
          </cell>
        </row>
        <row r="188">
          <cell r="A188" t="str">
            <v>Xoài, muỗm, quéo, thị (tính theo đường kính gốc F)</v>
          </cell>
        </row>
        <row r="189">
          <cell r="A189" t="str">
            <v>Cây xoài giống đủ tiêu chuẩn mới trồng, chiều cao cây H ≥ 40cm</v>
          </cell>
        </row>
        <row r="190">
          <cell r="A190" t="str">
            <v xml:space="preserve">Cây xoài đường kính gốc 1cm ≤ Φ &lt; 2cm </v>
          </cell>
        </row>
        <row r="191">
          <cell r="A191" t="str">
            <v>Cây xoài đường kính gốc 2cm ≤ Φ &lt; 5cm</v>
          </cell>
        </row>
        <row r="192">
          <cell r="A192" t="str">
            <v>Cây xoài đường kính gốc 5cm ≤ Φ &lt; 7cm</v>
          </cell>
        </row>
        <row r="193">
          <cell r="A193" t="str">
            <v>Cây xoài đường kính gốc 7cm ≤ Φ &lt; 9cm</v>
          </cell>
        </row>
        <row r="194">
          <cell r="A194" t="str">
            <v>Cây xoài đường kính gốc 9cm ≤ Φ &lt; 12cm</v>
          </cell>
        </row>
        <row r="195">
          <cell r="A195" t="str">
            <v xml:space="preserve">Cây xoài đường kính gốc 12cm ≤ Φ &lt; 15cm </v>
          </cell>
        </row>
        <row r="196">
          <cell r="A196" t="str">
            <v>Cây xoài đường kính gốc 15cm ≤ Φ &lt; 20cm</v>
          </cell>
        </row>
        <row r="197">
          <cell r="A197" t="str">
            <v>Cây xoài đường kính gốc 20cm ≤ Φ &lt; 25cm</v>
          </cell>
        </row>
        <row r="198">
          <cell r="A198" t="str">
            <v>Cây xoài đường kính gốc 25cm ≤ Φ &lt; 35cm</v>
          </cell>
        </row>
        <row r="199">
          <cell r="A199" t="str">
            <v>Cây xoài đường kính gốc 35cm ≤ Φ &lt; 50cm</v>
          </cell>
        </row>
        <row r="200">
          <cell r="A200" t="str">
            <v>Cây xoài đường kính gốc Φ ≥ 50cm</v>
          </cell>
        </row>
        <row r="201">
          <cell r="A201" t="str">
            <v>Cây muỗm giống đủ tiêu chuẩn mới trồng, chiều cao cây H ≥ 40cm</v>
          </cell>
        </row>
        <row r="202">
          <cell r="A202" t="str">
            <v xml:space="preserve">Cây muỗm đường kính gốc 1cm ≤ Φ &lt; 2cm </v>
          </cell>
        </row>
        <row r="203">
          <cell r="A203" t="str">
            <v>Cây muỗm đường kính gốc 2cm ≤ Φ &lt; 5cm</v>
          </cell>
        </row>
        <row r="204">
          <cell r="A204" t="str">
            <v>Cây muỗm đường kính gốc 5cm ≤ Φ &lt; 7cm</v>
          </cell>
        </row>
        <row r="205">
          <cell r="A205" t="str">
            <v>Cây muỗm đường kính gốc 7cm ≤ Φ &lt; 9cm</v>
          </cell>
        </row>
        <row r="206">
          <cell r="A206" t="str">
            <v>Cây muỗm đường kính gốc 9cm ≤ Φ &lt; 12cm</v>
          </cell>
        </row>
        <row r="207">
          <cell r="A207" t="str">
            <v xml:space="preserve">Cây muỗm đường kính gốc 12cm ≤ Φ &lt; 15cm </v>
          </cell>
        </row>
        <row r="208">
          <cell r="A208" t="str">
            <v>Cây muỗm đường kính gốc 15cm ≤ Φ &lt; 20cm</v>
          </cell>
        </row>
        <row r="209">
          <cell r="A209" t="str">
            <v>Cây muỗm đường kính gốc 20cm ≤ Φ &lt; 25cm</v>
          </cell>
        </row>
        <row r="210">
          <cell r="A210" t="str">
            <v>Cây muỗm đường kính gốc 25cm ≤ Φ &lt; 35cm</v>
          </cell>
        </row>
        <row r="211">
          <cell r="A211" t="str">
            <v>Cây muỗm đường kính gốc 35cm ≤ Φ &lt; 50cm</v>
          </cell>
        </row>
        <row r="212">
          <cell r="A212" t="str">
            <v>Cây muỗm đường kính gốc Φ ≥ 50cm</v>
          </cell>
        </row>
        <row r="213">
          <cell r="A213" t="str">
            <v>Cây quéo giống đủ tiêu chuẩn mới trồng, chiều cao cây H ≥ 40cm</v>
          </cell>
        </row>
        <row r="214">
          <cell r="A214" t="str">
            <v xml:space="preserve">Cây quéo đường kính gốc 1cm ≤ Φ &lt; 2cm </v>
          </cell>
        </row>
        <row r="215">
          <cell r="A215" t="str">
            <v>Cây quéo đường kính gốc 2cm ≤ Φ &lt; 5cm</v>
          </cell>
        </row>
        <row r="216">
          <cell r="A216" t="str">
            <v>Cây quéo đường kính gốc 5cm ≤ Φ &lt; 7cm</v>
          </cell>
        </row>
        <row r="217">
          <cell r="A217" t="str">
            <v>Cây quéo đường kính gốc 7cm ≤ Φ &lt; 9cm</v>
          </cell>
        </row>
        <row r="218">
          <cell r="A218" t="str">
            <v>Cây quéo đường kính gốc 9cm ≤ Φ &lt; 12cm</v>
          </cell>
        </row>
        <row r="219">
          <cell r="A219" t="str">
            <v xml:space="preserve">Cây quéo đường kính gốc 12cm ≤ Φ &lt; 15cm </v>
          </cell>
        </row>
        <row r="220">
          <cell r="A220" t="str">
            <v>Cây quéo đường kính gốc 15cm ≤ Φ &lt; 20cm</v>
          </cell>
        </row>
        <row r="221">
          <cell r="A221" t="str">
            <v>Cây quéo đường kính gốc 20cm ≤ Φ &lt; 25cm</v>
          </cell>
        </row>
        <row r="222">
          <cell r="A222" t="str">
            <v>Cây quéo đường kính gốc 25cm ≤ Φ &lt; 35cm</v>
          </cell>
        </row>
        <row r="223">
          <cell r="A223" t="str">
            <v>Cây quéo đường kính gốc 35cm ≤ Φ &lt; 50cm</v>
          </cell>
        </row>
        <row r="224">
          <cell r="A224" t="str">
            <v>Cây quéo đường kính gốc Φ ≥ 50cm</v>
          </cell>
        </row>
        <row r="225">
          <cell r="A225" t="str">
            <v>Cây thị giống đủ tiêu chuẩn mới trồng, chiều cao cây H ≥ 40cm</v>
          </cell>
        </row>
        <row r="226">
          <cell r="A226" t="str">
            <v xml:space="preserve">Cây thị đường kính gốc 1cm ≤ Φ &lt; 2cm </v>
          </cell>
        </row>
        <row r="227">
          <cell r="A227" t="str">
            <v>Cây thị đường kính gốc 2cm ≤ Φ &lt; 5cm</v>
          </cell>
        </row>
        <row r="228">
          <cell r="A228" t="str">
            <v>Cây thị đường kính gốc 5cm ≤ Φ &lt; 7cm</v>
          </cell>
        </row>
        <row r="229">
          <cell r="A229" t="str">
            <v>Cây thị đường kính gốc 7cm ≤ Φ &lt; 9cm</v>
          </cell>
        </row>
        <row r="230">
          <cell r="A230" t="str">
            <v>Cây thị đường kính gốc 9cm ≤ Φ &lt; 12cm</v>
          </cell>
        </row>
        <row r="231">
          <cell r="A231" t="str">
            <v xml:space="preserve">Cây thị đường kính gốc 12cm ≤ Φ &lt; 15cm </v>
          </cell>
        </row>
        <row r="232">
          <cell r="A232" t="str">
            <v>Cây thị đường kính gốc 15cm ≤ Φ &lt; 20cm</v>
          </cell>
        </row>
        <row r="233">
          <cell r="A233" t="str">
            <v>Cây thị đường kính gốc 20cm ≤ Φ &lt; 25cm</v>
          </cell>
        </row>
        <row r="234">
          <cell r="A234" t="str">
            <v>Cây thị đường kính gốc 25cm ≤ Φ &lt; 35cm</v>
          </cell>
        </row>
        <row r="235">
          <cell r="A235" t="str">
            <v>Cây thị đường kính gốc 35cm ≤ Φ &lt; 50cm</v>
          </cell>
        </row>
        <row r="236">
          <cell r="A236" t="str">
            <v>Cây thị đường kính gốc Φ ≥ 50cm</v>
          </cell>
        </row>
        <row r="237">
          <cell r="A237" t="str">
            <v>Dừa (tính theo đường kính gốc F)</v>
          </cell>
        </row>
        <row r="238">
          <cell r="A238" t="str">
            <v>Cây dừa giống đủ tiêu chuẩn mới trồng</v>
          </cell>
        </row>
        <row r="239">
          <cell r="A239" t="str">
            <v>Cây dừa đường kính gốc 7cm ≤ Φ &lt; 9cm</v>
          </cell>
        </row>
        <row r="240">
          <cell r="A240" t="str">
            <v>Cây dừa đường kính gốc 9cm ≤ Φ &lt; 12cm</v>
          </cell>
        </row>
        <row r="241">
          <cell r="A241" t="str">
            <v>Cây dừa đường kính gốc 12cm ≤ Φ &lt; 15cm</v>
          </cell>
        </row>
        <row r="242">
          <cell r="A242" t="str">
            <v>Cây dừa đường kính gốc 15cm ≤ Φ &lt; 20cm</v>
          </cell>
        </row>
        <row r="243">
          <cell r="A243" t="str">
            <v>Cây dừa đường kính gốc 20cm ≤ Φ &lt; 25cm</v>
          </cell>
        </row>
        <row r="244">
          <cell r="A244" t="str">
            <v>Cây dừa đường kính gốc 25cm ≤ Φ &lt; 30cm</v>
          </cell>
        </row>
        <row r="245">
          <cell r="A245" t="str">
            <v>Cây dừa đường kính gốc 30cm ≤ Φ &lt; 35cm</v>
          </cell>
        </row>
        <row r="246">
          <cell r="A246" t="str">
            <v>Cây dừa đường kính gốc 35cm ≤ Φ &lt; 50cm</v>
          </cell>
        </row>
        <row r="247">
          <cell r="A247" t="str">
            <v>Cây dừa đường kính gốc Φ ≥ 50cm</v>
          </cell>
        </row>
        <row r="248">
          <cell r="A248" t="str">
            <v>Na (tính theo đường kính gốc F)</v>
          </cell>
        </row>
        <row r="249">
          <cell r="A249" t="str">
            <v>Cây na giống đủ tiêu chuẩn mới trồng, chiều cao cây H ≥ 40cm</v>
          </cell>
        </row>
        <row r="250">
          <cell r="A250" t="str">
            <v>Cây na đường kính gốc 1cm ≤ Φ &lt; 2cm</v>
          </cell>
        </row>
        <row r="251">
          <cell r="A251" t="str">
            <v>Cây na đường kính gốc 2cm ≤ Φ &lt; 5cm</v>
          </cell>
        </row>
        <row r="252">
          <cell r="A252" t="str">
            <v>Cây na đường kính gốc 5cm ≤ Φ &lt; 7cm</v>
          </cell>
        </row>
        <row r="253">
          <cell r="A253" t="str">
            <v xml:space="preserve">Cây na đường kính gốc 7cm ≤ Φ &lt; 9cm </v>
          </cell>
        </row>
        <row r="254">
          <cell r="A254" t="str">
            <v>Cây na đường kính gốc 9cm ≤ Φ &lt; 12cm</v>
          </cell>
        </row>
        <row r="255">
          <cell r="A255" t="str">
            <v>Cây na đường kính gốc 12cm ≤ Φ &lt; 15cm</v>
          </cell>
        </row>
        <row r="256">
          <cell r="A256" t="str">
            <v>Cây na đường kính gốc Φ ≥ 15cm</v>
          </cell>
        </row>
        <row r="257">
          <cell r="A257" t="str">
            <v>Dâu da (tính theo đường kính gốc F)</v>
          </cell>
        </row>
        <row r="258">
          <cell r="A258" t="str">
            <v>Cây dâu da giống đủ tiêu chuẩn mới trồng, chiều cao cây H ≥ 40cm</v>
          </cell>
        </row>
        <row r="259">
          <cell r="A259" t="str">
            <v>Cây dâu da đường kính gốc 1cm ≤ Φ &lt; 2cm</v>
          </cell>
        </row>
        <row r="260">
          <cell r="A260" t="str">
            <v>Cây dâu da đường kính gốc 2cm ≤ Φ &lt; 5cm</v>
          </cell>
        </row>
        <row r="261">
          <cell r="A261" t="str">
            <v>Cây dâu da đường kính gốc 5cm ≤ Φ &lt; 7cm</v>
          </cell>
        </row>
        <row r="262">
          <cell r="A262" t="str">
            <v>Cây dâu da đường kính gốc 7cm ≤ Φ &lt; 9cm</v>
          </cell>
        </row>
        <row r="263">
          <cell r="A263" t="str">
            <v>Cây dâu da đường kính gốc 9cm ≤ Φ &lt; 12cm</v>
          </cell>
        </row>
        <row r="264">
          <cell r="A264" t="str">
            <v>Cây dâu da đường kính gốc 12cm ≤ Φ &lt; 15cm</v>
          </cell>
        </row>
        <row r="265">
          <cell r="A265" t="str">
            <v>Cây dâu da đường kính gốc 15cm ≤ Φ &lt; 20cm</v>
          </cell>
        </row>
        <row r="266">
          <cell r="A266" t="str">
            <v>Cây dâu da đường kính gốc 20cm ≤ Φ &lt; 25cm</v>
          </cell>
        </row>
        <row r="267">
          <cell r="A267" t="str">
            <v>Cây dâu da đường kính gốc 25cm ≤ Φ &lt; 35cm</v>
          </cell>
        </row>
        <row r="268">
          <cell r="A268" t="str">
            <v>Cây dâu da đường kính gốc 35cm ≤ Φ &lt; 50cm</v>
          </cell>
        </row>
        <row r="269">
          <cell r="A269" t="str">
            <v>Cây dâu da đường kính gốc Φ ≥ 50cm</v>
          </cell>
        </row>
        <row r="270">
          <cell r="A270" t="str">
            <v xml:space="preserve">Bồ kết (tính theo đường kính gốc F) </v>
          </cell>
        </row>
        <row r="271">
          <cell r="A271" t="str">
            <v>Cây bồ kết giống đủ tiêu chuẩn mới trồng, chiều cao cây H ≥ 40cm</v>
          </cell>
        </row>
        <row r="272">
          <cell r="A272" t="str">
            <v>Cây bồ kết đường kính gốc 1cm ≤ Φ &lt; 2cm</v>
          </cell>
        </row>
        <row r="273">
          <cell r="A273" t="str">
            <v>Cây bồ kết đường kính gốc 2cm ≤ Φ &lt; 5cm</v>
          </cell>
        </row>
        <row r="274">
          <cell r="A274" t="str">
            <v>Cây bồ kết đường kính gốc 5cm ≤ Φ &lt; 7cm</v>
          </cell>
        </row>
        <row r="275">
          <cell r="A275" t="str">
            <v>Cây bồ kết đường kính gốc 7cm ≤ Φ &lt; 9cm</v>
          </cell>
        </row>
        <row r="276">
          <cell r="A276" t="str">
            <v>Cây bồ kết đường kính gốc 9cm ≤ Φ &lt; 12cm</v>
          </cell>
        </row>
        <row r="277">
          <cell r="A277" t="str">
            <v>Cây bồ kết đường kính gốc 12cm ≤ Φ &lt; 15cm</v>
          </cell>
        </row>
        <row r="278">
          <cell r="A278" t="str">
            <v>Cây bồ kết đường kính gốc 15cm ≤ Φ &lt; 20cm</v>
          </cell>
        </row>
        <row r="279">
          <cell r="A279" t="str">
            <v>Cây bồ kết đường kính gốc 20cm ≤ Φ &lt; 25cm</v>
          </cell>
        </row>
        <row r="280">
          <cell r="A280" t="str">
            <v>Cây bồ kết đường kính gốc 25cm ≤ Φ &lt; 30cm</v>
          </cell>
        </row>
        <row r="281">
          <cell r="A281" t="str">
            <v>Cây bồ kết đường kính gốc 30cm ≤ Φ &lt; 35cm</v>
          </cell>
        </row>
        <row r="282">
          <cell r="A282" t="str">
            <v>Cây bồ kết đường kính gốc 35cm ≤ Φ &lt; 50cm</v>
          </cell>
        </row>
        <row r="283">
          <cell r="A283" t="str">
            <v>Cây bồ kết đường kính gốc Φ ≥ 50cm</v>
          </cell>
        </row>
        <row r="284">
          <cell r="A284" t="str">
            <v>Trứng gà (tính theo đường kính gốc F)</v>
          </cell>
        </row>
        <row r="285">
          <cell r="A285" t="str">
            <v>Cây trứng gà giống đủ tiêu chuẩn mới trồng, chiều cao cây H ≥ 40cm</v>
          </cell>
        </row>
        <row r="286">
          <cell r="A286" t="str">
            <v>Cây trứng gà đường kính gốc 1cm ≤ Φ &lt; 2cm</v>
          </cell>
        </row>
        <row r="287">
          <cell r="A287" t="str">
            <v>Cây trứng gà đường kính gốc 2cm ≤ Φ &lt; 5cm</v>
          </cell>
        </row>
        <row r="288">
          <cell r="A288" t="str">
            <v>Cây trứng gà đường kính gốc 5cm ≤ Φ &lt; 7cm</v>
          </cell>
        </row>
        <row r="289">
          <cell r="A289" t="str">
            <v>Cây trứng gà đường kính gốc 7cm ≤ Φ &lt; 9cm</v>
          </cell>
        </row>
        <row r="290">
          <cell r="A290" t="str">
            <v>Cây trứng gà đường kính gốc 9cm ≤ Φ &lt; 12cm</v>
          </cell>
        </row>
        <row r="291">
          <cell r="A291" t="str">
            <v>Cây trứng gà đường kính gốc 12cm ≤ Φ &lt; 15cm</v>
          </cell>
        </row>
        <row r="292">
          <cell r="A292" t="str">
            <v>Cây trứng gà đường kính gốc 15cm ≤ Φ &lt; 20cm</v>
          </cell>
        </row>
        <row r="293">
          <cell r="A293" t="str">
            <v>Cây trứng gà đường kính gốc 20cm ≤ Φ &lt; 25cm</v>
          </cell>
        </row>
        <row r="294">
          <cell r="A294" t="str">
            <v>Cây trứng gà đường kính gốc 25cm ≤ Φ &lt; 30cm</v>
          </cell>
        </row>
        <row r="295">
          <cell r="A295" t="str">
            <v>Cây trứng gà đường kính gốc 30cm ≤ Φ &lt; 35cm</v>
          </cell>
        </row>
        <row r="296">
          <cell r="A296" t="str">
            <v>Cây trứng gà đường kính gốc Φ ≥ 35cm</v>
          </cell>
        </row>
        <row r="297">
          <cell r="A297" t="str">
            <v>Táo (tính theo đường kính gốc F)</v>
          </cell>
        </row>
        <row r="298">
          <cell r="A298" t="str">
            <v>Cây giống đủ tiêu chuẩn mới trồng</v>
          </cell>
        </row>
        <row r="299">
          <cell r="A299" t="str">
            <v xml:space="preserve">Cây táo loại cây ghép có chiều cao cây 40cm ≤ H &lt; 1m  </v>
          </cell>
        </row>
        <row r="300">
          <cell r="A300" t="str">
            <v xml:space="preserve">Cây táo loại cây ghép có chiều cao cây  H ≥ 1m  </v>
          </cell>
        </row>
        <row r="301">
          <cell r="A301" t="str">
            <v>Cây táo đường kính gốc 1cm ≤ Φ &lt; 2cm</v>
          </cell>
        </row>
        <row r="302">
          <cell r="A302" t="str">
            <v>Cây táo đường kính gốc 2cm ≤ Φ &lt; 5cm</v>
          </cell>
        </row>
        <row r="303">
          <cell r="A303" t="str">
            <v>Cây táo đường kính gốc 5cm ≤ Φ &lt; 7cm</v>
          </cell>
        </row>
        <row r="304">
          <cell r="A304" t="str">
            <v>Cây táo đường kính gốc 7cm ≤ Φ &lt; 9cm</v>
          </cell>
        </row>
        <row r="305">
          <cell r="A305" t="str">
            <v>Cây táo đường kính gốc 9cm ≤ Φ &lt; 12cm</v>
          </cell>
        </row>
        <row r="306">
          <cell r="A306" t="str">
            <v>Cây táo đường kính gốc 12cm ≤ Φ &lt; 15cm</v>
          </cell>
        </row>
        <row r="307">
          <cell r="A307" t="str">
            <v>Cây táo đường kính gốc 15cm ≤ Φ &lt; 20cm</v>
          </cell>
        </row>
        <row r="308">
          <cell r="A308" t="str">
            <v>Cây táo đường kính gốc 20cm ≤ Φ &lt; 25cm</v>
          </cell>
        </row>
        <row r="309">
          <cell r="A309" t="str">
            <v>Cây táo đường kính gốc Φ ≥ 25cm</v>
          </cell>
        </row>
        <row r="310">
          <cell r="A310" t="str">
            <v>Ổi (tính theo đường kính gốc F)</v>
          </cell>
        </row>
        <row r="311">
          <cell r="A311" t="str">
            <v>Cây giống đủ tiêu chuẩn mới trồng</v>
          </cell>
        </row>
        <row r="312">
          <cell r="A312" t="str">
            <v xml:space="preserve">Cây ổi loại cây ghép có chiều cao cây 40cm ≤ H &lt; 1m </v>
          </cell>
        </row>
        <row r="313">
          <cell r="A313" t="str">
            <v xml:space="preserve">Cây ổi loại cây ghép có chiều cao cây  H ≥ 1m  </v>
          </cell>
        </row>
        <row r="314">
          <cell r="A314" t="str">
            <v xml:space="preserve">Cây ổi loại cây chiết có chiều cao cây 40cm ≤ H &lt; 1m  </v>
          </cell>
        </row>
        <row r="315">
          <cell r="A315" t="str">
            <v>Cây ổi đường kính gốc 1cm ≤ Φ &lt; 2cm</v>
          </cell>
        </row>
        <row r="316">
          <cell r="A316" t="str">
            <v>Cây ổi đường kính gốc 2cm ≤ Φ &lt; 5cm</v>
          </cell>
        </row>
        <row r="317">
          <cell r="A317" t="str">
            <v>Cây ổi đường kính gốc 5cm ≤ Φ &lt; 7cm</v>
          </cell>
        </row>
        <row r="318">
          <cell r="A318" t="str">
            <v>Cây ổi đường kính gốc 7cm ≤ Φ &lt; 9cm</v>
          </cell>
        </row>
        <row r="319">
          <cell r="A319" t="str">
            <v>Cây ổi đường kính gốc 9cm ≤ Φ &lt; 12cm</v>
          </cell>
        </row>
        <row r="320">
          <cell r="A320" t="str">
            <v>Cây ổi đường kính gốc 12cm ≤ Φ &lt; 15cm</v>
          </cell>
        </row>
        <row r="321">
          <cell r="A321" t="str">
            <v>Cây ổi đường kính gốc 15cm ≤ Φ &lt; 20cm</v>
          </cell>
        </row>
        <row r="322">
          <cell r="A322" t="str">
            <v>Cây ổi đường kính gốc 20cm ≤ Φ &lt; 25cm</v>
          </cell>
        </row>
        <row r="323">
          <cell r="A323" t="str">
            <v>Cây ổi đường kính gốc Φ ≥ 25cm</v>
          </cell>
        </row>
        <row r="324">
          <cell r="A324" t="str">
            <v>Chay (tính theo đường kính gốc F)</v>
          </cell>
        </row>
        <row r="325">
          <cell r="A325" t="str">
            <v>Cây chay giống đủ tiêu chuẩn mới trồng, chiều cao cây H ≥ 40cm</v>
          </cell>
        </row>
        <row r="326">
          <cell r="A326" t="str">
            <v>Cây chay đường kính gốc 1cm ≤ Φ &lt; 2cm</v>
          </cell>
        </row>
        <row r="327">
          <cell r="A327" t="str">
            <v>Cây chay đường kính gốc 2cm ≤ Φ &lt; 5cm</v>
          </cell>
        </row>
        <row r="328">
          <cell r="A328" t="str">
            <v>Cây chay đường kính gốc 5cm ≤ Φ &lt; 7cm</v>
          </cell>
        </row>
        <row r="329">
          <cell r="A329" t="str">
            <v>Cây chay đường kính gốc 7cm ≤ Φ &lt; 9cm</v>
          </cell>
        </row>
        <row r="330">
          <cell r="A330" t="str">
            <v>Cây chay đường kính gốc 9cm ≤ Φ &lt; 12cm</v>
          </cell>
        </row>
        <row r="331">
          <cell r="A331" t="str">
            <v>Cây chay đường kính gốc 12cm ≤ Φ &lt; 15cm</v>
          </cell>
        </row>
        <row r="332">
          <cell r="A332" t="str">
            <v>Cây chay đường kính gốc 15cm ≤ Φ &lt; 20cm</v>
          </cell>
        </row>
        <row r="333">
          <cell r="A333" t="str">
            <v>Cây chay đường kính gốc 20cm ≤ Φ &lt; 30cm</v>
          </cell>
        </row>
        <row r="334">
          <cell r="A334" t="str">
            <v>Cây chay đường kính gốc 30cm ≤ Φ &lt; 50cm</v>
          </cell>
        </row>
        <row r="335">
          <cell r="A335" t="str">
            <v>Cây chay đường kính gốc Φ ≥ 50cm</v>
          </cell>
        </row>
        <row r="336">
          <cell r="A336" t="str">
            <v xml:space="preserve">Khế (tính theo đường kính gốc F) </v>
          </cell>
        </row>
        <row r="337">
          <cell r="A337" t="str">
            <v>Cây giống đủ tiêu chuẩn mới trồng</v>
          </cell>
        </row>
        <row r="338">
          <cell r="A338" t="str">
            <v xml:space="preserve">Cây khế loại cây ghép có chiều cao cây 40cm ≤ H &lt; 1m  </v>
          </cell>
        </row>
        <row r="339">
          <cell r="A339" t="str">
            <v xml:space="preserve">Cây khế loại cây ghép có chiều cao cây  H ≥ 1m  </v>
          </cell>
        </row>
        <row r="340">
          <cell r="A340" t="str">
            <v>Cây khế đường kính gốc 1cm ≤ Φ &lt; 2cm</v>
          </cell>
        </row>
        <row r="341">
          <cell r="A341" t="str">
            <v>Cây khế đường kính gốc 2cm ≤ Φ &lt; 5cm</v>
          </cell>
        </row>
        <row r="342">
          <cell r="A342" t="str">
            <v>Cây khế đường kính gốc 5cm ≤ Φ &lt; 7cm</v>
          </cell>
        </row>
        <row r="343">
          <cell r="A343" t="str">
            <v>Cây khế đường kính gốc 7cm ≤ Φ &lt; 9cm</v>
          </cell>
        </row>
        <row r="344">
          <cell r="A344" t="str">
            <v>Cây khế đường kính gốc 9cm ≤ Φ &lt; 12cm</v>
          </cell>
        </row>
        <row r="345">
          <cell r="A345" t="str">
            <v>Cây khế đường kính gốc 12cm ≤ Φ &lt; 15cm</v>
          </cell>
        </row>
        <row r="346">
          <cell r="A346" t="str">
            <v>Cây khế đường kính gốc 15cm ≤ Φ &lt; 20cm</v>
          </cell>
        </row>
        <row r="347">
          <cell r="A347" t="str">
            <v>Cây khế đường kính gốc 20cm ≤ Φ &lt; 25cm</v>
          </cell>
        </row>
        <row r="348">
          <cell r="A348" t="str">
            <v>Cây khế đường kính gốc  Φ ≥ 25cm</v>
          </cell>
        </row>
        <row r="349">
          <cell r="A349" t="str">
            <v xml:space="preserve">Me (tính theo đường kính gốc F) </v>
          </cell>
        </row>
        <row r="350">
          <cell r="A350" t="str">
            <v xml:space="preserve">Cây me giống đủ tiêu chuẩn mới trồng, chiều cao cây H ≥ 40cm </v>
          </cell>
        </row>
        <row r="351">
          <cell r="A351" t="str">
            <v>Cây me đường kính gốc 1cm ≤ Φ &lt; 2cm</v>
          </cell>
        </row>
        <row r="352">
          <cell r="A352" t="str">
            <v>Cây me đường kính gốc 2cm ≤ Φ &lt; 5cm</v>
          </cell>
        </row>
        <row r="353">
          <cell r="A353" t="str">
            <v>Cây me đường kính gốc 5cm ≤ Φ &lt; 7cm</v>
          </cell>
        </row>
        <row r="354">
          <cell r="A354" t="str">
            <v>Cây me đường kính gốc 7cm ≤ Φ &lt; 9cm</v>
          </cell>
        </row>
        <row r="355">
          <cell r="A355" t="str">
            <v>Cây me đường kính gốc 9cm ≤ Φ &lt; 12cm</v>
          </cell>
        </row>
        <row r="356">
          <cell r="A356" t="str">
            <v>Cây me đường kính gốc 12cm ≤ Φ &lt; 15cm</v>
          </cell>
        </row>
        <row r="357">
          <cell r="A357" t="str">
            <v>Cây me đường kính gốc 15cm ≤ Φ &lt; 20cm</v>
          </cell>
        </row>
        <row r="358">
          <cell r="A358" t="str">
            <v>Cây me đường kính gốc 20cm ≤ Φ &lt; 25cm</v>
          </cell>
        </row>
        <row r="359">
          <cell r="A359" t="str">
            <v>Cây me đường kính gốc 25cm ≤ Φ &lt; 30cm</v>
          </cell>
        </row>
        <row r="360">
          <cell r="A360" t="str">
            <v>Cây me đường kính gốc 30cm ≤ Φ &lt; 35cm</v>
          </cell>
        </row>
        <row r="361">
          <cell r="A361" t="str">
            <v>Cây me đường kính gốc 35cm ≤ Φ &lt; 50cm</v>
          </cell>
        </row>
        <row r="362">
          <cell r="A362" t="str">
            <v>Cây me đường kính gốc Φ ≥ 50cm</v>
          </cell>
        </row>
        <row r="363">
          <cell r="A363" t="str">
            <v>Mơ, mận (tính theo đường kính gốc F)</v>
          </cell>
        </row>
        <row r="364">
          <cell r="A364" t="str">
            <v>Cây mơ, mận giống đủ tiêu chuẩn mới trồng, chiều cao cây H ≥ 40cm</v>
          </cell>
        </row>
        <row r="365">
          <cell r="A365" t="str">
            <v>Cây mơ, mận đường kính gốc 1cm ≤ Φ &lt; 2cm</v>
          </cell>
        </row>
        <row r="366">
          <cell r="A366" t="str">
            <v>Cây mơ, mận đường kính gốc 2cm ≤ Φ &lt; 5cm</v>
          </cell>
        </row>
        <row r="367">
          <cell r="A367" t="str">
            <v>Cây mơ, mận đường kính gốc 5cm ≤ Φ &lt; 7cm</v>
          </cell>
        </row>
        <row r="368">
          <cell r="A368" t="str">
            <v>Cây mơ, mận đường kính gốc 7cm ≤ Φ &lt; 9cm</v>
          </cell>
        </row>
        <row r="369">
          <cell r="A369" t="str">
            <v>Cây mơ, mận đường kính gốc 9cm ≤ Φ &lt; 12cm</v>
          </cell>
        </row>
        <row r="370">
          <cell r="A370" t="str">
            <v>Cây mơ, mận đường kính gốc 12cm ≤ Φ &lt; 15cm</v>
          </cell>
        </row>
        <row r="371">
          <cell r="A371" t="str">
            <v>Cây mơ, mận đường kính gốc 15cm ≤ Φ &lt; 20cm</v>
          </cell>
        </row>
        <row r="372">
          <cell r="A372" t="str">
            <v>Cây mơ, mận đường kính gốc 20cm ≤ Φ &lt; 25cm</v>
          </cell>
        </row>
        <row r="373">
          <cell r="A373" t="str">
            <v>Cây mơ, mận đường kính gốc Φ ≥ 25cm</v>
          </cell>
        </row>
        <row r="374">
          <cell r="A374" t="str">
            <v xml:space="preserve">Cau ăn quả (tính theo đường kính gốc F) </v>
          </cell>
        </row>
        <row r="375">
          <cell r="A375" t="str">
            <v>Cây cau giống đủ tiêu chuẩn mới trồng, chiều cao cây H ≥ 40cm</v>
          </cell>
        </row>
        <row r="376">
          <cell r="A376" t="str">
            <v>Cây cau đường kính gốc 1cm ≤ Φ &lt; 2cm</v>
          </cell>
        </row>
        <row r="377">
          <cell r="A377" t="str">
            <v>Cây cau đường kính gốc 2cm ≤ Φ &lt; 5cm</v>
          </cell>
        </row>
        <row r="378">
          <cell r="A378" t="str">
            <v>Cây cau đường kính gốc 5cm ≤ Φ &lt; 7cm</v>
          </cell>
        </row>
        <row r="379">
          <cell r="A379" t="str">
            <v>Cây cau đường kính gốc 7cm ≤ Φ &lt; 9cm</v>
          </cell>
        </row>
        <row r="380">
          <cell r="A380" t="str">
            <v>Cây cau đường kính gốc 9cm ≤ Φ &lt; 12cm</v>
          </cell>
        </row>
        <row r="381">
          <cell r="A381" t="str">
            <v>Cây cau đường kính gốc 12cm ≤ Φ &lt; 15cm</v>
          </cell>
        </row>
        <row r="382">
          <cell r="A382" t="str">
            <v>Cây cau đường kính gốc 15cm ≤ Φ &lt; 20cm</v>
          </cell>
        </row>
        <row r="383">
          <cell r="A383" t="str">
            <v>Cây cau đường kính gốc Φ ≥ 20cm</v>
          </cell>
        </row>
        <row r="384">
          <cell r="A384" t="str">
            <v xml:space="preserve">Vú sữa (tính theo đường kính gốc F) </v>
          </cell>
        </row>
        <row r="385">
          <cell r="A385" t="str">
            <v>Cây vú sữa giống đủ tiêu chuẩn mới trồng, chiều cao cây H ≥ 40cm</v>
          </cell>
        </row>
        <row r="386">
          <cell r="A386" t="str">
            <v>Cây vú sữa đường kính gốc 1cm ≤ Φ &lt; 2cm</v>
          </cell>
        </row>
        <row r="387">
          <cell r="A387" t="str">
            <v>Cây vú sữa đường kính gốc 2cm ≤ Φ &lt; 5cm</v>
          </cell>
        </row>
        <row r="388">
          <cell r="A388" t="str">
            <v>Cây vú sữa đường kính gốc 5cm ≤ Φ &lt; 7cm</v>
          </cell>
        </row>
        <row r="389">
          <cell r="A389" t="str">
            <v>Cây vú sữa đường kính gốc 7cm ≤ Φ &lt; 9cm</v>
          </cell>
        </row>
        <row r="390">
          <cell r="A390" t="str">
            <v>Cây vú sữa đường kính gốc 9cm ≤ Φ &lt; 12cm</v>
          </cell>
        </row>
        <row r="391">
          <cell r="A391" t="str">
            <v>Cây vú sữa đường kính gốc 12cm ≤ Φ &lt; 15cm</v>
          </cell>
        </row>
        <row r="392">
          <cell r="A392" t="str">
            <v>Cây vú sữa đường kính gốc 15cm ≤ Φ &lt; 20cm</v>
          </cell>
        </row>
        <row r="393">
          <cell r="A393" t="str">
            <v>Cây vú sữa đường kính gốc 20cm ≤ Φ &lt; 25cm</v>
          </cell>
        </row>
        <row r="394">
          <cell r="A394" t="str">
            <v>Cây vú sữa đường kính gốc 25cm ≤ Φ &lt; 30cm</v>
          </cell>
        </row>
        <row r="395">
          <cell r="A395" t="str">
            <v>Cây vú sữa đường kính gốc 30cm ≤ Φ &lt; 35cm</v>
          </cell>
        </row>
        <row r="396">
          <cell r="A396" t="str">
            <v>Cây vú sữa đường kính gốc 35cm ≤ Φ &lt; 50cm</v>
          </cell>
        </row>
        <row r="397">
          <cell r="A397" t="str">
            <v>Cây vú sữa đường kính gốc Φ ≥ 50cm</v>
          </cell>
        </row>
        <row r="398">
          <cell r="A398" t="str">
            <v>Đu đủ (tính theo đường kính gốc F)</v>
          </cell>
        </row>
        <row r="399">
          <cell r="A399" t="str">
            <v xml:space="preserve">Cây đu đủ giống đủ tiêu chuẩn mới trồng, chiều cao cây H ≥ 40cm </v>
          </cell>
        </row>
        <row r="400">
          <cell r="A400" t="str">
            <v>Cây đu đủ đường kính gốc 2cm ≤ Φ &lt; 5cm</v>
          </cell>
        </row>
        <row r="401">
          <cell r="A401" t="str">
            <v>Cây đu đủ đường kính gốc 5cm ≤ Φ &lt; 9cm</v>
          </cell>
        </row>
        <row r="402">
          <cell r="A402" t="str">
            <v>Cây đu đủ đường kính gốc 9cm ≤ Φ &lt; 12cm</v>
          </cell>
        </row>
        <row r="403">
          <cell r="A403" t="str">
            <v>Cây đu đủ đường kính gốc 12cm ≤ Φ &lt; 15cm</v>
          </cell>
        </row>
        <row r="404">
          <cell r="A404" t="str">
            <v>Cây đu đủ đường kính gốc 15cm ≤ Φ &lt; 20cm</v>
          </cell>
        </row>
        <row r="405">
          <cell r="A405" t="str">
            <v>Cây đu đủ đường kính gốc Φ ≥ 20cm</v>
          </cell>
        </row>
        <row r="406">
          <cell r="A406" t="str">
            <v xml:space="preserve">Roi (tính theo đường kính tán F) </v>
          </cell>
        </row>
        <row r="407">
          <cell r="A407" t="str">
            <v>Cây roi giống đủ tiêu chuẩn mới trồng</v>
          </cell>
        </row>
        <row r="408">
          <cell r="A408" t="str">
            <v>Cây roi đường kính tán 0,7m ≤ Φ &lt; 1m</v>
          </cell>
        </row>
        <row r="409">
          <cell r="A409" t="str">
            <v>Cây roi đường kính tán 1m ≤ Φ &lt; 1,5m</v>
          </cell>
        </row>
        <row r="410">
          <cell r="A410" t="str">
            <v>Cây roi đường kính tán 1,5m ≤ Φ &lt; 2m</v>
          </cell>
        </row>
        <row r="411">
          <cell r="A411" t="str">
            <v>Cây roi đường kính tán 2m ≤ Φ &lt; 3m</v>
          </cell>
        </row>
        <row r="412">
          <cell r="A412" t="str">
            <v>Cây roi đường kính tán 3m ≤ Φ &lt; 4m</v>
          </cell>
        </row>
        <row r="413">
          <cell r="A413" t="str">
            <v>Cây roi đường kính tán 4m ≤ Φ &lt; 5m</v>
          </cell>
        </row>
        <row r="414">
          <cell r="A414" t="str">
            <v>Cây roi đường kính tán 5m ≤ Φ &lt; 6m</v>
          </cell>
        </row>
        <row r="415">
          <cell r="A415" t="str">
            <v>Cây roi đường kính tán 6m ≤ Φ &lt; 7m</v>
          </cell>
        </row>
        <row r="416">
          <cell r="A416" t="str">
            <v>Cây roi đường kính tán 7m ≤ Φ &lt; 8m</v>
          </cell>
        </row>
        <row r="417">
          <cell r="A417" t="str">
            <v>Cây roi đường kính tán 8m ≤ Φ &lt; 9m</v>
          </cell>
        </row>
        <row r="418">
          <cell r="A418" t="str">
            <v>Cây roi đường kính tán 9m ≤ Φ &lt; 12m</v>
          </cell>
        </row>
        <row r="419">
          <cell r="A419" t="str">
            <v>Cây roi đường kính tán Φ ≥ 12m</v>
          </cell>
        </row>
        <row r="420">
          <cell r="A420" t="str">
            <v>Sấu (tính theo đường kính gốc F)</v>
          </cell>
        </row>
        <row r="421">
          <cell r="A421" t="str">
            <v>Cây sấu giống đủ tiêu chuẩn mới trồng, chiều cao cây H ≥ 40cm</v>
          </cell>
        </row>
        <row r="422">
          <cell r="A422" t="str">
            <v>Cây sấu đường kính gốc 1cm ≤ Φ &lt; 2cm</v>
          </cell>
        </row>
        <row r="423">
          <cell r="A423" t="str">
            <v>Cây sấu đường kính gốc 2cm ≤ Φ &lt; 5cm</v>
          </cell>
        </row>
        <row r="424">
          <cell r="A424" t="str">
            <v>Cây sấu đường kính gốc 5cm ≤ Φ &lt; 7cm</v>
          </cell>
        </row>
        <row r="425">
          <cell r="A425" t="str">
            <v>Cây sấu đường kính gốc 7cm ≤ Φ &lt; 9cm</v>
          </cell>
        </row>
        <row r="426">
          <cell r="A426" t="str">
            <v>Cây sấu đường kính gốc 9cm ≤ Φ &lt; 12cm</v>
          </cell>
        </row>
        <row r="427">
          <cell r="A427" t="str">
            <v>Cây sấu đường kính gốc 12cm ≤ Φ &lt; 15cm</v>
          </cell>
        </row>
        <row r="428">
          <cell r="A428" t="str">
            <v>Cây sấu đường kính gốc 15cm ≤ Φ &lt; 20cm</v>
          </cell>
        </row>
        <row r="429">
          <cell r="A429" t="str">
            <v>Cây sấu đường kính gốc 20cm ≤ Φ &lt; 25cm</v>
          </cell>
        </row>
        <row r="430">
          <cell r="A430" t="str">
            <v>Cây sấu đường kính gốc 25cm ≤ Φ &lt; 30cm</v>
          </cell>
        </row>
        <row r="431">
          <cell r="A431" t="str">
            <v>Cây sấu đường kính gốc 30cm ≤ Φ &lt; 35cm</v>
          </cell>
        </row>
        <row r="432">
          <cell r="A432" t="str">
            <v>Cây sấu đường kính gốc 35cm ≤ Φ &lt; 50cm</v>
          </cell>
        </row>
        <row r="433">
          <cell r="A433" t="str">
            <v>Cây sấu đường kính gốc Φ ≥ 50cm</v>
          </cell>
        </row>
        <row r="434">
          <cell r="A434" t="str">
            <v>Trứng cá (tính theo đường kính gốc F)</v>
          </cell>
        </row>
        <row r="435">
          <cell r="A435" t="str">
            <v>Cây trứng cá giống đủ tiêu chuẩn mới trồng, chiều cao cây H ≥ 40cm</v>
          </cell>
        </row>
        <row r="436">
          <cell r="A436" t="str">
            <v xml:space="preserve">Cây trứng cá đường kính gốc 1cm ≤ Φ &lt; 2cm </v>
          </cell>
        </row>
        <row r="437">
          <cell r="A437" t="str">
            <v>Cây trứng cá đường kính gốc 2cm ≤ Φ &lt; 5cm</v>
          </cell>
        </row>
        <row r="438">
          <cell r="A438" t="str">
            <v>Cây trứng cá đường kính gốc 5cm ≤ Φ &lt; 7cm</v>
          </cell>
        </row>
        <row r="439">
          <cell r="A439" t="str">
            <v>Cây trứng cá đường kính gốc 7cm ≤ Φ &lt; 9cm</v>
          </cell>
        </row>
        <row r="440">
          <cell r="A440" t="str">
            <v>Cây trứng cá đường kính gốc 9cm ≤ Φ &lt; 12cm</v>
          </cell>
        </row>
        <row r="441">
          <cell r="A441" t="str">
            <v>Cây trứng cá đường kính gốc 12cm ≤ Φ &lt; 15cm</v>
          </cell>
        </row>
        <row r="442">
          <cell r="A442" t="str">
            <v>Cây trứng cá đường kính gốc 15cm ≤ Φ &lt; 20cm</v>
          </cell>
        </row>
        <row r="443">
          <cell r="A443" t="str">
            <v>Cây trứng cá đường kính gốc 20cm ≤ Φ &lt; 25cm</v>
          </cell>
        </row>
        <row r="444">
          <cell r="A444" t="str">
            <v>Cây trứng cá đường kính gốc 25cm ≤ Φ &lt; 30cm</v>
          </cell>
        </row>
        <row r="445">
          <cell r="A445" t="str">
            <v>Cây trứng cá đường kính gốc 30cm ≤ Φ &lt; 35cm</v>
          </cell>
        </row>
        <row r="446">
          <cell r="A446" t="str">
            <v>Cây trứng cá đường kính gốc Φ ≥ 35cm</v>
          </cell>
        </row>
        <row r="447">
          <cell r="A447" t="str">
            <v>Sung (tính theo đường kính gốc F)</v>
          </cell>
        </row>
        <row r="448">
          <cell r="A448" t="str">
            <v xml:space="preserve">Cây sung giống đủ tiêu chuẩn mới trồng, chiều cao cây H ≥ 40cm  </v>
          </cell>
        </row>
        <row r="449">
          <cell r="A449" t="str">
            <v>Cây sung đường kính gốc 1cm ≤ Φ &lt; 5cm</v>
          </cell>
        </row>
        <row r="450">
          <cell r="A450" t="str">
            <v>Cây sung đường kính gốc 5cm ≤ Φ &lt; 10cm</v>
          </cell>
        </row>
        <row r="451">
          <cell r="A451" t="str">
            <v xml:space="preserve">Cây sung đường kính gốc 10cm ≤ Φ &lt; 15cm  </v>
          </cell>
        </row>
        <row r="452">
          <cell r="A452" t="str">
            <v>Cây sung đường kính gốc 15cm ≤ Φ &lt; 20cm</v>
          </cell>
        </row>
        <row r="453">
          <cell r="A453" t="str">
            <v>Cây sung đường kính gốc 20cm ≤ Φ &lt; 25cm</v>
          </cell>
        </row>
        <row r="454">
          <cell r="A454" t="str">
            <v>Cây sung đường kính gốc 25cm ≤ Φ &lt; 30cm</v>
          </cell>
        </row>
        <row r="455">
          <cell r="A455" t="str">
            <v>Cây sung đường kính gốc 30cm ≤ Φ &lt; 35cm</v>
          </cell>
        </row>
        <row r="456">
          <cell r="A456" t="str">
            <v>Cây sung đường kính gốc 35cm ≤ Φ &lt; 50cm</v>
          </cell>
        </row>
        <row r="457">
          <cell r="A457" t="str">
            <v>Cây sung đường kính gốc Φ ≥ 50cm</v>
          </cell>
        </row>
        <row r="458">
          <cell r="A458" t="str">
            <v>Vối (tính theo đường kính gốc F)</v>
          </cell>
        </row>
        <row r="459">
          <cell r="A459" t="str">
            <v>Cây vối giống đủ tiêu chuẩn mới trồng, chiều cao cây H ≥ 40cm</v>
          </cell>
        </row>
        <row r="460">
          <cell r="A460" t="str">
            <v>Cây vối đường kính gốc 1cm ≤ Φ &lt; 5cm</v>
          </cell>
        </row>
        <row r="461">
          <cell r="A461" t="str">
            <v>Cây vối đường kính gốc 5cm ≤ Φ &lt; 10cm</v>
          </cell>
        </row>
        <row r="462">
          <cell r="A462" t="str">
            <v>Cây vối đường kính gốc 10cm ≤ Φ &lt; 15cm</v>
          </cell>
        </row>
        <row r="463">
          <cell r="A463" t="str">
            <v>Cây vối đường kính gốc 15cm ≤ Φ &lt; 20cm</v>
          </cell>
        </row>
        <row r="464">
          <cell r="A464" t="str">
            <v>Cây vối đường kính gốc 20cm ≤ Φ &lt; 25cm</v>
          </cell>
        </row>
        <row r="465">
          <cell r="A465" t="str">
            <v>Cây vối đường kính gốc 25cm ≤ Φ &lt; 30cm</v>
          </cell>
        </row>
        <row r="466">
          <cell r="A466" t="str">
            <v>Cây vối đường kính gốc 30cm ≤ Φ &lt; 35cm</v>
          </cell>
        </row>
        <row r="467">
          <cell r="A467" t="str">
            <v>Cây vối đường kính gốc 35cm ≤ Φ &lt; 50cm</v>
          </cell>
        </row>
        <row r="468">
          <cell r="A468" t="str">
            <v>Cây vối đường kính gốc F ³ 50cm</v>
          </cell>
        </row>
        <row r="469">
          <cell r="A469" t="str">
            <v>Cây Mãng cầu</v>
          </cell>
        </row>
        <row r="470">
          <cell r="A470" t="str">
            <v>Cây mãng cầu mới trồng &lt; 01 năm (cây từ hạt)</v>
          </cell>
        </row>
        <row r="471">
          <cell r="A471" t="str">
            <v>Cây mãng cầu mới trồng &lt; 01 năm (cây ghép)</v>
          </cell>
        </row>
        <row r="472">
          <cell r="A472" t="str">
            <v>Cây mãng cầu trồng ≥ 01 năm, chiều cao thân cây &lt; 1m chưa có quả</v>
          </cell>
        </row>
        <row r="473">
          <cell r="A473" t="str">
            <v>Cây mãng cầu có chiều cao thân cây ≥ 1m chưa có quả</v>
          </cell>
        </row>
        <row r="474">
          <cell r="A474" t="str">
            <v>Cây mãng cầu đã có quả</v>
          </cell>
        </row>
        <row r="475">
          <cell r="A475" t="str">
            <v>Cây mãng cầu có quả kém, già cỗi (hỗ trợ công chặt)</v>
          </cell>
        </row>
        <row r="476">
          <cell r="A476" t="str">
            <v>Cây Bơ </v>
          </cell>
        </row>
        <row r="477">
          <cell r="A477" t="str">
            <v>Cây bơ mới trồng &lt; 01 năm (cây từ hạt)</v>
          </cell>
        </row>
        <row r="478">
          <cell r="A478" t="str">
            <v>Cây bơ mới trồng &lt; 01 năm (cây ghép)</v>
          </cell>
        </row>
        <row r="479">
          <cell r="A479" t="str">
            <v>Cây bơ trồng ≥ 01 năm, chiều cao thân cây &lt; 1m chưa có quả</v>
          </cell>
        </row>
        <row r="480">
          <cell r="A480" t="str">
            <v>Cây bơ có chiều cao thân cây ≥ 1m chưa có quả</v>
          </cell>
        </row>
        <row r="481">
          <cell r="A481" t="str">
            <v>Cây bơ có quả đường kính gốc &lt; 20cm</v>
          </cell>
        </row>
        <row r="482">
          <cell r="A482" t="str">
            <v>Cây bơ có quả tốt đường kính gốc từ 20cm đến 40cm</v>
          </cell>
        </row>
        <row r="483">
          <cell r="A483" t="str">
            <v>Cây bơ có quả đường kính gốc &gt; 40cm</v>
          </cell>
        </row>
        <row r="484">
          <cell r="A484" t="str">
            <v>Cây bơ có quả kém, già cỗi (hỗ trợ công chặt)</v>
          </cell>
        </row>
        <row r="485">
          <cell r="A485" t="str">
            <v>Cây Sầu riêng</v>
          </cell>
        </row>
        <row r="486">
          <cell r="A486" t="str">
            <v>Cây sầu riêng mới trồng &lt; 01 năm (cây từ hạt)</v>
          </cell>
        </row>
        <row r="487">
          <cell r="A487" t="str">
            <v>Cây sầu riêng mới trồng &lt; 01 năm (cây ghép)</v>
          </cell>
        </row>
        <row r="488">
          <cell r="A488" t="str">
            <v>Cây sầu riêng trồng ≥ 01 năm, chiều cao thân cây &lt; 1m chưa có quả</v>
          </cell>
        </row>
        <row r="489">
          <cell r="A489" t="str">
            <v>Cây sầu riêng trồng có chiều cao thân cây từ ≥ 1m chưa có quả</v>
          </cell>
        </row>
        <row r="490">
          <cell r="A490" t="str">
            <v>Cây sầu riêng có quả đường kính gốc &lt; 20cm</v>
          </cell>
        </row>
        <row r="491">
          <cell r="A491" t="str">
            <v>Cây sầu riêng có quả tốt đường kính gốc ≥ 20cm đến &lt; 45cm</v>
          </cell>
        </row>
        <row r="492">
          <cell r="A492" t="str">
            <v>Cây sầu riêng có quả thu hoạch tốt đường kính gốc ≥ 45cm</v>
          </cell>
        </row>
        <row r="493">
          <cell r="A493" t="str">
            <v>Dứa ăn quả</v>
          </cell>
        </row>
        <row r="494">
          <cell r="A494" t="str">
            <v>Dứa quả cây giống</v>
          </cell>
        </row>
        <row r="495">
          <cell r="A495" t="str">
            <v>Dứa cây chưa ra quả</v>
          </cell>
        </row>
        <row r="496">
          <cell r="A496" t="str">
            <v xml:space="preserve">Dứa đang ra quả </v>
          </cell>
        </row>
        <row r="497">
          <cell r="A497" t="str">
            <v>Dứa khóm (tính theo khóm) có từ 4 cây trở lên</v>
          </cell>
        </row>
        <row r="498">
          <cell r="A498" t="str">
            <v>Chuối (tính theo đường kính gốc Φ)</v>
          </cell>
        </row>
        <row r="499">
          <cell r="A499" t="str">
            <v>Cây chuối có đường kính gốc Φ &lt; 15cm</v>
          </cell>
        </row>
        <row r="500">
          <cell r="A500" t="str">
            <v>Cây chuối có đường kính gốc Φ ≥ 15cm (chưa có buồng)</v>
          </cell>
        </row>
        <row r="501">
          <cell r="A501" t="str">
            <v>Chuối có buồng non chưa thu hoạch</v>
          </cell>
        </row>
        <row r="502">
          <cell r="A502" t="str">
            <v>Nhót, nho</v>
          </cell>
        </row>
        <row r="503">
          <cell r="A503" t="str">
            <v>Cây nhót, nho giống</v>
          </cell>
        </row>
        <row r="504">
          <cell r="A504" t="str">
            <v>Cây nhót, nho đã phát triển (tính theo diện tích giàn)</v>
          </cell>
        </row>
        <row r="505">
          <cell r="A505" t="str">
            <v>Gấc</v>
          </cell>
        </row>
        <row r="506">
          <cell r="A506" t="str">
            <v xml:space="preserve">Gấc tính theo m2 giàn </v>
          </cell>
        </row>
        <row r="507">
          <cell r="A507" t="str">
            <v>Gấc tính theo khóm gốc</v>
          </cell>
        </row>
        <row r="508">
          <cell r="A508" t="str">
            <v xml:space="preserve">Cây gấc chiều dài dây leo L &lt; 3m </v>
          </cell>
        </row>
        <row r="509">
          <cell r="A509" t="str">
            <v xml:space="preserve">Cây gấc chiều dài dây leo 3m ≤ L &lt; 10m </v>
          </cell>
        </row>
        <row r="510">
          <cell r="A510" t="str">
            <v xml:space="preserve">Cây gấc chiều dài dây leo L ≥ 10m </v>
          </cell>
        </row>
        <row r="511">
          <cell r="A511" t="str">
            <v xml:space="preserve">Lựu (tính theo đường kính gốc F) </v>
          </cell>
        </row>
        <row r="512">
          <cell r="A512" t="str">
            <v>Cây lựu mới trồng, chiều cao cây  H ≥ 40cm</v>
          </cell>
        </row>
        <row r="513">
          <cell r="A513" t="str">
            <v>Cây lựu đường kính gốc 1cm ≤ Φ &lt; 2cm</v>
          </cell>
        </row>
        <row r="514">
          <cell r="A514" t="str">
            <v>Cây lựu đường kính gốc 2cm ≤ Φ &lt; 5cm</v>
          </cell>
        </row>
        <row r="515">
          <cell r="A515" t="str">
            <v>Cây lựu đường kính gốc 5cm ≤ Φ &lt; 7cm</v>
          </cell>
        </row>
        <row r="516">
          <cell r="A516" t="str">
            <v>Cây lựu đường kính gốc 7cm ≤ Φ &lt; 9cm</v>
          </cell>
        </row>
        <row r="517">
          <cell r="A517" t="str">
            <v>Cây lựu đường kính gốc 9cm ≤ Φ &lt; 12cm</v>
          </cell>
        </row>
        <row r="518">
          <cell r="A518" t="str">
            <v xml:space="preserve">Cây lựu đường kính gốc 12cm ≤ Φ &lt; 15cm </v>
          </cell>
        </row>
        <row r="519">
          <cell r="A519" t="str">
            <v xml:space="preserve">Cây lựu đường kính gốc 15cm ≤ Φ &lt; 20cm </v>
          </cell>
        </row>
        <row r="520">
          <cell r="A520" t="str">
            <v xml:space="preserve">Cây lựu đường kính gốc Φ ≥ 20cm </v>
          </cell>
        </row>
        <row r="521">
          <cell r="A521" t="str">
            <v>CÂY LẤY GỖ</v>
          </cell>
        </row>
        <row r="522">
          <cell r="A522" t="str">
            <v>Bạch đàn, phi lao, keo (tính theo đường kính gốc F)</v>
          </cell>
        </row>
        <row r="523">
          <cell r="A523" t="str">
            <v>Cây keo giống đủ tiêu chuẩn mới trồng, chiều cao cây H ≥ 40cm</v>
          </cell>
        </row>
        <row r="524">
          <cell r="A524" t="str">
            <v>Cây keo đường kính gốc 1cm ≤ Φ &lt; 2cm</v>
          </cell>
        </row>
        <row r="525">
          <cell r="A525" t="str">
            <v>Cây keo đường kính gốc 2cm ≤ Φ &lt; 5cm</v>
          </cell>
        </row>
        <row r="526">
          <cell r="A526" t="str">
            <v>Cây keo đường kính gốc 5cm ≤ Φ &lt; 10cm</v>
          </cell>
        </row>
        <row r="527">
          <cell r="A527" t="str">
            <v>Cây keo đường kính gốc 10cm ≤ Φ &lt; 15cm</v>
          </cell>
        </row>
        <row r="528">
          <cell r="A528" t="str">
            <v>Cây keo đường kính gốc 15cm ≤ Φ &lt; 20cm</v>
          </cell>
        </row>
        <row r="529">
          <cell r="A529" t="str">
            <v>Cây keo đường kính gốc 20cm ≤ Φ &lt; 25cm</v>
          </cell>
        </row>
        <row r="530">
          <cell r="A530" t="str">
            <v>Cây keo đường kính gốc 25cm ≤ Φ &lt; 30cm</v>
          </cell>
        </row>
        <row r="531">
          <cell r="A531" t="str">
            <v>Cây keo đường kính gốc 30cm ≤ Φ &lt; 35cm</v>
          </cell>
        </row>
        <row r="532">
          <cell r="A532" t="str">
            <v>Cây keo đường kính gốc 35cm ≤ Φ &lt; 50cm</v>
          </cell>
        </row>
        <row r="533">
          <cell r="A533" t="str">
            <v>Cây keo đường kính gốc Φ ≥ 50cm (chi phí chặt hạ)</v>
          </cell>
        </row>
        <row r="534">
          <cell r="A534" t="str">
            <v>Cây bạch đàn giống đủ tiêu chuẩn mới trồng, chiều cao cây H ≥ 40cm</v>
          </cell>
        </row>
        <row r="535">
          <cell r="A535" t="str">
            <v>Cây bạch đàn đường kính gốc 1cm ≤ Φ &lt; 2cm</v>
          </cell>
        </row>
        <row r="536">
          <cell r="A536" t="str">
            <v>Cây bạch đàn đường kính gốc 2cm ≤ Φ &lt; 5cm</v>
          </cell>
        </row>
        <row r="537">
          <cell r="A537" t="str">
            <v>Cây bạch đàn đường kính gốc 5cm ≤ Φ &lt; 10cm</v>
          </cell>
        </row>
        <row r="538">
          <cell r="A538" t="str">
            <v>Cây bạch đàn đường kính gốc 10cm ≤ Φ &lt; 15cm</v>
          </cell>
        </row>
        <row r="539">
          <cell r="A539" t="str">
            <v>Cây bạch đàn đường kính gốc 15cm ≤ Φ &lt; 20cm</v>
          </cell>
        </row>
        <row r="540">
          <cell r="A540" t="str">
            <v>Cây bạch đàn đường kính gốc 20cm ≤ Φ &lt; 25cm</v>
          </cell>
        </row>
        <row r="541">
          <cell r="A541" t="str">
            <v>Cây bạch đàn đường kính gốc 25cm ≤ Φ &lt; 30cm</v>
          </cell>
        </row>
        <row r="542">
          <cell r="A542" t="str">
            <v>Cây bạch đàn đường kính gốc 30cm ≤ Φ &lt; 35cm</v>
          </cell>
        </row>
        <row r="543">
          <cell r="A543" t="str">
            <v>Cây bạch đàn đường kính gốc 35cm ≤ Φ &lt; 50cm</v>
          </cell>
        </row>
        <row r="544">
          <cell r="A544" t="str">
            <v>Cây bạch đàn đường kính gốc Φ ≥ 50cm (chi phí chặt hạ)</v>
          </cell>
        </row>
        <row r="545">
          <cell r="A545" t="str">
            <v>Cây phi lao giống đủ tiêu chuẩn mới trồng, chiều cao cây H ≥ 40cm</v>
          </cell>
        </row>
        <row r="546">
          <cell r="A546" t="str">
            <v>Cây phi lao đường kính gốc 1cm ≤ Φ &lt; 2cm</v>
          </cell>
        </row>
        <row r="547">
          <cell r="A547" t="str">
            <v>Cây phi lao đường kính gốc 2cm ≤ Φ &lt; 5cm</v>
          </cell>
        </row>
        <row r="548">
          <cell r="A548" t="str">
            <v>Cây phi lao đường kính gốc 5cm ≤ Φ &lt; 10cm</v>
          </cell>
        </row>
        <row r="549">
          <cell r="A549" t="str">
            <v>Cây phi lao đường kính gốc 10cm ≤ Φ &lt; 15cm</v>
          </cell>
        </row>
        <row r="550">
          <cell r="A550" t="str">
            <v>Cây phi lao đường kính gốc 15cm ≤ Φ &lt; 20cm</v>
          </cell>
        </row>
        <row r="551">
          <cell r="A551" t="str">
            <v>Cây phi lao đường kính gốc 20cm ≤ Φ &lt; 25cm</v>
          </cell>
        </row>
        <row r="552">
          <cell r="A552" t="str">
            <v>Cây phi lao đường kính gốc 25cm ≤ Φ &lt; 30cm</v>
          </cell>
        </row>
        <row r="553">
          <cell r="A553" t="str">
            <v>Cây phi lao đường kính gốc 30cm ≤ Φ &lt; 35cm</v>
          </cell>
        </row>
        <row r="554">
          <cell r="A554" t="str">
            <v>Cây phi lao đường kính gốc 35cm ≤ Φ &lt; 50cm</v>
          </cell>
        </row>
        <row r="555">
          <cell r="A555" t="str">
            <v>Cây phi lao đường kính gốc Φ ≥ 50cm (chi phí chặt hạ)</v>
          </cell>
        </row>
        <row r="556">
          <cell r="A556" t="str">
            <v xml:space="preserve">Xà cừ, thông (tính theo đường kính gốc F) </v>
          </cell>
        </row>
        <row r="557">
          <cell r="A557" t="str">
            <v>Cây xà cừ giống đủ tiêu chuẩn mới trồng, chiều cao cây H ≥ 40cm</v>
          </cell>
        </row>
        <row r="558">
          <cell r="A558" t="str">
            <v>Cây xà cừ đường kính gốc 1cm ≤ Φ &lt;  2cm</v>
          </cell>
        </row>
        <row r="559">
          <cell r="A559" t="str">
            <v>Cây xà cừ đường kính gốc 2cm ≤ Φ &lt;  5cm</v>
          </cell>
        </row>
        <row r="560">
          <cell r="A560" t="str">
            <v>Cây xà cừ đường kính gốc 5cm ≤ Φ &lt;  10cm</v>
          </cell>
        </row>
        <row r="561">
          <cell r="A561" t="str">
            <v>Cây xà cừ đường kính gốc 10cm ≤ Φ &lt; 15cm</v>
          </cell>
        </row>
        <row r="562">
          <cell r="A562" t="str">
            <v>Cây xà cừ đường kính gốc 15cm ≤ Φ &lt;  20cm</v>
          </cell>
        </row>
        <row r="563">
          <cell r="A563" t="str">
            <v>Cây xà cừ đường kính gốc 20cm ≤ Φ &lt;  25cm</v>
          </cell>
        </row>
        <row r="564">
          <cell r="A564" t="str">
            <v>Cây xà cừ đường kính gốc 25cm ≤ Φ &lt;  30cm</v>
          </cell>
        </row>
        <row r="565">
          <cell r="A565" t="str">
            <v xml:space="preserve">Cây xà cừ đường kính gốc 30cm ≤ Φ &lt;  35cm </v>
          </cell>
        </row>
        <row r="566">
          <cell r="A566" t="str">
            <v xml:space="preserve">Cây xà cừ đường kính gốc 35cm ≤ Φ &lt;  50cm </v>
          </cell>
        </row>
        <row r="567">
          <cell r="A567" t="str">
            <v>Cây xà cừ đường kính gốc Φ ≥ 50cm (chi phí chặt hạ)</v>
          </cell>
        </row>
        <row r="568">
          <cell r="A568" t="str">
            <v>Cây thông giống đủ tiêu chuẩn mới trồng, chiều cao cây H ≥ 40cm</v>
          </cell>
        </row>
        <row r="569">
          <cell r="A569" t="str">
            <v>Cây thông đường kính gốc 1cm ≤ Φ &lt;  2cm</v>
          </cell>
        </row>
        <row r="570">
          <cell r="A570" t="str">
            <v>Cây thông đường kính gốc 2cm ≤ Φ &lt;  5cm</v>
          </cell>
        </row>
        <row r="571">
          <cell r="A571" t="str">
            <v>Cây thông đường kính gốc 5cm ≤ Φ &lt;  10cm</v>
          </cell>
        </row>
        <row r="572">
          <cell r="A572" t="str">
            <v>Cây thông đường kính gốc 10cm ≤ Φ &lt; 15cm</v>
          </cell>
        </row>
        <row r="573">
          <cell r="A573" t="str">
            <v>Cây thông đường kính gốc 15cm ≤ Φ &lt;  20cm</v>
          </cell>
        </row>
        <row r="574">
          <cell r="A574" t="str">
            <v>Cây thông đường kính gốc 20cm ≤ Φ &lt;  25cm</v>
          </cell>
        </row>
        <row r="575">
          <cell r="A575" t="str">
            <v>Cây thông đường kính gốc 25cm ≤ Φ &lt;  30cm</v>
          </cell>
        </row>
        <row r="576">
          <cell r="A576" t="str">
            <v xml:space="preserve">Cây thông đường kính gốc 30cm ≤ Φ &lt;  35cm </v>
          </cell>
        </row>
        <row r="577">
          <cell r="A577" t="str">
            <v xml:space="preserve">Cây thông đường kính gốc 35cm ≤ Φ &lt;  50cm </v>
          </cell>
        </row>
        <row r="578">
          <cell r="A578" t="str">
            <v>Cây thông đường kính gốc Φ ≥ 50cm (chi phí chặt hạ)</v>
          </cell>
        </row>
        <row r="579">
          <cell r="A579" t="str">
            <v>Bàng, hoa sữa, bằng lăng, gạo, đa, phượng vĩ và các cây tương tự (tính theo đường kính gốc F)</v>
          </cell>
        </row>
        <row r="580">
          <cell r="A580" t="str">
            <v>Cây bàng giống đủ tiêu chuẩn mới trồng, chiều cao H ≥ 40cm</v>
          </cell>
        </row>
        <row r="581">
          <cell r="A581" t="str">
            <v>Cây bàng đường kính gốc 1cm ≤ Φ &lt; 3cm</v>
          </cell>
        </row>
        <row r="582">
          <cell r="A582" t="str">
            <v>Cây bàng đường kính gốc 3cm ≤ Φ &lt; 5cm</v>
          </cell>
        </row>
        <row r="583">
          <cell r="A583" t="str">
            <v>Cây bàng đường kính gốc 5cm ≤ Φ &lt; 10cm</v>
          </cell>
        </row>
        <row r="584">
          <cell r="A584" t="str">
            <v>Cây bàng đường kính gốc 10cm ≤ Φ &lt; 15cm</v>
          </cell>
        </row>
        <row r="585">
          <cell r="A585" t="str">
            <v>Cây bàng đường kính gốc 15cm ≤ Φ &lt; 20cm</v>
          </cell>
        </row>
        <row r="586">
          <cell r="A586" t="str">
            <v>Cây bàng đường kính gốc 20cm ≤ Φ &lt; 25cm</v>
          </cell>
        </row>
        <row r="587">
          <cell r="A587" t="str">
            <v>Cây bàng đường kính gốc 25cm ≤ Φ &lt; 30cm</v>
          </cell>
        </row>
        <row r="588">
          <cell r="A588" t="str">
            <v>Cây bàng đường kính gốc 30cm ≤ Φ &lt; 35cm</v>
          </cell>
        </row>
        <row r="589">
          <cell r="A589" t="str">
            <v>Cây bàng đường kính gốc 35cm ≤ Φ &lt; 50cm</v>
          </cell>
        </row>
        <row r="590">
          <cell r="A590" t="str">
            <v>Cây bàng đường kính gốc Φ ≥ 50cm (chi phí chặt hạ)</v>
          </cell>
        </row>
        <row r="591">
          <cell r="A591" t="str">
            <v>Cây hoa sữa giống đủ tiêu chuẩn mới trồng, chiều cao H ≥ 40cm</v>
          </cell>
        </row>
        <row r="592">
          <cell r="A592" t="str">
            <v>Cây hoa sữa đường kính gốc 1cm ≤ Φ &lt; 3cm</v>
          </cell>
        </row>
        <row r="593">
          <cell r="A593" t="str">
            <v>Cây hoa sữa đường kính gốc 3cm ≤ Φ &lt; 5cm</v>
          </cell>
        </row>
        <row r="594">
          <cell r="A594" t="str">
            <v>Cây hoa sữa đường kính gốc 5cm ≤ Φ &lt; 10cm</v>
          </cell>
        </row>
        <row r="595">
          <cell r="A595" t="str">
            <v>Cây hoa sữa đường kính gốc 10cm ≤ Φ &lt; 15cm</v>
          </cell>
        </row>
        <row r="596">
          <cell r="A596" t="str">
            <v>Cây hoa sữa đường kính gốc 15cm ≤ Φ &lt; 20cm</v>
          </cell>
        </row>
        <row r="597">
          <cell r="A597" t="str">
            <v>Cây hoa sữa đường kính gốc 20cm ≤ Φ &lt; 25cm</v>
          </cell>
        </row>
        <row r="598">
          <cell r="A598" t="str">
            <v>Cây hoa sữa đường kính gốc 25cm ≤ Φ &lt; 30cm</v>
          </cell>
        </row>
        <row r="599">
          <cell r="A599" t="str">
            <v>Cây hoa sữa đường kính gốc 30cm ≤ Φ &lt; 35cm</v>
          </cell>
        </row>
        <row r="600">
          <cell r="A600" t="str">
            <v>Cây hoa sữa đường kính gốc 35cm ≤ Φ &lt; 50cm</v>
          </cell>
        </row>
        <row r="601">
          <cell r="A601" t="str">
            <v>Cây hoa sữa đường kính gốc Φ ≥ 50cm (chi phí chặt hạ)</v>
          </cell>
        </row>
        <row r="602">
          <cell r="A602" t="str">
            <v>Cây bằng lăng giống đủ tiêu chuẩn mới trồng, chiều cao H ≥ 40cm</v>
          </cell>
        </row>
        <row r="603">
          <cell r="A603" t="str">
            <v>Cây bằng lăng đường kính gốc 1cm ≤ Φ &lt; 3cm</v>
          </cell>
        </row>
        <row r="604">
          <cell r="A604" t="str">
            <v>Cây bằng lăng đường kính gốc 3cm ≤ Φ &lt; 5cm</v>
          </cell>
        </row>
        <row r="605">
          <cell r="A605" t="str">
            <v>Cây bằng lăng đường kính gốc 5cm ≤ Φ &lt; 10cm</v>
          </cell>
        </row>
        <row r="606">
          <cell r="A606" t="str">
            <v>Cây bằng lăng đường kính gốc 10cm ≤ Φ &lt; 15cm</v>
          </cell>
        </row>
        <row r="607">
          <cell r="A607" t="str">
            <v>Cây bằng lăng đường kính gốc 15cm ≤ Φ &lt; 20cm</v>
          </cell>
        </row>
        <row r="608">
          <cell r="A608" t="str">
            <v>Cây bằng lăng đường kính gốc 20cm ≤ Φ &lt; 25cm</v>
          </cell>
        </row>
        <row r="609">
          <cell r="A609" t="str">
            <v>Cây bằng lăng đường kính gốc 25cm ≤ Φ &lt; 30cm</v>
          </cell>
        </row>
        <row r="610">
          <cell r="A610" t="str">
            <v>Cây bằng lăng đường kính gốc 30cm ≤ Φ &lt; 35cm</v>
          </cell>
        </row>
        <row r="611">
          <cell r="A611" t="str">
            <v>Cây bằng lăng đường kính gốc 35cm ≤ Φ &lt; 50cm</v>
          </cell>
        </row>
        <row r="612">
          <cell r="A612" t="str">
            <v>Cây bằng lăng đường kính gốc Φ ≥ 50cm (chi phí chặt hạ)</v>
          </cell>
        </row>
        <row r="613">
          <cell r="A613" t="str">
            <v>Cây gạo giống đủ tiêu chuẩn mới trồng, chiều cao H ≥ 40cm</v>
          </cell>
        </row>
        <row r="614">
          <cell r="A614" t="str">
            <v>Cây gạo đường kính gốc 1cm ≤ Φ &lt; 3cm</v>
          </cell>
        </row>
        <row r="615">
          <cell r="A615" t="str">
            <v>Cây gạo đường kính gốc 3cm ≤ Φ &lt; 5cm</v>
          </cell>
        </row>
        <row r="616">
          <cell r="A616" t="str">
            <v>Cây gạo đường kính gốc 5cm ≤ Φ &lt; 10cm</v>
          </cell>
        </row>
        <row r="617">
          <cell r="A617" t="str">
            <v>Cây gạo đường kính gốc 10cm ≤ Φ &lt; 15cm</v>
          </cell>
        </row>
        <row r="618">
          <cell r="A618" t="str">
            <v>Cây gạo đường kính gốc 15cm ≤ Φ &lt; 20cm</v>
          </cell>
        </row>
        <row r="619">
          <cell r="A619" t="str">
            <v>Cây gạo đường kính gốc 20cm ≤ Φ &lt; 25cm</v>
          </cell>
        </row>
        <row r="620">
          <cell r="A620" t="str">
            <v>Cây gạo đường kính gốc 25cm ≤ Φ &lt; 30cm</v>
          </cell>
        </row>
        <row r="621">
          <cell r="A621" t="str">
            <v>Cây gạo đường kính gốc 30cm ≤ Φ &lt; 35cm</v>
          </cell>
        </row>
        <row r="622">
          <cell r="A622" t="str">
            <v>Cây gạo đường kính gốc 35cm ≤ Φ &lt; 50cm</v>
          </cell>
        </row>
        <row r="623">
          <cell r="A623" t="str">
            <v>Cây gạo đường kính gốc Φ ≥ 50cm (chi phí chặt hạ)</v>
          </cell>
        </row>
        <row r="624">
          <cell r="A624" t="str">
            <v>Cây đa giống đủ tiêu chuẩn mới trồng, chiều cao H ≥ 40cm</v>
          </cell>
        </row>
        <row r="625">
          <cell r="A625" t="str">
            <v>Cây đa đường kính gốc 1cm ≤ Φ &lt; 3cm</v>
          </cell>
        </row>
        <row r="626">
          <cell r="A626" t="str">
            <v>Cây đa đường kính gốc 3cm ≤ Φ &lt; 5cm</v>
          </cell>
        </row>
        <row r="627">
          <cell r="A627" t="str">
            <v>Cây đa đường kính gốc 5cm ≤ Φ &lt; 10cm</v>
          </cell>
        </row>
        <row r="628">
          <cell r="A628" t="str">
            <v>Cây đa đường kính gốc 10cm ≤ Φ &lt; 15cm</v>
          </cell>
        </row>
        <row r="629">
          <cell r="A629" t="str">
            <v>Cây đa đường kính gốc 15cm ≤ Φ &lt; 20cm</v>
          </cell>
        </row>
        <row r="630">
          <cell r="A630" t="str">
            <v>Cây đa đường kính gốc 20cm≤ Φ &lt; 25cm</v>
          </cell>
        </row>
        <row r="631">
          <cell r="A631" t="str">
            <v>Cây đa đường kính gốc 25cm ≤ Φ &lt; 30cm</v>
          </cell>
        </row>
        <row r="632">
          <cell r="A632" t="str">
            <v>Cây đa đường kính gốc 30cm ≤ Φ &lt; 35cm</v>
          </cell>
        </row>
        <row r="633">
          <cell r="A633" t="str">
            <v>Cây đa đường kính gốc 35cm ≤ Φ &lt; 50cm</v>
          </cell>
        </row>
        <row r="634">
          <cell r="A634" t="str">
            <v>Cây đa đường kính gốc Φ ≥ 50cm (chi phí chặt hạ)</v>
          </cell>
        </row>
        <row r="635">
          <cell r="A635" t="str">
            <v>Cây phượng vĩ giống đủ tiêu chuẩn mới trồng, chiều cao H ≥ 40cm</v>
          </cell>
        </row>
        <row r="636">
          <cell r="A636" t="str">
            <v>Cây phượng vĩ đường kính gốc 1cm ≤ Φ &lt; 3cm</v>
          </cell>
        </row>
        <row r="637">
          <cell r="A637" t="str">
            <v>Cây phượng vĩ đường kính gốc 3cm ≤ Φ &lt; 5cm</v>
          </cell>
        </row>
        <row r="638">
          <cell r="A638" t="str">
            <v>Cây phượng vĩ đường kính gốc 5cm ≤ Φ &lt; 10cm</v>
          </cell>
        </row>
        <row r="639">
          <cell r="A639" t="str">
            <v>Cây phượng vĩ đường kính gốc 10cm ≤ Φ &lt; 15cm</v>
          </cell>
        </row>
        <row r="640">
          <cell r="A640" t="str">
            <v>Cây phượng vĩ đường kính gốc 15cm ≤ Φ &lt; 20cm</v>
          </cell>
        </row>
        <row r="641">
          <cell r="A641" t="str">
            <v>Cây phượng vĩ đường kính gốc 20cm≤ Φ &lt; 25cm</v>
          </cell>
        </row>
        <row r="642">
          <cell r="A642" t="str">
            <v>Cây phượng vĩ đường kính gốc 25cm ≤ Φ &lt; 30cm</v>
          </cell>
        </row>
        <row r="643">
          <cell r="A643" t="str">
            <v>Cây phượng vĩ đường kính gốc 30cm ≤ Φ &lt; 35cm</v>
          </cell>
        </row>
        <row r="644">
          <cell r="A644" t="str">
            <v>Cây phượng vĩ đường kính gốc 35cm ≤ Φ &lt; 50cm</v>
          </cell>
        </row>
        <row r="645">
          <cell r="A645" t="str">
            <v>Cây phượng vĩ đường kính gốc Φ ≥ 50cm (chi phí chặt hạ)</v>
          </cell>
        </row>
        <row r="646">
          <cell r="A646" t="str">
            <v>Xoan nâu, xoan đào (tính theo đường kính gốc F)</v>
          </cell>
        </row>
        <row r="647">
          <cell r="A647" t="str">
            <v xml:space="preserve">Cây xoan giống đủ tiêu chuẩn, mới trồng, chiều cao cây H ≥ 40cm     </v>
          </cell>
        </row>
        <row r="648">
          <cell r="A648" t="str">
            <v>Cây xoan đường kính gốc 1cm ≤ Φ &lt; 2cm</v>
          </cell>
        </row>
        <row r="649">
          <cell r="A649" t="str">
            <v>Cây xoan đường kính gốc 2cm ≤ Φ &lt; 5cm</v>
          </cell>
        </row>
        <row r="650">
          <cell r="A650" t="str">
            <v>Cây xoan đường kính gốc 5cm ≤ Φ &lt; 9cm</v>
          </cell>
        </row>
        <row r="651">
          <cell r="A651" t="str">
            <v>Cây xoan đường kính gốc 9cm ≤ Φ &lt; 12cm</v>
          </cell>
        </row>
        <row r="652">
          <cell r="A652" t="str">
            <v>Cây xoan đường kính gốc 12cm ≤ Φ &lt; 15cm</v>
          </cell>
        </row>
        <row r="653">
          <cell r="A653" t="str">
            <v>Cây xoan đường kính gốc 15cm ≤ Φ &lt; 20cm</v>
          </cell>
        </row>
        <row r="654">
          <cell r="A654" t="str">
            <v>Cây xoan đường kính gốc 20cm ≤ Φ &lt; 25cm</v>
          </cell>
        </row>
        <row r="655">
          <cell r="A655" t="str">
            <v>Cây xoan đường kính gốc 25cm ≤ Φ &lt; 30cm</v>
          </cell>
        </row>
        <row r="656">
          <cell r="A656" t="str">
            <v>Cây xoan đường kính gốc 30cm ≤ Φ &lt; 35cm</v>
          </cell>
        </row>
        <row r="657">
          <cell r="A657" t="str">
            <v>Cây xoan đường kính gốc Φ ≥ 35cm (chi phí chặt hạ)</v>
          </cell>
        </row>
        <row r="658">
          <cell r="A658" t="str">
            <v xml:space="preserve">Tre, mai (tính theo đường kính gốc F) </v>
          </cell>
        </row>
        <row r="659">
          <cell r="A659" t="str">
            <v>Cây tre giống đủ tiêu chuẩn mới trồng</v>
          </cell>
        </row>
        <row r="660">
          <cell r="A660" t="str">
            <v>Cây tre đường kính gốc 2cm ≤ Φ &lt; 5cm</v>
          </cell>
        </row>
        <row r="661">
          <cell r="A661" t="str">
            <v>Cây tre đường kính gốc 5cm ≤ Φ &lt; 7cm</v>
          </cell>
        </row>
        <row r="662">
          <cell r="A662" t="str">
            <v>Cây tre đường kính gốc 7cm ≤ Φ &lt; 10cm</v>
          </cell>
        </row>
        <row r="663">
          <cell r="A663" t="str">
            <v>Cây tre đường kính gốc 10cm ≤ Φ &lt; 12cm</v>
          </cell>
        </row>
        <row r="664">
          <cell r="A664" t="str">
            <v>Cây tre đường kính gốc Φ ≥ 12cm (chi phí chặt hạ)</v>
          </cell>
        </row>
        <row r="665">
          <cell r="A665" t="str">
            <v>Long não  (tính theo đường kính gốc)</v>
          </cell>
        </row>
        <row r="666">
          <cell r="A666" t="str">
            <v xml:space="preserve">Cây long não giống đủ tiêu chuẩn mới trồng, chiều cao cây  H ≤40cm  </v>
          </cell>
        </row>
        <row r="667">
          <cell r="A667" t="str">
            <v>Cây long não đường kính gốc 1cm ≤ Φ &lt; 3cm</v>
          </cell>
        </row>
        <row r="668">
          <cell r="A668" t="str">
            <v>Cây long não đường kính gốc 3cm ≤ Φ &lt; 5cm</v>
          </cell>
        </row>
        <row r="669">
          <cell r="A669" t="str">
            <v>Cây long não đường kính gốc 5cm ≤ Φ &lt; 10cm</v>
          </cell>
        </row>
        <row r="670">
          <cell r="A670" t="str">
            <v>Cây long não đường kính gốc 10cm ≤ Φ &lt; 15cm</v>
          </cell>
        </row>
        <row r="671">
          <cell r="A671" t="str">
            <v>Cây long não đường kính gốc 15cm ≤ Φ &lt; 20cm</v>
          </cell>
        </row>
        <row r="672">
          <cell r="A672" t="str">
            <v xml:space="preserve">Cây long não đường kính gốc 20cm ≤ Φ &lt; 30cm </v>
          </cell>
        </row>
        <row r="673">
          <cell r="A673" t="str">
            <v xml:space="preserve">Cây long não đường kính gốc 30cm ≤ Φ &lt; 40cm </v>
          </cell>
        </row>
        <row r="674">
          <cell r="A674" t="str">
            <v xml:space="preserve">Cây long não đường kính gốc Φ ≥ 40cm </v>
          </cell>
        </row>
        <row r="675">
          <cell r="A675" t="str">
            <v xml:space="preserve">Cây Dẻ lấy quả </v>
          </cell>
        </row>
        <row r="676">
          <cell r="A676" t="str">
            <v>Cây dẻ lấy quả mới trồng, đường kính gốc &lt;5 cm</v>
          </cell>
        </row>
        <row r="677">
          <cell r="A677" t="str">
            <v>Cây dẻ lấy quả đường kính gốc từ 5 cm đến 10cm</v>
          </cell>
        </row>
        <row r="678">
          <cell r="A678" t="str">
            <v>Cây dẻ lấy quả đường kính gốc &gt;10 cm đến 20cm</v>
          </cell>
        </row>
        <row r="679">
          <cell r="A679" t="str">
            <v>Cây dẻ lấy quả đường kính gốc &gt; 20 cm đến 30cm</v>
          </cell>
        </row>
        <row r="680">
          <cell r="A680" t="str">
            <v>Cây dẻ lấy quả đường kính gốc &gt; 30cm</v>
          </cell>
        </row>
        <row r="681">
          <cell r="A681" t="str">
            <v>Cây Trám</v>
          </cell>
        </row>
        <row r="682">
          <cell r="A682" t="str">
            <v>Cây trám mới trồng, đường kính gốc &lt;2cm</v>
          </cell>
        </row>
        <row r="683">
          <cell r="A683" t="str">
            <v>Cây trám đường kính gốc từ 2cm đến 5cm</v>
          </cell>
        </row>
        <row r="684">
          <cell r="A684" t="str">
            <v>Cây trám đường kính gốc từ 5cm đến 10cm</v>
          </cell>
        </row>
        <row r="685">
          <cell r="A685" t="str">
            <v>Cây trám đường kính gốc &gt;10cm đến 15cm</v>
          </cell>
        </row>
        <row r="686">
          <cell r="A686" t="str">
            <v>Cây trám đường kính gốc &gt;15cm đến 20cm</v>
          </cell>
        </row>
        <row r="687">
          <cell r="A687" t="str">
            <v>Cây trám đường kính gốc &gt;20cm đến 25cm</v>
          </cell>
        </row>
        <row r="688">
          <cell r="A688" t="str">
            <v>Cây trám đường kính gốc &gt;25cm đến 30cm</v>
          </cell>
        </row>
        <row r="689">
          <cell r="A689" t="str">
            <v>Cây trám đường kính gốc &gt; 30cm</v>
          </cell>
        </row>
        <row r="690">
          <cell r="A690" t="str">
            <v xml:space="preserve">Cây Lát </v>
          </cell>
        </row>
        <row r="691">
          <cell r="A691" t="str">
            <v>Cây lát mới trồng, đường kính gốc &lt; 5cm</v>
          </cell>
        </row>
        <row r="692">
          <cell r="A692" t="str">
            <v>Cây lát đường kính gốc từ 5 cm đến 10cm</v>
          </cell>
        </row>
        <row r="693">
          <cell r="A693" t="str">
            <v>Cây lát đường kính gốc &gt; 10 cm đến 20cm</v>
          </cell>
        </row>
        <row r="694">
          <cell r="A694" t="str">
            <v>Cây lát đường kính gốc &gt; 20 cm đến 30cm</v>
          </cell>
        </row>
        <row r="695">
          <cell r="A695" t="str">
            <v>Cây lát đường kính gốc &gt; 30 cm</v>
          </cell>
        </row>
        <row r="696">
          <cell r="A696" t="str">
            <v xml:space="preserve">Cây Vông </v>
          </cell>
        </row>
        <row r="697">
          <cell r="A697" t="str">
            <v>Cây vông mới trồng, đường kính gốc &lt; 5cm</v>
          </cell>
        </row>
        <row r="698">
          <cell r="A698" t="str">
            <v>Cây vông đường kính gốc từ 5cm đến 10cm</v>
          </cell>
        </row>
        <row r="699">
          <cell r="A699" t="str">
            <v>Cây vông đường kính gốc &gt;10 cm đến 20cm</v>
          </cell>
        </row>
        <row r="700">
          <cell r="A700" t="str">
            <v>Cây vông đường kính gốc &gt; 20 cm đến 30 cm</v>
          </cell>
        </row>
        <row r="701">
          <cell r="A701" t="str">
            <v>Cây vông đường kính gốc &gt; 30 cm</v>
          </cell>
        </row>
        <row r="702">
          <cell r="A702" t="str">
            <v>CÂY TRỒNG KHÁC</v>
          </cell>
        </row>
        <row r="703">
          <cell r="A703" t="str">
            <v>Dâu trồng lấy lá nuôi tằm (tính theo thời gian trồng)</v>
          </cell>
        </row>
        <row r="704">
          <cell r="A704" t="str">
            <v>Cây dâu trồng lấy lá nuôi tằm giống đủ tiêu chuẩn mới trồng &lt; 3 tháng</v>
          </cell>
        </row>
        <row r="705">
          <cell r="A705" t="str">
            <v xml:space="preserve"> Cây dâu trồng lấy lá nuôi tằm 3 tháng £ thời gian trồng &lt; 1 năm</v>
          </cell>
        </row>
        <row r="706">
          <cell r="A706" t="str">
            <v>Cây dâu trồng lấy lá nuôi tằm 1 năm £ thời gian trồng &lt; 2 năm</v>
          </cell>
        </row>
        <row r="707">
          <cell r="A707" t="str">
            <v>Cây dâu trồng lấy lá nuôi tằm thời gian trồng ³ 2 năm</v>
          </cell>
        </row>
        <row r="708">
          <cell r="A708" t="str">
            <v>Dâu ăn quả</v>
          </cell>
        </row>
        <row r="709">
          <cell r="A709" t="str">
            <v xml:space="preserve">Cây dâu ăn quả giống đủ tiêu chuẩn mới trồng </v>
          </cell>
        </row>
        <row r="710">
          <cell r="A710" t="str">
            <v>Cây dâu ăn quả có đường kính 1cm £ F &lt; 2cm</v>
          </cell>
        </row>
        <row r="711">
          <cell r="A711" t="str">
            <v>Cây dâu ăn quả có đường kính 2cm £ F &lt; 4cm</v>
          </cell>
        </row>
        <row r="712">
          <cell r="A712" t="str">
            <v>Cây dâu ăn quả có đường kính 4cm £ F &lt; 6cm</v>
          </cell>
        </row>
        <row r="713">
          <cell r="A713" t="str">
            <v>Cây dâu ăn quả có đường kính 6cm £ F &lt; 10cm</v>
          </cell>
        </row>
        <row r="714">
          <cell r="A714" t="str">
            <v>Cây dâu ăn quả có đường kính  F ³ 10cm</v>
          </cell>
        </row>
        <row r="715">
          <cell r="A715" t="str">
            <v xml:space="preserve">Chè </v>
          </cell>
        </row>
        <row r="716">
          <cell r="A716" t="str">
            <v xml:space="preserve">Cây chè giống đủ tiêu chuẩn mới trồng  </v>
          </cell>
        </row>
        <row r="717">
          <cell r="A717" t="str">
            <v>Cây chè trồng theo luống, dảnh có thời gian &lt; 6 tháng</v>
          </cell>
        </row>
        <row r="718">
          <cell r="A718" t="str">
            <v>Cây chè trồng theo luống, dảnh có thời gian ≥ 6 tháng</v>
          </cell>
        </row>
        <row r="719">
          <cell r="A719" t="str">
            <v>Cây chè trồng đơn lẻ có đường kính tán lá Φ  &lt; 0,5m</v>
          </cell>
        </row>
        <row r="720">
          <cell r="A720" t="str">
            <v xml:space="preserve">Cây chè trồng đơn lẻ có đường kính tán lá 0,5m ≤ Φ &lt; 1m </v>
          </cell>
        </row>
        <row r="721">
          <cell r="A721" t="str">
            <v>Cây chè trồng đơn lẻ có đường kính tán lá 1m ≤ Φ &lt; 1,5m</v>
          </cell>
        </row>
        <row r="722">
          <cell r="A722" t="str">
            <v>Cây chè trồng đơn lẻ có đường kính tán lá 1,5m ≤ Φ &lt; 2m</v>
          </cell>
        </row>
        <row r="723">
          <cell r="A723" t="str">
            <v>Cây chè trồng đơn lẻ có đường kính tán lá Φ ≥ 2m</v>
          </cell>
        </row>
        <row r="724">
          <cell r="A724" t="str">
            <v>Mây</v>
          </cell>
        </row>
        <row r="725">
          <cell r="A725" t="str">
            <v xml:space="preserve">Cây mây giống đủ tiêu chuẩn mới trồng </v>
          </cell>
        </row>
        <row r="726">
          <cell r="A726" t="str">
            <v>Cây mây chưa đến kỳ thu hoạch (tính theo khóm)</v>
          </cell>
        </row>
        <row r="727">
          <cell r="A727" t="str">
            <v>Dâm bụt, găng, tre gai... trồng hàng rào</v>
          </cell>
        </row>
        <row r="728">
          <cell r="A728" t="str">
            <v>Lộc vừng, sanh, si (ươm, trồng dưới đất, tính theo đường kính tán F)</v>
          </cell>
        </row>
        <row r="729">
          <cell r="A729" t="str">
            <v xml:space="preserve">Cây sanh có đường kính tán 0,5m  ≤ Φ &lt; 0,7m </v>
          </cell>
        </row>
        <row r="730">
          <cell r="A730" t="str">
            <v xml:space="preserve">Cây sanh có đường kính tán 0,7m  ≤ Φ &lt; 1,0m </v>
          </cell>
        </row>
        <row r="731">
          <cell r="A731" t="str">
            <v>Cây sanh có đường kính tán 1,0m  ≤ Φ &lt; 1,5m</v>
          </cell>
        </row>
        <row r="732">
          <cell r="A732" t="str">
            <v>Cây sanh có đường kính tán 1,5m ≤ Φ &lt; 2,0m</v>
          </cell>
        </row>
        <row r="733">
          <cell r="A733" t="str">
            <v>Cây sanh có đường kính tán 2,0m  ≤ Φ &lt; 3,0m</v>
          </cell>
        </row>
        <row r="734">
          <cell r="A734" t="str">
            <v>Cây sanh có đường kính tán 3,0m ≤ Φ &lt; 4,0m</v>
          </cell>
        </row>
        <row r="735">
          <cell r="A735" t="str">
            <v>Cây sanh có đường kính tán Φ ≥  4,0m</v>
          </cell>
        </row>
        <row r="736">
          <cell r="A736" t="str">
            <v xml:space="preserve">Cây lộc vừng có đường kính tán 0,5m  ≤ Φ &lt; 0,7m </v>
          </cell>
        </row>
        <row r="737">
          <cell r="A737" t="str">
            <v xml:space="preserve">Cây lộc vừng có đường kính tán 0,7m  ≤ Φ &lt; 1,0m </v>
          </cell>
        </row>
        <row r="738">
          <cell r="A738" t="str">
            <v>Cây lộc vừng có đường kính tán 1,0m  ≤ Φ &lt; 1,5m</v>
          </cell>
        </row>
        <row r="739">
          <cell r="A739" t="str">
            <v>Cây lộc vừng có đường kính tán 1,5m ≤ Φ &lt; 2,0m</v>
          </cell>
        </row>
        <row r="740">
          <cell r="A740" t="str">
            <v>Cây lộc vừng có đường kính tán 2,0m  ≤ Φ &lt; 3,0m</v>
          </cell>
        </row>
        <row r="741">
          <cell r="A741" t="str">
            <v>Cây lộc vừng có đường kính tán 3,0m ≤ Φ &lt; 4,0m</v>
          </cell>
        </row>
        <row r="742">
          <cell r="A742" t="str">
            <v>Cây lộc vừng có đường kính tán Φ ≥  4,0m</v>
          </cell>
        </row>
        <row r="743">
          <cell r="A743" t="str">
            <v xml:space="preserve">Cây si có đường kính tán 0,5m  ≤ Φ &lt; 0,7m </v>
          </cell>
        </row>
        <row r="744">
          <cell r="A744" t="str">
            <v xml:space="preserve">Cây si có đường kính tán 0,7m  ≤ Φ &lt; 1,0m </v>
          </cell>
        </row>
        <row r="745">
          <cell r="A745" t="str">
            <v>Cây si có đường kính tán 1,0m  ≤ Φ &lt; 1,5m</v>
          </cell>
        </row>
        <row r="746">
          <cell r="A746" t="str">
            <v>Cây si có đường kính tán 1,5m ≤ Φ &lt; 2,0m</v>
          </cell>
        </row>
        <row r="747">
          <cell r="A747" t="str">
            <v>Cây si có đường kính tán 2,0m  ≤ Φ &lt; 3,0m</v>
          </cell>
        </row>
        <row r="748">
          <cell r="A748" t="str">
            <v>Cây si có đường kính tán 3,0m ≤ Φ &lt; 4,0m</v>
          </cell>
        </row>
        <row r="749">
          <cell r="A749" t="str">
            <v>Cây si có đường kính tán Φ ≥  4,0m</v>
          </cell>
        </row>
        <row r="750">
          <cell r="A750" t="str">
            <v xml:space="preserve">Cau vua, thiết mộc lan, hoa giấy (ươm, trồng dưới đất, chiều cao cây H ³  50cm, tính theo đường kính gốc F) </v>
          </cell>
        </row>
        <row r="751">
          <cell r="A751" t="str">
            <v xml:space="preserve">Cây cau vua có đường kính gốc 0,03m  ≤ Φ &lt; 0,05m </v>
          </cell>
        </row>
        <row r="752">
          <cell r="A752" t="str">
            <v xml:space="preserve">Cây cau vua có đường kính gốc 0,05m  ≤ Φ &lt; 0,10m </v>
          </cell>
        </row>
        <row r="753">
          <cell r="A753" t="str">
            <v>Cây cau vua có đường kính gốc 0,10m  ≤ Φ &lt; 0,15m</v>
          </cell>
        </row>
        <row r="754">
          <cell r="A754" t="str">
            <v>Cây cau vua có đường kính gốc 0,15m ≤ Φ &lt; 0,20m</v>
          </cell>
        </row>
        <row r="755">
          <cell r="A755" t="str">
            <v>Cây cau vua có đường kính gốc 0,20m  ≤ Φ &lt; 0,25m</v>
          </cell>
        </row>
        <row r="756">
          <cell r="A756" t="str">
            <v>Cây cau vua có đường kính gốc 0,25m ≤ Φ &lt; 0,30m</v>
          </cell>
        </row>
        <row r="757">
          <cell r="A757" t="str">
            <v>Cây cau vua có đường kính gốc 0,30m  ≤ Φ &lt; 0,35m</v>
          </cell>
        </row>
        <row r="758">
          <cell r="A758" t="str">
            <v>Cây cau vua có đường kính gốc Φ ≥  0,35m</v>
          </cell>
        </row>
        <row r="759">
          <cell r="A759" t="str">
            <v xml:space="preserve">Cây thiết mộc lan có đường kính gốc 0,03m  ≤ Φ &lt; 0,05m </v>
          </cell>
        </row>
        <row r="760">
          <cell r="A760" t="str">
            <v xml:space="preserve">Cây thiết mộc lan có đường kính gốc 0,05m  ≤ Φ &lt; 0,10m </v>
          </cell>
        </row>
        <row r="761">
          <cell r="A761" t="str">
            <v>Cây thiết mộc lan có đường kính gốc 0,10m  ≤ Φ &lt; 0,15m</v>
          </cell>
        </row>
        <row r="762">
          <cell r="A762" t="str">
            <v>Cây thiết mộc lan có đường kính gốc 0,15m ≤ Φ &lt; 0,20m</v>
          </cell>
        </row>
        <row r="763">
          <cell r="A763" t="str">
            <v>Cây thiết mộc lan có đường kính gốc 0,20m  ≤ Φ &lt; 0,25m</v>
          </cell>
        </row>
        <row r="764">
          <cell r="A764" t="str">
            <v>Cây thiết mộc lan có đường kính gốc 0,25m ≤ Φ &lt; 0,30m</v>
          </cell>
        </row>
        <row r="765">
          <cell r="A765" t="str">
            <v>Cây thiết mộc lan có đường kính gốc 0,30m  ≤ Φ &lt; 0,35m</v>
          </cell>
        </row>
        <row r="766">
          <cell r="A766" t="str">
            <v>Cây thiết mộc lan có đường kính gốc Φ ≥  0,35m</v>
          </cell>
        </row>
        <row r="767">
          <cell r="A767" t="str">
            <v xml:space="preserve">Cây hoa giấy có đường kính gốc 0,03m  ≤ Φ &lt; 0,05m </v>
          </cell>
        </row>
        <row r="768">
          <cell r="A768" t="str">
            <v xml:space="preserve">Cây hoa giấy có đường kính gốc 0,05m  ≤ Φ &lt; 0,10m </v>
          </cell>
        </row>
        <row r="769">
          <cell r="A769" t="str">
            <v>Cây hoa giấy có đường kính gốc 0,10m  ≤ Φ &lt; 0,15m</v>
          </cell>
        </row>
        <row r="770">
          <cell r="A770" t="str">
            <v>Cây hoa giấy có đường kính gốc 0,15m ≤ Φ &lt; 0,20m</v>
          </cell>
        </row>
        <row r="771">
          <cell r="A771" t="str">
            <v>Cây hoa giấy có đường kính gốc 0,20m  ≤ Φ &lt; 0,25m</v>
          </cell>
        </row>
        <row r="772">
          <cell r="A772" t="str">
            <v>Cây hoa giấy có đường kính gốc 0,25m ≤ Φ &lt; 0,30m</v>
          </cell>
        </row>
        <row r="773">
          <cell r="A773" t="str">
            <v>Cây hoa giấy có đường kính gốc 0,30m  ≤ Φ &lt; 0,35m</v>
          </cell>
        </row>
        <row r="774">
          <cell r="A774" t="str">
            <v>Cây hoa giấy có đường kính gốc Φ ≥  0,35m</v>
          </cell>
        </row>
        <row r="775">
          <cell r="A775" t="str">
            <v>Cau trắng, cau sâm banh, cau lợn cọ, cau Nhật liên, tùng la hán (ươm, trồng dưới đất, chiều cao cây H ³  50cm, tính theo đường kính gốc F)</v>
          </cell>
        </row>
        <row r="776">
          <cell r="A776" t="str">
            <v xml:space="preserve">Cây cau trắng có đường kính gốc 0,03m  ≤ Φ &lt; 0,05m </v>
          </cell>
        </row>
        <row r="777">
          <cell r="A777" t="str">
            <v xml:space="preserve">Cây cau trắng có đường kính gốc 0,05m  ≤ Φ &lt; 0,10m </v>
          </cell>
        </row>
        <row r="778">
          <cell r="A778" t="str">
            <v>Cây cau trắng có đường kính gốc 0,10m  ≤ Φ &lt; 0,15m</v>
          </cell>
        </row>
        <row r="779">
          <cell r="A779" t="str">
            <v>Cây cau trắng có đường kính gốc 0,15m ≤ Φ &lt; 0,20m</v>
          </cell>
        </row>
        <row r="780">
          <cell r="A780" t="str">
            <v>Cây cau trắng có đường kính gốc 0,20m  ≤ Φ &lt; 0,25m</v>
          </cell>
        </row>
        <row r="781">
          <cell r="A781" t="str">
            <v>Cây cau trắng có đường kính gốc 0,25m ≤ Φ &lt; 0,30m</v>
          </cell>
        </row>
        <row r="782">
          <cell r="A782" t="str">
            <v>Cây cau trắng có đường kính gốc 0,30m  ≤ Φ &lt; 0,35m</v>
          </cell>
        </row>
        <row r="783">
          <cell r="A783" t="str">
            <v>Cây cau trắng có đường kính gốc Φ ≥  0,35m</v>
          </cell>
        </row>
        <row r="784">
          <cell r="A784" t="str">
            <v xml:space="preserve">Cây cau sâm banh có đường kính gốc 0,03m  ≤ Φ &lt; 0,05m </v>
          </cell>
        </row>
        <row r="785">
          <cell r="A785" t="str">
            <v xml:space="preserve">Cây cau sâm banh có đường kính gốc 0,05m  ≤ Φ &lt; 0,10m </v>
          </cell>
        </row>
        <row r="786">
          <cell r="A786" t="str">
            <v>Cây cau sâm banh có đường kính gốc 0,10m  ≤ Φ &lt; 0,15m</v>
          </cell>
        </row>
        <row r="787">
          <cell r="A787" t="str">
            <v>Cây cau sâm banh có đường kính gốc 0,15m ≤ Φ &lt; 0,20m</v>
          </cell>
        </row>
        <row r="788">
          <cell r="A788" t="str">
            <v>Cây cau sâm banh có đường kính gốc 0,20m  ≤ Φ &lt; 0,25m</v>
          </cell>
        </row>
        <row r="789">
          <cell r="A789" t="str">
            <v>Cây cau sâm banh có đường kính gốc 0,25m ≤ Φ &lt; 0,30m</v>
          </cell>
        </row>
        <row r="790">
          <cell r="A790" t="str">
            <v>Cây cau sâm banh có đường kính gốc 0,30m  ≤ Φ &lt; 0,35m</v>
          </cell>
        </row>
        <row r="791">
          <cell r="A791" t="str">
            <v>Cây cau sâm banh có đường kính gốc Φ ≥  0,35m</v>
          </cell>
        </row>
        <row r="792">
          <cell r="A792" t="str">
            <v xml:space="preserve">Cây cau lợn cọ có đường kính gốc 0,03m  ≤ Φ &lt; 0,05m </v>
          </cell>
        </row>
        <row r="793">
          <cell r="A793" t="str">
            <v xml:space="preserve">Cây cau lợn cọ có đường kính gốc 0,05m  ≤ Φ &lt; 0,10m </v>
          </cell>
        </row>
        <row r="794">
          <cell r="A794" t="str">
            <v>Cây cau lợn cọ có đường kính gốc 0,10m  ≤ Φ &lt; 0,15m</v>
          </cell>
        </row>
        <row r="795">
          <cell r="A795" t="str">
            <v>Cây cau lợn cọ có đường kính gốc 0,15m ≤ Φ &lt; 0,20m</v>
          </cell>
        </row>
        <row r="796">
          <cell r="A796" t="str">
            <v>Cây cau lợn cọ có đường kính gốc 0,20m  ≤ Φ &lt; 0,25m</v>
          </cell>
        </row>
        <row r="797">
          <cell r="A797" t="str">
            <v>Cây cau lợn cọ có đường kính gốc 0,25m ≤ Φ &lt; 0,30m</v>
          </cell>
        </row>
        <row r="798">
          <cell r="A798" t="str">
            <v>Cây cau lợn cọ có đường kính gốc 0,30m  ≤ Φ &lt; 0,35m</v>
          </cell>
        </row>
        <row r="799">
          <cell r="A799" t="str">
            <v>Cây cau lợn cọ có đường kính gốc Φ ≥  0,35m</v>
          </cell>
        </row>
        <row r="800">
          <cell r="A800" t="str">
            <v xml:space="preserve">Cây tùng la hán có đường kính gốc 0,03m  ≤ Φ &lt; 0,05m </v>
          </cell>
        </row>
        <row r="801">
          <cell r="A801" t="str">
            <v xml:space="preserve">Cây tùng la hán có đường kính gốc 0,05m  ≤ Φ &lt; 0,10m </v>
          </cell>
        </row>
        <row r="802">
          <cell r="A802" t="str">
            <v>Cây tùng la hán có đường kính gốc 0,10m  ≤ Φ &lt; 0,15m</v>
          </cell>
        </row>
        <row r="803">
          <cell r="A803" t="str">
            <v>Cây tùng la hán có đường kính gốc 0,15m ≤ Φ &lt; 0,20m</v>
          </cell>
        </row>
        <row r="804">
          <cell r="A804" t="str">
            <v>Cây tùng la hán có đường kính gốc 0,20m  ≤ Φ &lt; 0,25m</v>
          </cell>
        </row>
        <row r="805">
          <cell r="A805" t="str">
            <v>Cây tùng la hán có đường kính gốc 0,25m ≤ Φ &lt; 0,30m</v>
          </cell>
        </row>
        <row r="806">
          <cell r="A806" t="str">
            <v>Cây tùng la hán có đường kính gốc 0,30m  ≤ Φ &lt; 0,35m</v>
          </cell>
        </row>
        <row r="807">
          <cell r="A807" t="str">
            <v>Cây tùng la hán có đường kính gốc Φ ≥  0,35m</v>
          </cell>
        </row>
        <row r="808">
          <cell r="A808" t="str">
            <v>Cau bụi, cau kiểng vàng (trồng khóm dưới đất, khóm cách khóm &gt; 3m, chiều cao khóm H ³  50cm, tính theo đường kính khóm F)</v>
          </cell>
        </row>
        <row r="809">
          <cell r="A809" t="str">
            <v>Cau bụi, cau kiểng vàng có đường kính khóm Φ ≤ 1,0m</v>
          </cell>
        </row>
        <row r="810">
          <cell r="A810" t="str">
            <v xml:space="preserve">Cau bụi, cau kiểng vàng có đường kính khóm 1,0m ≤ Φ &lt; 1,5m </v>
          </cell>
        </row>
        <row r="811">
          <cell r="A811" t="str">
            <v xml:space="preserve">Cau bụi, cau kiểng vàng có đường kính khóm 1,5m ≤ Φ &lt; 2,0m </v>
          </cell>
        </row>
        <row r="812">
          <cell r="A812" t="str">
            <v>Cau bụi, cau kiểng vàng có đường kính khóm 2,0m ≤ Φ &lt; 2,5m</v>
          </cell>
        </row>
        <row r="813">
          <cell r="A813" t="str">
            <v>Cau bụi, cau kiểng vàng có đường kính khóm Φ ≥  2,5m</v>
          </cell>
        </row>
        <row r="814">
          <cell r="A814" t="str">
            <v>Hoa ngọc lan, ngâu, hoa sứ, mai tứ quý (đã chiết ghép, trồng dưới đất, tính theo đường kính tán F)</v>
          </cell>
        </row>
        <row r="815">
          <cell r="A815" t="str">
            <v>Cây hoa ngọc lan giống đủ tiêu chuẩn mới trồng, chưa ra hoa</v>
          </cell>
        </row>
        <row r="816">
          <cell r="A816" t="str">
            <v xml:space="preserve">Cây hoa ngọc lan có đường kính tán Φ  &lt; 1,0m (đã có hoa) </v>
          </cell>
        </row>
        <row r="817">
          <cell r="A817" t="str">
            <v xml:space="preserve">Cây hoa ngọc lan có đường kính tán 1,0m  ≤ Φ &lt;2,0m (đã có hoa) </v>
          </cell>
        </row>
        <row r="818">
          <cell r="A818" t="str">
            <v xml:space="preserve">Cây hoa ngọc lan có đường kính tán 2,0m  ≤ Φ &lt; 3,0m (đã có hoa) </v>
          </cell>
        </row>
        <row r="819">
          <cell r="A819" t="str">
            <v xml:space="preserve">Cây hoa ngọc lan có đường kính tán 3,0m  ≤ Φ &lt;4,0m (đã có hoa) </v>
          </cell>
        </row>
        <row r="820">
          <cell r="A820" t="str">
            <v xml:space="preserve">Cây hoa ngọc lan có đường kính tán Φ ≥  4,0m </v>
          </cell>
        </row>
        <row r="821">
          <cell r="A821" t="str">
            <v>Cây ngâu giống đủ tiêu chuẩn mới trồng, chưa ra hoa</v>
          </cell>
        </row>
        <row r="822">
          <cell r="A822" t="str">
            <v xml:space="preserve">Cây ngâu có đường kính tán Φ  &lt; 1,0m (đã có hoa) </v>
          </cell>
        </row>
        <row r="823">
          <cell r="A823" t="str">
            <v xml:space="preserve">Cây ngâu có đường kính tán 1,0m  ≤ Φ &lt;2,0m (đã có hoa) </v>
          </cell>
        </row>
        <row r="824">
          <cell r="A824" t="str">
            <v xml:space="preserve">Cây ngâu có đường kính tán 2,0m  ≤ Φ &lt; 3,0m (đã có hoa) </v>
          </cell>
        </row>
        <row r="825">
          <cell r="A825" t="str">
            <v xml:space="preserve">Cây ngâu có đường kính tán 3,0m  ≤ Φ &lt;4,0m (đã có hoa) </v>
          </cell>
        </row>
        <row r="826">
          <cell r="A826" t="str">
            <v xml:space="preserve">Cây ngâu có đường kính tán Φ ≥  4,0m </v>
          </cell>
        </row>
        <row r="827">
          <cell r="A827" t="str">
            <v>Cây hoa sứ giống đủ tiêu chuẩn mới trồng, chưa ra hoa</v>
          </cell>
        </row>
        <row r="828">
          <cell r="A828" t="str">
            <v xml:space="preserve">Cây hoa sứ có đường kính tán Φ  &lt; 1,0m (đã có hoa) </v>
          </cell>
        </row>
        <row r="829">
          <cell r="A829" t="str">
            <v xml:space="preserve">Cây hoa sứ có đường kính tán 1,0m  ≤ Φ &lt;2,0m (đã có hoa) </v>
          </cell>
        </row>
        <row r="830">
          <cell r="A830" t="str">
            <v xml:space="preserve">Cây hoa sứ có đường kính tán 2,0m  ≤ Φ &lt; 3,0m (đã có hoa) </v>
          </cell>
        </row>
        <row r="831">
          <cell r="A831" t="str">
            <v xml:space="preserve">Cây hoa sứ có đường kính tán 3,0m  ≤ Φ &lt;4,0m (đã có hoa) </v>
          </cell>
        </row>
        <row r="832">
          <cell r="A832" t="str">
            <v xml:space="preserve">Cây hoa sứ có đường kính tán Φ ≥  4,0m </v>
          </cell>
        </row>
        <row r="833">
          <cell r="A833" t="str">
            <v>Cây mai tứ quý giống đủ tiêu chuẩn mới trồng, chưa ra hoa</v>
          </cell>
        </row>
        <row r="834">
          <cell r="A834" t="str">
            <v xml:space="preserve">Cây mai tứ quý có đường kính tán Φ  &lt; 1,0m (đã có hoa) </v>
          </cell>
        </row>
        <row r="835">
          <cell r="A835" t="str">
            <v xml:space="preserve">Cây mai tứ quý có đường kính tán 1,0m  ≤ Φ &lt;2,0m (đã có hoa) </v>
          </cell>
        </row>
        <row r="836">
          <cell r="A836" t="str">
            <v xml:space="preserve">Cây mai tứ quý có đường kính tán 2,0m  ≤ Φ &lt; 3,0m (đã có hoa) </v>
          </cell>
        </row>
        <row r="837">
          <cell r="A837" t="str">
            <v xml:space="preserve">Cây mai tứ quý có đường kính tán 3,0m  ≤ Φ &lt;4,0m (đã có hoa) </v>
          </cell>
        </row>
        <row r="838">
          <cell r="A838" t="str">
            <v xml:space="preserve">Cây mai tứ quý có đường kính tán Φ ≥  4,0m </v>
          </cell>
        </row>
        <row r="839">
          <cell r="A839" t="str">
            <v xml:space="preserve">Sưa (ươm, trồng dưới đất, tính theo đường kính gốc F) </v>
          </cell>
        </row>
        <row r="840">
          <cell r="A840" t="str">
            <v>Cây sưa giống đủ tiêu chuẩn, mới trồng, chiều cao cây H ≥ 30cm</v>
          </cell>
        </row>
        <row r="841">
          <cell r="A841" t="str">
            <v>Cây sưa có đường kính gốc 0,01m  ≤ Φ &lt; 0,05m, chiều cao cây H ≥  50cm</v>
          </cell>
        </row>
        <row r="842">
          <cell r="A842" t="str">
            <v>Cây sưa có đường kính gốc 0,05m  ≤ Φ &lt; 0,10m, chiều cao cây H ≥  50cm</v>
          </cell>
        </row>
        <row r="843">
          <cell r="A843" t="str">
            <v>Cây sưa có đường kính gốc 0,10m  ≤ Φ &lt; 0,15m, chiều cao cây H ≥  50cm</v>
          </cell>
        </row>
        <row r="844">
          <cell r="A844" t="str">
            <v>Cây sưa có đường kính gốc 0,15m ≤ Φ &lt; 0,20m, chiều cao cây H ≥  50cm</v>
          </cell>
        </row>
        <row r="845">
          <cell r="A845" t="str">
            <v>Cây sưa có đường kính gốc 0,20m  ≤ Φ &lt; 0,25m, chiều cao cây H ≥  50cm</v>
          </cell>
        </row>
        <row r="846">
          <cell r="A846" t="str">
            <v>Cây sưa có đường kính gốc 0,25m ≤ Φ &lt; 0,30m, chiều cao cây H ≥ 50cm</v>
          </cell>
        </row>
        <row r="847">
          <cell r="A847" t="str">
            <v>Cây sưa có đường kính gốc 0,30m  ≤ Φ &lt; 0,35m, chiều cao cây H ≥  50cm</v>
          </cell>
        </row>
        <row r="848">
          <cell r="A848" t="str">
            <v>Cây sưa có đường kính gốc Φ ≥ 0,35m</v>
          </cell>
        </row>
        <row r="849">
          <cell r="A849" t="str">
            <v>Cọ trồng làm cảnh (tính theo đường kính tán F)</v>
          </cell>
        </row>
        <row r="850">
          <cell r="A850" t="str">
            <v>Cây cọ trồng làm cảnh có đường kính tán 0,5m ≤ Φ &lt;0,7m</v>
          </cell>
        </row>
        <row r="851">
          <cell r="A851" t="str">
            <v>Cây cọ trồng làm cảnh có đường kính tán 0,7m ≤ Φ &lt; 1,0m</v>
          </cell>
        </row>
        <row r="852">
          <cell r="A852" t="str">
            <v>Cây cọ trồng làm cảnh có đường kính tán 1,0m ≤ Φ &lt; 1,5m</v>
          </cell>
        </row>
        <row r="853">
          <cell r="A853" t="str">
            <v xml:space="preserve">Cây cọ trồng làm cảnh có đường kính tán 1,5m ≤ Φ &lt; 2,0m </v>
          </cell>
        </row>
        <row r="854">
          <cell r="A854" t="str">
            <v xml:space="preserve">Cây cọ trồng làm cảnh có đường kính tán 2,0m ≤ Φ &lt; 3,0m      </v>
          </cell>
        </row>
        <row r="855">
          <cell r="A855" t="str">
            <v>Cây cọ trồng làm cảnh có đường kính tán 3,0m ≤ Φ &lt; 4,0m</v>
          </cell>
        </row>
        <row r="856">
          <cell r="A856" t="str">
            <v>Cây cọ trồng làm cảnh có đường kính tán Φ ≥ 4,0m</v>
          </cell>
        </row>
        <row r="857">
          <cell r="A857" t="str">
            <v xml:space="preserve">Mai vàng (trồng dưới đất, tính theo đường kính gốc F) </v>
          </cell>
        </row>
        <row r="858">
          <cell r="A858" t="str">
            <v>Cây mai vàng có đường kính gốc 0,5cm ≤ Φ &lt; 1cm</v>
          </cell>
        </row>
        <row r="859">
          <cell r="A859" t="str">
            <v>Cây mai vàng có đường kính gốc 1cm ≤ Φ &lt; 2cm</v>
          </cell>
        </row>
        <row r="860">
          <cell r="A860" t="str">
            <v>Cây mai vàng có đường kính gốc 2cm ≤ Φ &lt; 4cm</v>
          </cell>
        </row>
        <row r="861">
          <cell r="A861" t="str">
            <v>Cây mai vàng có đường kính gốc 4cm ≤ Φ &lt; 6cm</v>
          </cell>
        </row>
        <row r="862">
          <cell r="A862" t="str">
            <v xml:space="preserve">Cây mai vàng có đường kính gốc 6cm ≤ Φ &lt; 10cm </v>
          </cell>
        </row>
        <row r="863">
          <cell r="A863" t="str">
            <v xml:space="preserve">Cây mai vàng có đường kính gốc Φ ≥ 10cm </v>
          </cell>
        </row>
        <row r="864">
          <cell r="A864" t="str">
            <v>Cây Móc Mật (Mác Mật)</v>
          </cell>
        </row>
        <row r="865">
          <cell r="A865" t="str">
            <v>Cây móc mật (mác mật) mới trồng, đường kính gốc &lt; 2cm</v>
          </cell>
        </row>
        <row r="866">
          <cell r="A866" t="str">
            <v>Cây móc mật (mác mật) đường kính gốc từ 2 đến 5cm.</v>
          </cell>
        </row>
        <row r="867">
          <cell r="A867" t="str">
            <v>Cây móc mật (mác mật) đường kính gốc &gt; 5 đến 10 cm</v>
          </cell>
        </row>
        <row r="868">
          <cell r="A868" t="str">
            <v>Cây móc mật (mác mật) đường kính gốc &gt; 10 đến 15 cm</v>
          </cell>
        </row>
        <row r="869">
          <cell r="A869" t="str">
            <v>Cây móc mật (mác mật) đường kính gốc &gt; 15 đến 20 cm</v>
          </cell>
        </row>
        <row r="870">
          <cell r="A870" t="str">
            <v>Cây móc mật (mác mật) đường kính gốc &gt; 20cm</v>
          </cell>
        </row>
        <row r="871">
          <cell r="A871" t="str">
            <v xml:space="preserve">Đào tiên (tính theo đường kính gốc F) </v>
          </cell>
        </row>
        <row r="872">
          <cell r="A872" t="str">
            <v>Đào tiên giống đủ tiêu chuẩn mới trồng</v>
          </cell>
        </row>
        <row r="873">
          <cell r="A873" t="str">
            <v>Đào tiên loại cây ghép có chiều cao cây 40cm ≤ Φ &lt; 1m</v>
          </cell>
        </row>
        <row r="874">
          <cell r="A874" t="str">
            <v>Đào tiên loại cây ghép có chiều cao cây H ≥ 1m</v>
          </cell>
        </row>
        <row r="875">
          <cell r="A875" t="str">
            <v>Đào tiên loại cây chiết cành có chiều cao cây 40cm ≤ Φ &lt; 1m</v>
          </cell>
        </row>
        <row r="876">
          <cell r="A876" t="str">
            <v>Đào tiên loại cây chiết cành có chiều cao cây H ≥ 1m</v>
          </cell>
        </row>
        <row r="877">
          <cell r="A877" t="str">
            <v>Cây đào tiên đường kính gốc 1cm ≤ Φ &lt; 2cm</v>
          </cell>
        </row>
        <row r="878">
          <cell r="A878" t="str">
            <v>Cây đào tiên đường kính gốc 2cm ≤ Φ &lt; 5cm</v>
          </cell>
        </row>
        <row r="879">
          <cell r="A879" t="str">
            <v xml:space="preserve">Cây đào tiên đường kính gốc 5cm ≤ Φ &lt; 7cm </v>
          </cell>
        </row>
        <row r="880">
          <cell r="A880" t="str">
            <v xml:space="preserve">Cây đào tiên đường kính gốc 7cm ≤ Φ &lt; 9cm </v>
          </cell>
        </row>
        <row r="881">
          <cell r="A881" t="str">
            <v xml:space="preserve">Cây đào tiên đường kính gốc 9cm ≤ Φ &lt; 12cm </v>
          </cell>
        </row>
        <row r="882">
          <cell r="A882" t="str">
            <v xml:space="preserve">Cây đào tiên đường kính gốc 12cm ≤ Φ &lt; 15cm </v>
          </cell>
        </row>
        <row r="883">
          <cell r="A883" t="str">
            <v xml:space="preserve">Cây đào tiên đường kính gốc 15cm ≤ Φ &lt; 20cm </v>
          </cell>
        </row>
        <row r="884">
          <cell r="A884" t="str">
            <v>Cây đào tiên đường kính gốc 20cm ≤ Φ &lt; 25cm</v>
          </cell>
        </row>
        <row r="885">
          <cell r="A885" t="str">
            <v xml:space="preserve">Cây đào tiên đường kính gốc Φ ≥ 25cm </v>
          </cell>
        </row>
        <row r="886">
          <cell r="A886" t="str">
            <v xml:space="preserve">Gáo (tính theo đường kính gốc F) </v>
          </cell>
        </row>
        <row r="887">
          <cell r="A887" t="str">
            <v>Cây gáo giống đủ tiêu chuẩn mới trồng, chiều cao cây  H ≥ 40cm</v>
          </cell>
        </row>
        <row r="888">
          <cell r="A888" t="str">
            <v>Cây gáo có đường kính gốc 1cm ≤ Φ &lt; 3cm</v>
          </cell>
        </row>
        <row r="889">
          <cell r="A889" t="str">
            <v>Cây gáo có đường kính gốc 3cm ≤ Φ &lt; 5cm</v>
          </cell>
        </row>
        <row r="890">
          <cell r="A890" t="str">
            <v>Cây gáo có đường kính gốc 5cm ≤ Φ &lt; 10cm</v>
          </cell>
        </row>
        <row r="891">
          <cell r="A891" t="str">
            <v>Cây gáo có đường kính gốc 10cm ≤ Φ &lt; 15cm</v>
          </cell>
        </row>
        <row r="892">
          <cell r="A892" t="str">
            <v>Cây gáo có đường kính gốc 15cm ≤ Φ &lt; 20cm</v>
          </cell>
        </row>
        <row r="893">
          <cell r="A893" t="str">
            <v xml:space="preserve">Cây gáo có đường kính gốc 20cm ≤ Φ &lt; 30cm </v>
          </cell>
        </row>
        <row r="894">
          <cell r="A894" t="str">
            <v xml:space="preserve">Cây gáo có đường kính gốc 30cm ≤ Φ &lt; 40cm </v>
          </cell>
        </row>
        <row r="895">
          <cell r="A895" t="str">
            <v>Cây gáo có đường kính gốc Φ ≥ 40cm</v>
          </cell>
        </row>
        <row r="896">
          <cell r="A896" t="str">
            <v>Đinh Lăng</v>
          </cell>
        </row>
        <row r="897">
          <cell r="A897" t="str">
            <v>Cây đinh lăng có chiều cao cây H &lt; 50cm</v>
          </cell>
        </row>
        <row r="898">
          <cell r="A898" t="str">
            <v>Cây đinh lăng có chiều cao cây 50cm ≤ H &lt; 100cm</v>
          </cell>
        </row>
        <row r="899">
          <cell r="A899" t="str">
            <v>Cây đinh lăng có chiều cao cây H ≥ 100cm</v>
          </cell>
        </row>
        <row r="900">
          <cell r="A900" t="str">
            <v>Thiên lý (tính theo m2 giàn, không bao gồm chi phí cọc bê tông cốt thép dựng giàn)</v>
          </cell>
        </row>
        <row r="901">
          <cell r="A901" t="str">
            <v>Đối với cây ươm, gieo hoặc cây trồng hàng năm xen dưới tán lá cây lâu năm (tính bình quân trên diện tích cây trồng chiếm chỗ)</v>
          </cell>
        </row>
        <row r="902">
          <cell r="A902" t="str">
            <v>Đối với lâm sản phụ trồng trên diện tích nông nghiệp do Nhà nước giao cho hộ đình, cá nhân để trồng, khoanh, nuôi, bảo vệ, tái sinh rừng, mà khi giao là đất trống, đồi núi trọc... hộ gia đình, cá nhân tự bỏ vốn đầu tư trồng rừng (tính bình quân trên diện tích cây trồng chiếm chỗ)</v>
          </cell>
        </row>
        <row r="903">
          <cell r="A903" t="str">
            <v>Muồng hoàng yến - Osaka vàng (tính theo đường kính gốc)</v>
          </cell>
        </row>
        <row r="904">
          <cell r="A904" t="str">
            <v>Cây muồng hoàng yến - Osaka vàng giống đủ tiêu chuẩn mới trồng, chiều cao cây  H ≤ 40cm</v>
          </cell>
        </row>
        <row r="905">
          <cell r="A905" t="str">
            <v>Cây muồng hoàng yến - Osaka vàng có đường kính gốc 1cm ≤ Φ &lt; 3cm</v>
          </cell>
        </row>
        <row r="906">
          <cell r="A906" t="str">
            <v>Cây muồng hoàng yến - Osaka vàng có đường kính gốc 3cm ≤ Φ &lt; 5cm</v>
          </cell>
        </row>
        <row r="907">
          <cell r="A907" t="str">
            <v>Cây muồng hoàng yến - Osaka vàng có đường kính gốc 5cm ≤ Φ &lt;10cm</v>
          </cell>
        </row>
        <row r="908">
          <cell r="A908" t="str">
            <v>Cây muồng hoàng yến - Osaka vàng có đường kính gốc 10cm ≤ Φ &lt; 15cm</v>
          </cell>
        </row>
        <row r="909">
          <cell r="A909" t="str">
            <v>Cây muồng hoàng yến - Osaka vàng có đường kính gốc 15cm ≤ Φ &lt; 20cm</v>
          </cell>
        </row>
        <row r="910">
          <cell r="A910" t="str">
            <v xml:space="preserve">Cây muồng hoàng yến - Osaka vàng có đường kính gốc 20cm ≤ Φ &lt; 30cm </v>
          </cell>
        </row>
        <row r="911">
          <cell r="A911" t="str">
            <v xml:space="preserve">Cây muồng hoàng yến - Osaka vàng có đường kính gốc 30cm ≤ Φ &lt; 40cm </v>
          </cell>
        </row>
        <row r="912">
          <cell r="A912" t="str">
            <v xml:space="preserve">Cây muồng hoàng yến - Osaka vàng có đường kính gốc Φ  ≥ 40cm </v>
          </cell>
        </row>
        <row r="913">
          <cell r="A913" t="str">
            <v>Bàng Đài Loan (tính theo đường kính gốc )</v>
          </cell>
        </row>
        <row r="914">
          <cell r="A914" t="str">
            <v>Cây bàng Đài Loan giống đủ tiêu chuẩn mới trồng, chiều cao cây  H ≤40cm</v>
          </cell>
        </row>
        <row r="915">
          <cell r="A915" t="str">
            <v>Cây bàng Đài Loan có đường kính gốc 1cm ≤ Φ &lt; 3cm</v>
          </cell>
        </row>
        <row r="916">
          <cell r="A916" t="str">
            <v xml:space="preserve">Cây bàng Đài Loan có đường kính gốc 3cm ≤ Φ &lt; 5cm </v>
          </cell>
        </row>
        <row r="917">
          <cell r="A917" t="str">
            <v>Cây bàng Đài Loan có đường kính gốc 5cm ≤ Φ &lt; 10cm</v>
          </cell>
        </row>
        <row r="918">
          <cell r="A918" t="str">
            <v>Cây bàng Đài Loan có đường kính gốc 10cm ≤ Φ &lt; 15cm</v>
          </cell>
        </row>
        <row r="919">
          <cell r="A919" t="str">
            <v>Cây bàng Đài Loan có đường kính gốc 15cm ≤ Φ &lt; 20cm</v>
          </cell>
        </row>
        <row r="920">
          <cell r="A920" t="str">
            <v xml:space="preserve">Cây bàng Đài Loan có đường kính gốc 20cm ≤ Φ &lt; 25cm </v>
          </cell>
        </row>
        <row r="921">
          <cell r="A921" t="str">
            <v xml:space="preserve">Cây bàng Đài Loan có đường kính gốc 25cm ≤ Φ &lt; 30cm </v>
          </cell>
        </row>
        <row r="922">
          <cell r="A922" t="str">
            <v xml:space="preserve">Cây bàng Đài Loan có đường kính gốc Φ ≥ 30cm </v>
          </cell>
        </row>
        <row r="923">
          <cell r="A923" t="str">
            <v xml:space="preserve">Hoa mẫu đơn ta  </v>
          </cell>
        </row>
        <row r="924">
          <cell r="A924" t="str">
            <v>Cây hoa mẫu đơn ta giống đủ tiêu chuẩn mới trồng, chiều cao cây  H &lt; 40cm</v>
          </cell>
        </row>
        <row r="925">
          <cell r="A925" t="str">
            <v xml:space="preserve">Cây hoa mẫu đơn ta giống đủ tiêu chuẩn mới trồng, chiều cao cây  40cm ≤ H &lt; 100cm </v>
          </cell>
        </row>
        <row r="926">
          <cell r="A926" t="str">
            <v xml:space="preserve">Cây hoa mẫu đơn ta giống đủ tiêu chuẩn mới trồng, chiều cao cây  H ≥ 100cm       </v>
          </cell>
        </row>
        <row r="927">
          <cell r="A927" t="str">
            <v>Cây hoa mẫu đơn ta có đường kính tán &lt;1m, gốc có 5-7 nhánh</v>
          </cell>
        </row>
        <row r="928">
          <cell r="A928" t="str">
            <v>Cây hoa mẫu đơn ta có đường kính tán từ 1,0m đến 1,2m gốc có 5-7 nhánh</v>
          </cell>
        </row>
        <row r="929">
          <cell r="A929" t="str">
            <v>Cây hoa mẫu đơn ta có đường kính tán  1,0m đến 1,2m, gốc có 8-10 nhánh</v>
          </cell>
        </row>
        <row r="930">
          <cell r="A930" t="str">
            <v>Cây hoa mẫu đơn ta có đường kính tán  1,3m đến 1,5 m, gốc có 8-10 nhánh</v>
          </cell>
        </row>
        <row r="931">
          <cell r="A931" t="str">
            <v>Cây hoa mẫu đơn ta có đường kính tán 1,6m đến 2m, gốc có trên 10 nhánh</v>
          </cell>
        </row>
        <row r="932">
          <cell r="A932" t="str">
            <v>Cây hoa mẫu đơn ta có đường kính tán 2,0m đến 2,2 m, gốc có trên 10 nhánh</v>
          </cell>
        </row>
        <row r="933">
          <cell r="A933" t="str">
            <v>Cây hoa mẫu đơn ta có đường kính tán &gt;2,2m đến 2,5m, gốc có trên 10 nhánh</v>
          </cell>
        </row>
        <row r="934">
          <cell r="A934" t="str">
            <v>Cây hoa mẫu đơn ta có đường kính tán &gt;2,5 m, gốc có trên 10 nhánh</v>
          </cell>
        </row>
        <row r="935">
          <cell r="A935" t="str">
            <v>Cây hoa hòe (tính theo đường kính tán)</v>
          </cell>
        </row>
        <row r="936">
          <cell r="A936" t="str">
            <v>Cây hoa hòe giống đủ tiêu chuẩn  mới trồng</v>
          </cell>
        </row>
        <row r="937">
          <cell r="A937" t="str">
            <v>Cây hoa hòe có đường kính tán 0,1m ≤ Φ &lt; 0,5m</v>
          </cell>
        </row>
        <row r="938">
          <cell r="A938" t="str">
            <v>Cây hoa hòe có đường kính tán 0,5m ≤ Φ &lt; 1m</v>
          </cell>
        </row>
        <row r="939">
          <cell r="A939" t="str">
            <v>Cây hoa hòe có đường kính tán 1m ≤ Φ &lt; 1,5m</v>
          </cell>
        </row>
        <row r="940">
          <cell r="A940" t="str">
            <v>Cây hoa hòe có đường kính tán 1,5m ≤ Φ &lt;2m</v>
          </cell>
        </row>
        <row r="941">
          <cell r="A941" t="str">
            <v>Cây hoa hòe có đường kính tán 2m ≤ Φ &lt; 3m</v>
          </cell>
        </row>
        <row r="942">
          <cell r="A942" t="str">
            <v>Cây hoa hòe có đường kính tán 3m ≤ Φ &lt; 4m</v>
          </cell>
        </row>
        <row r="943">
          <cell r="A943" t="str">
            <v>Cây hoa hòe có đường kính tán 4m ≤ Φ &lt; 5m</v>
          </cell>
        </row>
        <row r="944">
          <cell r="A944" t="str">
            <v>Cây hoa hòe có đường kính tán 5m ≤ Φ &lt; 6m</v>
          </cell>
        </row>
        <row r="945">
          <cell r="A945" t="str">
            <v>Cây hoa hòe có đường kính tán 6m ≤ Φ &lt; 7m</v>
          </cell>
        </row>
        <row r="946">
          <cell r="A946" t="str">
            <v>Cây hoa hòe có đường kính tán 7m ≤ Φ &lt; 8m</v>
          </cell>
        </row>
        <row r="947">
          <cell r="A947" t="str">
            <v>Cây hoa hòe có đường kính tán 8m ≤ Φ &lt; 9m</v>
          </cell>
        </row>
        <row r="948">
          <cell r="A948" t="str">
            <v>Cây hoa hòe có đường kính tán 9m ≤ Φ &lt; 12m</v>
          </cell>
        </row>
        <row r="949">
          <cell r="A949" t="str">
            <v>Cây hoa hòe có đường kính tán Φ ≥ 12m</v>
          </cell>
        </row>
        <row r="950">
          <cell r="A950" t="str">
            <v>Cây túc (tính theo đường kính gốc)</v>
          </cell>
        </row>
        <row r="951">
          <cell r="A951" t="str">
            <v>Cây túc giống đủ tiêu chuẩn mới trồng, chiều cao cây H &lt; 40cm</v>
          </cell>
        </row>
        <row r="952">
          <cell r="A952" t="str">
            <v>Cây túc đường kính gốc 1cm ≤ Φ &lt; 5cm</v>
          </cell>
        </row>
        <row r="953">
          <cell r="A953" t="str">
            <v>Cây túc đường kính gốc 5cm ≤ Φ &lt; 10cm</v>
          </cell>
        </row>
        <row r="954">
          <cell r="A954" t="str">
            <v xml:space="preserve">Cây túc đường kính gốc 10cm ≤ Φ &lt; 15cm  </v>
          </cell>
        </row>
        <row r="955">
          <cell r="A955" t="str">
            <v>Cây túc đường kính gốc 15cm ≤ Φ &lt; 20cm</v>
          </cell>
        </row>
        <row r="956">
          <cell r="A956" t="str">
            <v>Cây túc đường kính gốc 20cm ≤ Φ &lt; 25cm</v>
          </cell>
        </row>
        <row r="957">
          <cell r="A957" t="str">
            <v>Cây túc đường kính gốc 25cm ≤ Φ &lt; 30cm</v>
          </cell>
        </row>
        <row r="958">
          <cell r="A958" t="str">
            <v>Cây túc đường kính gốc 30cm ≤ Φ &lt; 35cm</v>
          </cell>
        </row>
        <row r="959">
          <cell r="A959" t="str">
            <v>Cây túc đường kính gốc Φ ≥ 35cm</v>
          </cell>
        </row>
        <row r="960">
          <cell r="A960" t="str">
            <v>Tùng ấn độ  (tính theo đường kính gốc)</v>
          </cell>
        </row>
        <row r="961">
          <cell r="A961" t="str">
            <v>Cây tùng ấn độ giống đủ tiêu chuẩn mới trồng, chiều cao cây H &lt; 40cm</v>
          </cell>
        </row>
        <row r="962">
          <cell r="A962" t="str">
            <v>Cây tùng ấn độ có đường kính gốc 1cm ≤ Φ &lt; 3cm</v>
          </cell>
        </row>
        <row r="963">
          <cell r="A963" t="str">
            <v>Cây tùng ấn độ có đường kính gốc 3cm ≤ Φ &lt; 5cm</v>
          </cell>
        </row>
        <row r="964">
          <cell r="A964" t="str">
            <v>Cây tùng ấn độ có đường kính gốc 5cm ≤ Φ &lt; 10cm</v>
          </cell>
        </row>
        <row r="965">
          <cell r="A965" t="str">
            <v>Cây tùng ấn độ có đường kính gốc 10cm ≤ Φ &lt; 15cm</v>
          </cell>
        </row>
        <row r="966">
          <cell r="A966" t="str">
            <v>Cây tùng ấn độ có đường kính gốc Φ ≥ 15cm</v>
          </cell>
        </row>
        <row r="967">
          <cell r="A967" t="str">
            <v>Cây Xạ đen (tính theo đường kính tán)</v>
          </cell>
        </row>
        <row r="968">
          <cell r="A968" t="str">
            <v>Cây xạ đen giống đủ tiêu chuẩn  mới trồng</v>
          </cell>
        </row>
        <row r="969">
          <cell r="A969" t="str">
            <v>Cây xạ đen có đường kính tán 0,1 ≤ Φ &lt; 0,5m</v>
          </cell>
        </row>
        <row r="970">
          <cell r="A970" t="str">
            <v>Cây xạ đen có đường kính tán 0,5m ≤ Φ &lt; 1m</v>
          </cell>
        </row>
        <row r="971">
          <cell r="A971" t="str">
            <v>Cây xạ đen có đường kính tán 1m ≤ Φ &lt; 1,5m</v>
          </cell>
        </row>
        <row r="972">
          <cell r="A972" t="str">
            <v>Cây xạ đen có đường kính tán 1,5m ≤ Φ &lt; 2m</v>
          </cell>
        </row>
        <row r="973">
          <cell r="A973" t="str">
            <v>Cây xạ đen có đường kính tán 2m ≤ Φ &lt; 3m</v>
          </cell>
        </row>
        <row r="974">
          <cell r="A974" t="str">
            <v>Cây xạ đen có đường kính tán 3m ≤ Φ &lt; 4m</v>
          </cell>
        </row>
        <row r="975">
          <cell r="A975" t="str">
            <v>Cây xạ đen có đường kính tán Φ ≥ 4m</v>
          </cell>
        </row>
        <row r="976">
          <cell r="A976" t="str">
            <v>Cây Hải đường (tính theo đường kính gốc)</v>
          </cell>
        </row>
        <row r="977">
          <cell r="A977" t="str">
            <v>Cây hải đường giống đủ tiêu chuẩn mới trồng</v>
          </cell>
        </row>
        <row r="978">
          <cell r="A978" t="str">
            <v>Cây hải đường có đường kính gốc 1cm ≤ Φ &lt; 3cm</v>
          </cell>
        </row>
        <row r="979">
          <cell r="A979" t="str">
            <v>Cây hải đường có đường kính gốc 3cm ≤ Φ &lt; 5cm</v>
          </cell>
        </row>
        <row r="980">
          <cell r="A980" t="str">
            <v>Cây hải đường có đường kính gốc 5cm ≤ Φ &lt; 7cm</v>
          </cell>
        </row>
        <row r="981">
          <cell r="A981" t="str">
            <v>Cây hải đường có đường kính gốc 7cm ≤ Φ &lt; 9cm</v>
          </cell>
        </row>
        <row r="982">
          <cell r="A982" t="str">
            <v>Cây hải đường có đường kính gốc Φ ≥ 9cm</v>
          </cell>
        </row>
        <row r="983">
          <cell r="A983" t="str">
            <v>Cây cóc (tính theo đường kính gốc)</v>
          </cell>
        </row>
        <row r="984">
          <cell r="A984" t="str">
            <v>Cây cóc có đường kính gốc 1cm ≤ Φ &lt; 2cm</v>
          </cell>
        </row>
        <row r="985">
          <cell r="A985" t="str">
            <v>Cây cóc có đường kính gốc 2cm ≤ Φ &lt; 5cm</v>
          </cell>
        </row>
        <row r="986">
          <cell r="A986" t="str">
            <v>Cây cóc có đường kính gốc 5cm ≤ Φ &lt; 7cm</v>
          </cell>
        </row>
        <row r="987">
          <cell r="A987" t="str">
            <v>Cây cóc có đường kính gốc Φ ≥ 7cm</v>
          </cell>
        </row>
        <row r="988">
          <cell r="A988" t="str">
            <v>Cây tùng cối (tính theo đường kính gốc)</v>
          </cell>
        </row>
        <row r="989">
          <cell r="A989" t="str">
            <v>Cây tùng cối có đường kính gốc 1cm ≤ Φ &lt; 2cm</v>
          </cell>
        </row>
        <row r="990">
          <cell r="A990" t="str">
            <v>Cây tùng cối có đường kính gốc 2cm ≤ Φ &lt; 5cm</v>
          </cell>
        </row>
        <row r="991">
          <cell r="A991" t="str">
            <v>Cây tùng cối có đường kính gốc 5cm ≤ Φ &lt; 7cm</v>
          </cell>
        </row>
        <row r="992">
          <cell r="A992" t="str">
            <v>Cây tùng cối có đường kính gốc Φ ≥ 7cm</v>
          </cell>
        </row>
        <row r="993">
          <cell r="A993" t="str">
            <v>Cây vạn tuế (tính theo đường kính gốc)</v>
          </cell>
        </row>
        <row r="994">
          <cell r="A994" t="str">
            <v>Cây vạn tuế có đường kính gốc  Φ &lt; 10cm</v>
          </cell>
        </row>
        <row r="995">
          <cell r="A995" t="str">
            <v>Cây vạn tuế có đường kính gốc 10cm ≤ Φ &lt; 20cm</v>
          </cell>
        </row>
        <row r="996">
          <cell r="A996" t="str">
            <v>Cây vạn tuế có đường kính gốc 20cm ≤ Φ &lt; 30cm</v>
          </cell>
        </row>
        <row r="997">
          <cell r="A997" t="str">
            <v>Cây vạn tuế có đường kính gốc Φ ≥ 30cm</v>
          </cell>
        </row>
        <row r="998">
          <cell r="A998" t="str">
            <v>Cây cảnh trồng trong chậu (tính chi phí di chuyển cả cây và chậu)</v>
          </cell>
        </row>
        <row r="999">
          <cell r="A999" t="str">
            <v>Di chuyển chậu có đường kính &lt; 0,5m</v>
          </cell>
        </row>
        <row r="1000">
          <cell r="A1000" t="str">
            <v xml:space="preserve">Di chuyển chậu có đường kính 0,5m ≤ Φ &lt; 0,7m </v>
          </cell>
        </row>
        <row r="1001">
          <cell r="A1001" t="str">
            <v xml:space="preserve">Di chuyển chậu có đường kính 0,7m ≤ Φ &lt; 1m </v>
          </cell>
        </row>
        <row r="1002">
          <cell r="A1002" t="str">
            <v xml:space="preserve">Di chuyển chậu có đường kính 1m ≤ Φ &lt; 1,5m </v>
          </cell>
        </row>
        <row r="1003">
          <cell r="A1003" t="str">
            <v xml:space="preserve">Di chuyển chậu có đường kính ≥ 1,5m </v>
          </cell>
        </row>
        <row r="1004">
          <cell r="A1004" t="str">
            <v>Quất cảnh (tính theo đường kính tán lá Φ)</v>
          </cell>
        </row>
        <row r="1005">
          <cell r="A1005" t="str">
            <v>Cây giống đủ tiêu chuẩn mới trồng</v>
          </cell>
        </row>
        <row r="1006">
          <cell r="A1006" t="str">
            <v>Cây có đường kính tán 0,7m ≤ Φ &lt; 1m</v>
          </cell>
        </row>
        <row r="1007">
          <cell r="A1007" t="str">
            <v>Cây có đường kính tán 1m ≤ Φ &lt; 1,5m</v>
          </cell>
        </row>
        <row r="1008">
          <cell r="A1008" t="str">
            <v>Cây có đường kính tán 1,5m ≤ Φ &lt; 2m</v>
          </cell>
        </row>
        <row r="1009">
          <cell r="A1009" t="str">
            <v>Cây có đường kính tán Φ ≥ 2m</v>
          </cell>
        </row>
        <row r="1010">
          <cell r="A1010" t="str">
            <v>Cây cảnh làm giống</v>
          </cell>
        </row>
        <row r="1011">
          <cell r="A1011" t="str">
            <v xml:space="preserve">Cây giống đào, hoa cảnh </v>
          </cell>
        </row>
        <row r="1012">
          <cell r="A1012" t="str">
            <v>Gieo, ươm hạt thành luống chưa ghép</v>
          </cell>
        </row>
        <row r="1013">
          <cell r="A1013" t="str">
            <v xml:space="preserve">Gieo, ươm hạt thành luống đã ghép </v>
          </cell>
        </row>
        <row r="1014">
          <cell r="A1014" t="str">
            <v>Cây giống đào hoa cảnh đã ghép đủ tiêu chuẩn</v>
          </cell>
        </row>
        <row r="1015">
          <cell r="A1015" t="str">
            <v xml:space="preserve">Cây giống trồng từ đào mạ, không ghép trồng thành luống </v>
          </cell>
        </row>
        <row r="1016">
          <cell r="A1016" t="str">
            <v>Cây giống lộc vừng, sanh, si</v>
          </cell>
        </row>
        <row r="1017">
          <cell r="A1017" t="str">
            <v>Cây gieo ươm từ hạt</v>
          </cell>
        </row>
        <row r="1018">
          <cell r="A1018" t="str">
            <v>Giống ươm gieo hạt chiều cao cây H &lt; 20cm</v>
          </cell>
        </row>
        <row r="1019">
          <cell r="A1019" t="str">
            <v xml:space="preserve">Giống ươm gieo hạt chiều cao cây H ≥ 20cm </v>
          </cell>
        </row>
        <row r="1020">
          <cell r="A1020" t="str">
            <v>Từ cây ươm gieo hạt tách ra đựng trong bầu nilong hoặc trồng thành luống</v>
          </cell>
        </row>
        <row r="1021">
          <cell r="A1021" t="str">
            <v xml:space="preserve">Chiều cao cây 20cm  ≤ H &lt; 50cm </v>
          </cell>
        </row>
        <row r="1022">
          <cell r="A1022" t="str">
            <v>Chiều cao cây 50cm  ≤ H &lt; 70cm</v>
          </cell>
        </row>
        <row r="1023">
          <cell r="A1023" t="str">
            <v xml:space="preserve">Chiều cao cây 70cm  ≤ H &lt;100cm </v>
          </cell>
        </row>
        <row r="1024">
          <cell r="A1024" t="str">
            <v>Cây giống cau cảnh</v>
          </cell>
        </row>
        <row r="1025">
          <cell r="A1025" t="str">
            <v>Cây gieo ươm từ hạt</v>
          </cell>
        </row>
        <row r="1026">
          <cell r="A1026" t="str">
            <v>Giống ươm gieo hạt thành luống, vạt chiều cao cây H &lt; 20cm</v>
          </cell>
        </row>
        <row r="1027">
          <cell r="A1027" t="str">
            <v xml:space="preserve">Giống ươm gieo hạt thành luống, vạt chiều cao cây H ≥ 20cm </v>
          </cell>
        </row>
        <row r="1028">
          <cell r="A1028" t="str">
            <v>Từ cây ươm gieo hạt tách ra đựng trong bầu nilong hoặc trồng thành luống</v>
          </cell>
        </row>
        <row r="1029">
          <cell r="A1029" t="str">
            <v>Chiều cao cây H &lt; 20cm</v>
          </cell>
        </row>
        <row r="1030">
          <cell r="A1030" t="str">
            <v>Chiều cao cây 20cm  ≤ H &lt; 50cm</v>
          </cell>
        </row>
        <row r="1031">
          <cell r="A1031" t="str">
            <v xml:space="preserve">Chiều cao cây H ≥ 50cm </v>
          </cell>
        </row>
        <row r="1032">
          <cell r="A1032" t="str">
            <v>Đào tán (đào hoa cảnh có đặc điểm tán lá hình tròn, hình tháp, thân chính không uốn tạo thế phát triển tự nhiên, chỉ cắt tỉa cành nhỏ; trồng trên đất đã được chuyển mục đích theo quy định, bao gồm: Đào cây, các loại cây khác trồng xen canh, bể chứa nước, bể chứa phân…tính trên diện tích 1 sào =360m2).</v>
          </cell>
        </row>
        <row r="1033">
          <cell r="A1033" t="str">
            <v xml:space="preserve">Đào tán loại 1 (số cây có đường kính tán từ 0,8m đến 1m, cao từ 1m đến 1,5m chiếm trên 50% diện tích; quy đổi 1 cây/1,8m2) </v>
          </cell>
        </row>
        <row r="1034">
          <cell r="A1034" t="str">
            <v xml:space="preserve">Đào tán loại 2 (số cây có đường kính tán từ 0,8m đến 1m, cao từ 1m đến 1,5m chiếm từ 40% đến 50% diện tích; quy đổi 1 cây/1,8m2) </v>
          </cell>
        </row>
        <row r="1035">
          <cell r="A1035" t="str">
            <v xml:space="preserve">Đào tán loại 3 (số cây có đường kính tán từ 0,8m đến 1m, cao từ 1m đến 1,5m chiếm từ 30% đến 40% diện tích; quy đổi 1 cây/1,8m2) </v>
          </cell>
        </row>
        <row r="1036">
          <cell r="A1036" t="str">
            <v xml:space="preserve">Đào tán loại 4 (số cây có đường kính tán từ 0,8m đến 1m, cao từ 1m đến 1,5m chiếm dưới 30% diện tích; quy đổi 1 cây/1,2m2) </v>
          </cell>
        </row>
        <row r="1037">
          <cell r="A1037" t="str">
            <v>Đào thế (đào trồng trên đất đã được chuyển mục đích theo quy định, bao gồm: Đào cây, các loại cây khác trồng xen canh, bể chứa nước, bể chứa phân…tính trên diện tích 1 sào =360m2)</v>
          </cell>
        </row>
        <row r="1038">
          <cell r="A1038" t="str">
            <v xml:space="preserve">Đào thế loại 1 (số cây có chiều cao từ 1m đến 1,5m chiếm trên 50% diện tích; quy đổi 1 cây/1,8m2) </v>
          </cell>
        </row>
        <row r="1039">
          <cell r="A1039" t="str">
            <v xml:space="preserve">Đào thế loại 2 (số cây có chiều cao từ 1m đến 1,5m chiếm từ 40% đến 50% diện tích; quy đổi 1 cây/1,8m2) </v>
          </cell>
        </row>
        <row r="1040">
          <cell r="A1040" t="str">
            <v xml:space="preserve">Đào thế loại 3 (số cây có chiều cao từ 1m đến 1,5m chiếm dưới 40% diện tích; quy đổi 1 cây/1,2m2) </v>
          </cell>
        </row>
        <row r="1041">
          <cell r="A1041" t="str">
            <v>Cỏ cảnh lá tre, cỏ nhung (trồng dày đặc)</v>
          </cell>
        </row>
        <row r="1042">
          <cell r="A1042" t="str">
            <v>Hương nhu, lá ngải, lá nếp, lưỡi hổ, láng tía, ngũ gia bì</v>
          </cell>
        </row>
        <row r="1043">
          <cell r="A1043" t="str">
            <v>Trầu không</v>
          </cell>
        </row>
        <row r="1044">
          <cell r="A1044" t="str">
            <v>Hương bài</v>
          </cell>
        </row>
        <row r="1045">
          <cell r="A1045" t="str">
            <v>GIỐNG CÂY ĂN QUẢ</v>
          </cell>
        </row>
        <row r="1046">
          <cell r="A1046" t="str">
            <v>Thanh long</v>
          </cell>
        </row>
        <row r="1047">
          <cell r="A1047" t="str">
            <v>Cành thanh long mới ươm chưa ra rễ</v>
          </cell>
        </row>
        <row r="1048">
          <cell r="A1048" t="str">
            <v>Cây thanh long ươm đã ra rễ và mầm, thời gian trồng &lt;  01 tháng</v>
          </cell>
        </row>
        <row r="1049">
          <cell r="A1049" t="str">
            <v>Cây thanh long ươm đã ra rễ và mầm, từ 01 tháng đến &lt; 02 tháng</v>
          </cell>
        </row>
        <row r="1050">
          <cell r="A1050" t="str">
            <v>Cây thanh long ươm đã ra rễ và mầm, thời gian trồng ≥ 02 tháng</v>
          </cell>
        </row>
        <row r="1051">
          <cell r="A1051" t="str">
            <v>Cây thanh long có chiều cao thân ≥ 0,7m (chưa ra quả)</v>
          </cell>
        </row>
        <row r="1052">
          <cell r="A1052" t="str">
            <v>Cây thanh long có chiều cao thân ≥ 0,7m (đã có quả)</v>
          </cell>
        </row>
        <row r="1053">
          <cell r="A1053" t="str">
            <v>Cây giống cây ăn quả</v>
          </cell>
        </row>
        <row r="1054">
          <cell r="A1054" t="str">
            <v>Loại ươm gieo hạt (thành luống, dảnh)</v>
          </cell>
        </row>
        <row r="1055">
          <cell r="A1055" t="str">
            <v xml:space="preserve">Chiều cao cây H &lt; 20cm </v>
          </cell>
        </row>
        <row r="1056">
          <cell r="A1056" t="str">
            <v>Chiều cao cây H ≥ 20cm</v>
          </cell>
        </row>
        <row r="1057">
          <cell r="A1057" t="str">
            <v>Cây giống vải, nhãn, doi, bưởi, thị, na, xoài, muỗm, quéo, trứng gà, sấu, táo, ổi, chay, me, khế, mận, mơ (từ cây ươm gieo hạt, đựng trong bầu nilon hoặc trồng thành luống chưa ghép)</v>
          </cell>
        </row>
        <row r="1058">
          <cell r="A1058" t="str">
            <v>Chiều cao cây H &lt; 40cm</v>
          </cell>
        </row>
        <row r="1059">
          <cell r="A1059" t="str">
            <v>Chiều cao cây 40cm ≤ H &lt; 100cm</v>
          </cell>
        </row>
        <row r="1060">
          <cell r="A1060" t="str">
            <v xml:space="preserve">Chiều cao cây H ≥ 100cm </v>
          </cell>
        </row>
        <row r="1061">
          <cell r="A1061" t="str">
            <v>Cây giống vải, nhãn, cam, bưởi, táo, ổi, khế (gieo hạt ươm thành luống đã ghép)</v>
          </cell>
        </row>
        <row r="1062">
          <cell r="A1062" t="str">
            <v>Chiều cao cây H &lt; 40cm</v>
          </cell>
        </row>
        <row r="1063">
          <cell r="A1063" t="str">
            <v>Chiều cao cây 40cm  ≤ H &lt; 100cm</v>
          </cell>
        </row>
        <row r="1064">
          <cell r="A1064" t="str">
            <v>Chiều cao cây H ≥ 100cm</v>
          </cell>
        </row>
        <row r="1065">
          <cell r="A1065" t="str">
            <v>Cây giống vải, nhãn, cam, bưởi, doi, hồng xiêm ... đang chiết cành (đã có rễ) chưa đem trồng</v>
          </cell>
        </row>
        <row r="1066">
          <cell r="A1066" t="str">
            <v>Giống Vải, Nhãn đã chiết cành, đã đem dâm ra vườn</v>
          </cell>
        </row>
        <row r="1067">
          <cell r="A1067" t="str">
            <v>Chiều cao cây H &lt; 40cm</v>
          </cell>
        </row>
        <row r="1068">
          <cell r="A1068" t="str">
            <v>Chiều cao cây 40cm  ≤ H &lt; 1,0m</v>
          </cell>
        </row>
        <row r="1069">
          <cell r="A1069" t="str">
            <v xml:space="preserve">Chiều cao cây H ≥ 1,0m </v>
          </cell>
        </row>
        <row r="1070">
          <cell r="A1070" t="str">
            <v>Cây giống cam, bưởi, doi, hồng xiêm đã chiết cành dâm ra vườn</v>
          </cell>
        </row>
        <row r="1071">
          <cell r="A1071" t="str">
            <v>Cây giống cây lấy gỗ, cây lấy lá…ươm gieo hạt thành luống, vạt</v>
          </cell>
        </row>
        <row r="1072">
          <cell r="A1072" t="str">
            <v xml:space="preserve">Chiều cao cây H &lt; 20cm </v>
          </cell>
        </row>
        <row r="1073">
          <cell r="A1073" t="str">
            <v xml:space="preserve">Chiều cao cây H ≥ 20cm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Đơn giá cây cối"/>
      <sheetName val="28.Mau-Sinh"/>
      <sheetName val="29.Bé"/>
      <sheetName val="35.Thê"/>
      <sheetName val="36.Tùng-Quả"/>
      <sheetName val="37.Tĩnh-Bằng"/>
      <sheetName val="39.Thủy-Ngân"/>
      <sheetName val="41.Thuận-Thanh"/>
      <sheetName val="42.Mạnh"/>
      <sheetName val="43.Hương-Thắng"/>
      <sheetName val="49.Vui"/>
      <sheetName val="50.Phượng"/>
      <sheetName val="61.62.Tụ-Chung"/>
      <sheetName val="128.Định"/>
      <sheetName val="77.Dũng-Kiêm"/>
      <sheetName val="78.Chanh-Thiệu"/>
      <sheetName val="88.Toan-Yến"/>
      <sheetName val="85.Quynh-Nhạn"/>
      <sheetName val="96.Quyền"/>
      <sheetName val="Sheet1"/>
    </sheetNames>
    <sheetDataSet>
      <sheetData sheetId="0"/>
      <sheetData sheetId="1">
        <row r="2">
          <cell r="A2" t="str">
            <v>Lúa các loại</v>
          </cell>
        </row>
        <row r="3">
          <cell r="A3" t="str">
            <v>Ngô các loại</v>
          </cell>
        </row>
        <row r="4">
          <cell r="A4" t="str">
            <v>Khoai lang</v>
          </cell>
        </row>
        <row r="5">
          <cell r="A5" t="str">
            <v>Khoai tây</v>
          </cell>
        </row>
        <row r="6">
          <cell r="A6" t="str">
            <v>Sắn mì</v>
          </cell>
        </row>
        <row r="7">
          <cell r="A7" t="str">
            <v xml:space="preserve">Khoai môn </v>
          </cell>
        </row>
        <row r="8">
          <cell r="A8" t="str">
            <v>Khoai sọ</v>
          </cell>
        </row>
        <row r="9">
          <cell r="A9" t="str">
            <v>Sắn dây</v>
          </cell>
        </row>
        <row r="10">
          <cell r="A10" t="str">
            <v>Củ ấu</v>
          </cell>
        </row>
        <row r="11">
          <cell r="A11" t="str">
            <v>Cây mía</v>
          </cell>
        </row>
        <row r="12">
          <cell r="A12" t="str">
            <v>Cây thuốc lào</v>
          </cell>
        </row>
        <row r="13">
          <cell r="A13" t="str">
            <v>Đay</v>
          </cell>
        </row>
        <row r="14">
          <cell r="A14" t="str">
            <v>Gai, dứa sợi</v>
          </cell>
        </row>
        <row r="15">
          <cell r="A15" t="str">
            <v>Đậu tương</v>
          </cell>
        </row>
        <row r="16">
          <cell r="A16" t="str">
            <v>Lạc</v>
          </cell>
        </row>
        <row r="17">
          <cell r="A17" t="str">
            <v>Vừng</v>
          </cell>
        </row>
        <row r="18">
          <cell r="A18" t="str">
            <v xml:space="preserve">Rau muống </v>
          </cell>
        </row>
        <row r="19">
          <cell r="A19" t="str">
            <v>Cải các loại</v>
          </cell>
        </row>
        <row r="20">
          <cell r="A20" t="str">
            <v>Rau mùng tơi</v>
          </cell>
        </row>
        <row r="21">
          <cell r="A21" t="str">
            <v>Rau ngót</v>
          </cell>
        </row>
        <row r="22">
          <cell r="A22" t="str">
            <v>Bắp cải</v>
          </cell>
        </row>
        <row r="23">
          <cell r="A23" t="str">
            <v>Rau dền</v>
          </cell>
        </row>
        <row r="24">
          <cell r="A24" t="str">
            <v>Súp lơ/bông cải</v>
          </cell>
        </row>
        <row r="25">
          <cell r="A25" t="str">
            <v>Dưa hấu</v>
          </cell>
        </row>
        <row r="26">
          <cell r="A26" t="str">
            <v>Dưa lê</v>
          </cell>
        </row>
        <row r="27">
          <cell r="A27" t="str">
            <v>Dưa vàng</v>
          </cell>
        </row>
        <row r="28">
          <cell r="A28" t="str">
            <v>Dưa lưới, dưa bở, dưa gang</v>
          </cell>
        </row>
        <row r="29">
          <cell r="A29" t="str">
            <v>Đậu đũa</v>
          </cell>
        </row>
        <row r="30">
          <cell r="A30" t="str">
            <v>Đậu co-ve</v>
          </cell>
        </row>
        <row r="31">
          <cell r="A31" t="str">
            <v>Đậu Hà Lan</v>
          </cell>
        </row>
        <row r="32">
          <cell r="A32" t="str">
            <v>Đậu khác (đậu rồng, đậu ván,…)</v>
          </cell>
        </row>
        <row r="33">
          <cell r="A33" t="str">
            <v>Dưa chuột</v>
          </cell>
        </row>
        <row r="34">
          <cell r="A34" t="str">
            <v>Cà chua</v>
          </cell>
        </row>
        <row r="35">
          <cell r="A35" t="str">
            <v>Bí đỏ (Bí ngô)</v>
          </cell>
        </row>
        <row r="36">
          <cell r="A36" t="str">
            <v>Bí xanh</v>
          </cell>
        </row>
        <row r="37">
          <cell r="A37" t="str">
            <v>Bầu</v>
          </cell>
        </row>
        <row r="38">
          <cell r="A38" t="str">
            <v>Mướp</v>
          </cell>
        </row>
        <row r="39">
          <cell r="A39" t="str">
            <v>Su su</v>
          </cell>
        </row>
        <row r="40">
          <cell r="A40" t="str">
            <v>Ớt trái ngọt</v>
          </cell>
        </row>
        <row r="41">
          <cell r="A41" t="str">
            <v>Cà tím, cà pháo</v>
          </cell>
        </row>
        <row r="42">
          <cell r="A42" t="str">
            <v>Mướp đắng</v>
          </cell>
        </row>
        <row r="43">
          <cell r="A43" t="str">
            <v>Rau lấy quả khác (ngô bao tử, lặc lè, dưa mèo...)</v>
          </cell>
        </row>
        <row r="44">
          <cell r="A44" t="str">
            <v>Su hào</v>
          </cell>
        </row>
        <row r="45">
          <cell r="A45" t="str">
            <v>Cà rốt</v>
          </cell>
        </row>
        <row r="46">
          <cell r="A46" t="str">
            <v>Củ cải</v>
          </cell>
        </row>
        <row r="47">
          <cell r="A47" t="str">
            <v>Tỏi lấy củ</v>
          </cell>
        </row>
        <row r="48">
          <cell r="A48" t="str">
            <v>Hành tây</v>
          </cell>
        </row>
        <row r="49">
          <cell r="A49" t="str">
            <v>Hành hoa</v>
          </cell>
        </row>
        <row r="50">
          <cell r="A50" t="str">
            <v>Hành củ</v>
          </cell>
        </row>
        <row r="51">
          <cell r="A51" t="str">
            <v>Rau cần ta</v>
          </cell>
        </row>
        <row r="52">
          <cell r="A52" t="str">
            <v>Mủa</v>
          </cell>
        </row>
        <row r="53">
          <cell r="A53" t="str">
            <v>Củ đậu</v>
          </cell>
        </row>
        <row r="54">
          <cell r="A54" t="str">
            <v>Rau tỏi tây</v>
          </cell>
        </row>
        <row r="55">
          <cell r="A55" t="str">
            <v>Măng tây</v>
          </cell>
        </row>
        <row r="56">
          <cell r="A56" t="str">
            <v>Cần tây</v>
          </cell>
        </row>
        <row r="57">
          <cell r="A57" t="str">
            <v>Tỏi ngồng</v>
          </cell>
        </row>
        <row r="58">
          <cell r="A58" t="str">
            <v>Củ rền</v>
          </cell>
        </row>
        <row r="59">
          <cell r="A59" t="str">
            <v>Rau các loại khác chưa phân vào đâu</v>
          </cell>
        </row>
        <row r="60">
          <cell r="A60" t="str">
            <v>Đậu/đỗ các loại</v>
          </cell>
        </row>
        <row r="61">
          <cell r="A61" t="str">
            <v>Hoa hồng</v>
          </cell>
        </row>
        <row r="62">
          <cell r="A62" t="str">
            <v>Hoa cúc</v>
          </cell>
        </row>
        <row r="63">
          <cell r="A63" t="str">
            <v>Hoa lay ơn</v>
          </cell>
        </row>
        <row r="64">
          <cell r="A64" t="str">
            <v>Hoa huệ</v>
          </cell>
        </row>
        <row r="65">
          <cell r="A65" t="str">
            <v>Hoa cẩm chướng</v>
          </cell>
        </row>
        <row r="66">
          <cell r="A66" t="str">
            <v>Hoa ly</v>
          </cell>
        </row>
        <row r="67">
          <cell r="A67" t="str">
            <v>Hoa đồng tiền</v>
          </cell>
        </row>
        <row r="68">
          <cell r="A68" t="str">
            <v>Hoa khác</v>
          </cell>
        </row>
        <row r="69">
          <cell r="A69" t="str">
            <v>Ớt cay</v>
          </cell>
        </row>
        <row r="70">
          <cell r="A70" t="str">
            <v>Gừng</v>
          </cell>
        </row>
        <row r="71">
          <cell r="A71" t="str">
            <v>Riềng</v>
          </cell>
        </row>
        <row r="72">
          <cell r="A72" t="str">
            <v>Rau gia vị khác (Rau mùi, thì là, mùi tàu, tía tô...)</v>
          </cell>
        </row>
        <row r="73">
          <cell r="A73" t="str">
            <v>Bạc hà</v>
          </cell>
        </row>
        <row r="74">
          <cell r="A74" t="str">
            <v>Ngải cứu</v>
          </cell>
        </row>
        <row r="75">
          <cell r="A75" t="str">
            <v>Nghệ</v>
          </cell>
        </row>
        <row r="76">
          <cell r="A76" t="str">
            <v>Sả</v>
          </cell>
        </row>
        <row r="77">
          <cell r="A77" t="str">
            <v>Cây dược liệu khác (Cà gai leo, Hương nhu,...)</v>
          </cell>
        </row>
        <row r="78">
          <cell r="A78" t="str">
            <v>Sen lấy hạt</v>
          </cell>
        </row>
        <row r="79">
          <cell r="A79" t="str">
            <v xml:space="preserve">Cây vải loại cây ghép có chiều cao cây 40cm ≤ H &lt; 1m  </v>
          </cell>
        </row>
        <row r="80">
          <cell r="A80" t="str">
            <v xml:space="preserve">Cây vải loại cây ghép có chiều cao cây  H ≥ 1m  </v>
          </cell>
        </row>
        <row r="81">
          <cell r="A81" t="str">
            <v xml:space="preserve">Cây vải loại cây chiết cành có chiều cao  40cm ≤ H &lt; 1m  </v>
          </cell>
        </row>
        <row r="82">
          <cell r="A82" t="str">
            <v xml:space="preserve">Cây vải loại cây chiết cành có chiều cao cây  H ≥ 1m  </v>
          </cell>
        </row>
        <row r="83">
          <cell r="A83" t="str">
            <v>Cây vải đường kính tán 0,7m ≤ Φ &lt; 1m</v>
          </cell>
        </row>
        <row r="84">
          <cell r="A84" t="str">
            <v>Cây vải đường kính tán 1m ≤ Φ &lt; 1,5m</v>
          </cell>
        </row>
        <row r="85">
          <cell r="A85" t="str">
            <v>Cây vải đường kính tán 1,5m ≤ Φ &lt; 2m</v>
          </cell>
        </row>
        <row r="86">
          <cell r="A86" t="str">
            <v>Cây vải đường kính tán 2m ≤ Φ &lt; 3m</v>
          </cell>
        </row>
        <row r="87">
          <cell r="A87" t="str">
            <v>Cây vải đường kính tán 3m ≤ Φ &lt; 4m</v>
          </cell>
        </row>
        <row r="88">
          <cell r="A88" t="str">
            <v>Cây vải đường kính tán 4m ≤ Φ &lt; 5m</v>
          </cell>
        </row>
        <row r="89">
          <cell r="A89" t="str">
            <v>Cây vải đường kính tán 5m ≤ Φ &lt; 6m</v>
          </cell>
        </row>
        <row r="90">
          <cell r="A90" t="str">
            <v>Cây vải đường kính tán 6m ≤ Φ &lt; 7m</v>
          </cell>
        </row>
        <row r="91">
          <cell r="A91" t="str">
            <v>Cây vải đường kính tán 7m ≤ Φ &lt; 8m</v>
          </cell>
        </row>
        <row r="92">
          <cell r="A92" t="str">
            <v>Cây vải đường kính tán 8m ≤ Φ &lt; 9m</v>
          </cell>
        </row>
        <row r="93">
          <cell r="A93" t="str">
            <v>Cây vải đường kính tán 9m ≤ Φ &lt; 10m</v>
          </cell>
        </row>
        <row r="94">
          <cell r="A94" t="str">
            <v>Cây vải đường kính tán 10m ≤ Φ &lt; 15m</v>
          </cell>
        </row>
        <row r="95">
          <cell r="A95" t="str">
            <v>Cây vải đường kính tán Φ ≥ 15m</v>
          </cell>
        </row>
        <row r="96">
          <cell r="A96" t="str">
            <v xml:space="preserve">Cây nhãn loại cây ghép có chiều cao cây 40cm ≤ H &lt; 1m  </v>
          </cell>
        </row>
        <row r="97">
          <cell r="A97" t="str">
            <v xml:space="preserve">Cây nhãn loại cây ghép có chiều cao cây  H ≥ 1m  </v>
          </cell>
        </row>
        <row r="98">
          <cell r="A98" t="str">
            <v xml:space="preserve">Cây nhãn loại cây chiết cành có chiều cao  40cm ≤ H &lt; 1m  </v>
          </cell>
        </row>
        <row r="99">
          <cell r="A99" t="str">
            <v xml:space="preserve">Cây nhãn loại cây chiết cành có chiều cao cây  H ≥ 1m  </v>
          </cell>
        </row>
        <row r="100">
          <cell r="A100" t="str">
            <v xml:space="preserve">Cây nhãn đường kính tán 0,7m ≤ Φ &lt; 1m </v>
          </cell>
        </row>
        <row r="101">
          <cell r="A101" t="str">
            <v xml:space="preserve">Cây nhãn đường kính tán 1m ≤ Φ &lt; 1,5m </v>
          </cell>
        </row>
        <row r="102">
          <cell r="A102" t="str">
            <v xml:space="preserve">Cây nhãn đường kính tán 1,5m ≤ Φ &lt; 2m </v>
          </cell>
        </row>
        <row r="103">
          <cell r="A103" t="str">
            <v xml:space="preserve">Cây nhãn đường kính tán 2m ≤ Φ &lt; 3m </v>
          </cell>
        </row>
        <row r="104">
          <cell r="A104" t="str">
            <v>Cây nhãn đường kính tán 3m ≤ Φ &lt; 4m</v>
          </cell>
        </row>
        <row r="105">
          <cell r="A105" t="str">
            <v>Cây nhãn đường kính tán 4m ≤ Φ &lt; 5m</v>
          </cell>
        </row>
        <row r="106">
          <cell r="A106" t="str">
            <v>Cây nhãn đường kính tán 5m ≤ Φ &lt; 6m</v>
          </cell>
        </row>
        <row r="107">
          <cell r="A107" t="str">
            <v>Cây nhãn đường kính tán 6m ≤ Φ &lt; 7m</v>
          </cell>
        </row>
        <row r="108">
          <cell r="A108" t="str">
            <v>Cây nhãn đường kính tán 7m ≤ Φ &lt; 8m</v>
          </cell>
        </row>
        <row r="109">
          <cell r="A109" t="str">
            <v>Cây nhãn đường kính tán 8m ≤ Φ &lt; 9m</v>
          </cell>
        </row>
        <row r="110">
          <cell r="A110" t="str">
            <v>Cây nhãn đường kính tán 9m ≤ Φ &lt; 12m</v>
          </cell>
        </row>
        <row r="111">
          <cell r="A111" t="str">
            <v>Cây nhãn đường kính tán Φ ≥ 12m</v>
          </cell>
        </row>
        <row r="112">
          <cell r="A112" t="str">
            <v>Mít (tính theo đường kính gốc F)</v>
          </cell>
        </row>
        <row r="113">
          <cell r="A113" t="str">
            <v>Cây mít giống đủ tiêu chuẩn mới trồng</v>
          </cell>
        </row>
        <row r="114">
          <cell r="A114" t="str">
            <v xml:space="preserve">Cây mít đường kính gốc 1cm ≤ Φ &lt; 2cm </v>
          </cell>
        </row>
        <row r="115">
          <cell r="A115" t="str">
            <v xml:space="preserve">Cây mít đường kính gốc 2cm ≤ Φ &lt; 5cm </v>
          </cell>
        </row>
        <row r="116">
          <cell r="A116" t="str">
            <v xml:space="preserve">Cây mít đường kính gốc 5cm ≤ Φ &lt; 7cm </v>
          </cell>
        </row>
        <row r="117">
          <cell r="A117" t="str">
            <v xml:space="preserve">Cây mít đường kính gốc 7cm ≤ Φ &lt; 9cm </v>
          </cell>
        </row>
        <row r="118">
          <cell r="A118" t="str">
            <v>Cây mít đường kính gốc 9cm ≤ Φ &lt; 12cm</v>
          </cell>
        </row>
        <row r="119">
          <cell r="A119" t="str">
            <v xml:space="preserve">Cây mít đường kính gốc 12cm ≤ Φ &lt; 15cm </v>
          </cell>
        </row>
        <row r="120">
          <cell r="A120" t="str">
            <v>Cây mít đường kính gốc 15cm ≤ Φ &lt; 20cm</v>
          </cell>
        </row>
        <row r="121">
          <cell r="A121" t="str">
            <v>Cây mít đường kính gốc 20cm ≤ Φ &lt; 25cm</v>
          </cell>
        </row>
        <row r="122">
          <cell r="A122" t="str">
            <v>Cây mít đường kính gốc 25cm ≤ Φ &lt; 35cm</v>
          </cell>
        </row>
        <row r="123">
          <cell r="A123" t="str">
            <v>Cây mít đường kính gốc 35cm ≤ Φ &lt; 50cm</v>
          </cell>
        </row>
        <row r="124">
          <cell r="A124" t="str">
            <v>Cây mít đường kính gốc Φ ≥ 50cm</v>
          </cell>
        </row>
        <row r="125">
          <cell r="A125" t="str">
            <v>Hồng xiêm (tính theo đường kính tán F)</v>
          </cell>
        </row>
        <row r="126">
          <cell r="A126" t="str">
            <v>Cây hồng xiêm giống đủ tiêu chuẩn  mới trồng</v>
          </cell>
        </row>
        <row r="127">
          <cell r="A127" t="str">
            <v>Cây hồng xiêm đường kính tán 0,7m ≤ Φ &lt; 1m</v>
          </cell>
        </row>
        <row r="128">
          <cell r="A128" t="str">
            <v>Cây hồng xiêm đường kính tán 1m ≤ Φ &lt; 1,5m</v>
          </cell>
        </row>
        <row r="129">
          <cell r="A129" t="str">
            <v>Cây hồng xiêm đường kính tán 1,5m ≤ Φ &lt; 2m</v>
          </cell>
        </row>
        <row r="130">
          <cell r="A130" t="str">
            <v>Cây hồng xiêm đường kính tán 2m ≤ Φ &lt; 3m</v>
          </cell>
        </row>
        <row r="131">
          <cell r="A131" t="str">
            <v>Cây hồng xiêm đường kính tán 3m ≤ Φ &lt; 4m</v>
          </cell>
        </row>
        <row r="132">
          <cell r="A132" t="str">
            <v>Cây hồng xiêm đường kính tán 4m ≤ Φ &lt; 5m</v>
          </cell>
        </row>
        <row r="133">
          <cell r="A133" t="str">
            <v>Cây hồng xiêm đường kính tán 5m ≤ Φ &lt; 6m</v>
          </cell>
        </row>
        <row r="134">
          <cell r="A134" t="str">
            <v>Cây hồng xiêm đường kính tán 6m ≤ Φ &lt; 7m</v>
          </cell>
        </row>
        <row r="135">
          <cell r="A135" t="str">
            <v>Cây hồng xiêm đường kính tán 7m ≤ Φ &lt; 8m</v>
          </cell>
        </row>
        <row r="136">
          <cell r="A136" t="str">
            <v>Cây hồng xiêm đường kính tán 8m ≤ Φ &lt; 9m</v>
          </cell>
        </row>
        <row r="137">
          <cell r="A137" t="str">
            <v>Cây hồng xiêm đường kính tán 9m ≤ Φ &lt; 12m</v>
          </cell>
        </row>
        <row r="138">
          <cell r="A138" t="str">
            <v>Cây hồng xiêm đường kính tán Φ ≥ 12m</v>
          </cell>
        </row>
        <row r="139">
          <cell r="A139" t="str">
            <v>Hồng ăn quả khác (tính theo đường kính gốc F)</v>
          </cell>
        </row>
        <row r="140">
          <cell r="A140" t="str">
            <v>Cây giống hồng ăn quả khác đủ tiêu chuẩn mới trồng, chiều cao cây H ≥ 40cm</v>
          </cell>
        </row>
        <row r="141">
          <cell r="A141" t="str">
            <v>Cây hồng ăn quả khác đường kính gốc 1cm ≤ Φ &lt; 2cm</v>
          </cell>
        </row>
        <row r="142">
          <cell r="A142" t="str">
            <v xml:space="preserve">Cây hồng ăn quả khác đường kính gốc 2cm ≤ Φ &lt; 5cm </v>
          </cell>
        </row>
        <row r="143">
          <cell r="A143" t="str">
            <v>Cây hồng ăn quả khác đường kính gốc 5cm ≤ Φ &lt; 7cm</v>
          </cell>
        </row>
        <row r="144">
          <cell r="A144" t="str">
            <v xml:space="preserve">Cây hồng ăn quả khác đường kính gốc 7cm ≤ Φ &lt; 9cm </v>
          </cell>
        </row>
        <row r="145">
          <cell r="A145" t="str">
            <v>Cây hồng ăn quả khác đường kính gốc 9cm ≤ Φ &lt; 12cm</v>
          </cell>
        </row>
        <row r="146">
          <cell r="A146" t="str">
            <v xml:space="preserve">Cây hồng ăn quả khác đường kính gốc 12cm ≤ Φ &lt; 15cm </v>
          </cell>
        </row>
        <row r="147">
          <cell r="A147" t="str">
            <v>Cây hồng ăn quả khác đường kính gốc 15cm ≤ Φ &lt; 20cm</v>
          </cell>
        </row>
        <row r="148">
          <cell r="A148" t="str">
            <v>Cây hồng ăn quả khác đường kính gốc 20cm ≤ Φ &lt; 25cm</v>
          </cell>
        </row>
        <row r="149">
          <cell r="A149" t="str">
            <v>Cây hồng ăn quả khác đường kính gốc 25cm ≤ Φ &lt; 30cm</v>
          </cell>
        </row>
        <row r="150">
          <cell r="A150" t="str">
            <v>Cây hồng ăn quả khác đường kính gốc 30cm ≤ Φ &lt; 35cm</v>
          </cell>
        </row>
        <row r="151">
          <cell r="A151" t="str">
            <v>Cây hồng ăn quả khác đường kính gốc Φ ≥ 35cm</v>
          </cell>
        </row>
        <row r="152">
          <cell r="A152" t="str">
            <v>Chanh, quýt, quất ăn quả (tính theo đường kính tán F)</v>
          </cell>
        </row>
        <row r="153">
          <cell r="A153" t="str">
            <v xml:space="preserve">Cây chanh giống đủ tiêu chuẩn mới trồng, chiều cao cây H ≥ 40cm </v>
          </cell>
        </row>
        <row r="154">
          <cell r="A154" t="str">
            <v>Cây chanh đường kính tán 0,7m ≤ Φ &lt; 1m</v>
          </cell>
        </row>
        <row r="155">
          <cell r="A155" t="str">
            <v>Cây chanh đường kính tán 1m ≤ Φ &lt; 1,5m</v>
          </cell>
        </row>
        <row r="156">
          <cell r="A156" t="str">
            <v>Cây chanh đường kính tán 1,5m ≤ Φ &lt; 2m</v>
          </cell>
        </row>
        <row r="157">
          <cell r="A157" t="str">
            <v>Cây chanh đường kính tán 2m ≤ Φ &lt; 3m</v>
          </cell>
        </row>
        <row r="158">
          <cell r="A158" t="str">
            <v>Cây chanh đường kính tán 3m ≤ Φ &lt; 4m</v>
          </cell>
        </row>
        <row r="159">
          <cell r="A159" t="str">
            <v>Cây chanh đường kính tán 4m ≤ Φ &lt; 5m</v>
          </cell>
        </row>
        <row r="160">
          <cell r="A160" t="str">
            <v>Cây chanh đường kính tán Φ ≥ 5m</v>
          </cell>
        </row>
        <row r="161">
          <cell r="A161" t="str">
            <v xml:space="preserve">Cây quýt giống đủ tiêu chuẩn mới trồng, chiều cao cây H ≥ 40cm </v>
          </cell>
        </row>
        <row r="162">
          <cell r="A162" t="str">
            <v>Cây quýt đường kính tán 0,7m ≤ Φ &lt; 1m</v>
          </cell>
        </row>
        <row r="163">
          <cell r="A163" t="str">
            <v>Cây quýt đường kính tán 1m ≤ Φ &lt; 1,5m</v>
          </cell>
        </row>
        <row r="164">
          <cell r="A164" t="str">
            <v>Cây quýt đường kính tán 1,5m ≤ Φ &lt; 2m</v>
          </cell>
        </row>
        <row r="165">
          <cell r="A165" t="str">
            <v>Cây quýt đường kính tán 2m ≤ Φ &lt; 3m</v>
          </cell>
        </row>
        <row r="166">
          <cell r="A166" t="str">
            <v>Cây quýt đường kính tán 3m ≤ Φ &lt; 4m</v>
          </cell>
        </row>
        <row r="167">
          <cell r="A167" t="str">
            <v>Cây quýt đường kính tán 4m ≤ Φ &lt; 5m</v>
          </cell>
        </row>
        <row r="168">
          <cell r="A168" t="str">
            <v>Cây quýt đường kính tán Φ ≥ 5m</v>
          </cell>
        </row>
        <row r="169">
          <cell r="A169" t="str">
            <v xml:space="preserve">Cây quất ăn quả giống đủ tiêu chuẩn mới trồng, chiều cao cây H ≥ 40cm </v>
          </cell>
        </row>
        <row r="170">
          <cell r="A170" t="str">
            <v>Cây quất ăn quả đường kính tán 0,7m ≤ Φ &lt; 1m</v>
          </cell>
        </row>
        <row r="171">
          <cell r="A171" t="str">
            <v>Cây quất ăn quả đường kính tán 1m ≤ Φ &lt; 1,5m</v>
          </cell>
        </row>
        <row r="172">
          <cell r="A172" t="str">
            <v>Cây quất ăn quả đường kính tán 1,5m ≤ Φ &lt; 2m</v>
          </cell>
        </row>
        <row r="173">
          <cell r="A173" t="str">
            <v>Cây quất ăn quả đường kính tán 2m ≤ Φ &lt; 3m</v>
          </cell>
        </row>
        <row r="174">
          <cell r="A174" t="str">
            <v>Cây quất ăn quả đường kính tán 3m ≤ Φ &lt; 4m</v>
          </cell>
        </row>
        <row r="175">
          <cell r="A175" t="str">
            <v>Cây quất ăn quả đường kính tán 4m ≤ Φ &lt; 5m</v>
          </cell>
        </row>
        <row r="176">
          <cell r="A176" t="str">
            <v>Cây quất ăn quả đường kính tán Φ ≥ 5m</v>
          </cell>
        </row>
        <row r="177">
          <cell r="A177" t="str">
            <v xml:space="preserve">Cam (tính theo đường kính tán lá F) </v>
          </cell>
        </row>
        <row r="178">
          <cell r="A178" t="str">
            <v>Cây giống đủ tiêu chuẩn mới trồng</v>
          </cell>
        </row>
        <row r="179">
          <cell r="A179" t="str">
            <v xml:space="preserve">Cây cam loại cây ghép có chiều cao cây 40cm ≤ Φ &lt; 1m  </v>
          </cell>
        </row>
        <row r="180">
          <cell r="A180" t="str">
            <v xml:space="preserve">Cây cam loại cây ghép có chiều cao cây  H ≥ 1m  </v>
          </cell>
        </row>
        <row r="181">
          <cell r="A181" t="str">
            <v xml:space="preserve">Cây cam loại cây chiết cành có chiều cao 40cm ≤ Φ &lt; 1m  </v>
          </cell>
        </row>
        <row r="182">
          <cell r="A182" t="str">
            <v xml:space="preserve">Cây cam loại cây chiết cành có chiều cao cây  H ≥ 1m  </v>
          </cell>
        </row>
        <row r="183">
          <cell r="A183" t="str">
            <v>Cây cam đường kính tán 0,7m ≤ Φ &lt; 1m</v>
          </cell>
        </row>
        <row r="184">
          <cell r="A184" t="str">
            <v>Cây cam đường kính tán 1m ≤ Φ &lt; 1,5m</v>
          </cell>
        </row>
        <row r="185">
          <cell r="A185" t="str">
            <v>Cây cam đường kính tán 1,5m ≤ Φ &lt; 2m</v>
          </cell>
        </row>
        <row r="186">
          <cell r="A186" t="str">
            <v>Cây cam đường kính tán 2m ≤ Φ &lt; 3m</v>
          </cell>
        </row>
        <row r="187">
          <cell r="A187" t="str">
            <v>Cây cam đường kính tán 3m ≤ Φ &lt; 4m</v>
          </cell>
        </row>
        <row r="188">
          <cell r="A188" t="str">
            <v>Cây cam đường kính tán 4m ≤ Φ &lt; 5m</v>
          </cell>
        </row>
        <row r="189">
          <cell r="A189" t="str">
            <v>Cây cam đường kính tán 5m ≤ Φ &lt; 6m</v>
          </cell>
        </row>
        <row r="190">
          <cell r="A190" t="str">
            <v>Cây cam đường kính tán Φ ≥ 6m</v>
          </cell>
        </row>
        <row r="191">
          <cell r="A191" t="str">
            <v>Bưởi (tính theo đường kính gốc F)</v>
          </cell>
        </row>
        <row r="192">
          <cell r="A192" t="str">
            <v>Cây giống đủ tiêu chuẩn mới trồng</v>
          </cell>
        </row>
        <row r="193">
          <cell r="A193" t="str">
            <v xml:space="preserve">Bưởi loại cây ghép có chiều cao cây 40cm ≤ H &lt; 1m  </v>
          </cell>
        </row>
        <row r="194">
          <cell r="A194" t="str">
            <v xml:space="preserve">Bưởi loại cây ghép có chiều cao cây  H ≥ 1m  </v>
          </cell>
        </row>
        <row r="195">
          <cell r="A195" t="str">
            <v xml:space="preserve">Bưởi loại cây chiết cành có chiều cao  40cm ≤ H &lt; 1m  </v>
          </cell>
        </row>
        <row r="196">
          <cell r="A196" t="str">
            <v xml:space="preserve">Bưởi loại cây chiết cành có chiều cao cây  H ≥ 1m  </v>
          </cell>
        </row>
        <row r="197">
          <cell r="A197" t="str">
            <v>Cây bưởi đường kính gốc 1cm ≤ Φ &lt; 2cm</v>
          </cell>
        </row>
        <row r="198">
          <cell r="A198" t="str">
            <v>Cây bưởi đường kính gốc 2cm ≤ Φ &lt; 5cm</v>
          </cell>
        </row>
        <row r="199">
          <cell r="A199" t="str">
            <v>Cây bưởi đường kính gốc 5cm ≤ Φ &lt; 7cm</v>
          </cell>
        </row>
        <row r="200">
          <cell r="A200" t="str">
            <v>Cây bưởi đường kính gốc 7cm ≤ Φ &lt; 9cm</v>
          </cell>
        </row>
        <row r="201">
          <cell r="A201" t="str">
            <v>Cây bưởi đường kính gốc 9cm ≤ Φ &lt; 12cm</v>
          </cell>
        </row>
        <row r="202">
          <cell r="A202" t="str">
            <v xml:space="preserve">Cây bưởi đường kính gốc 12cm ≤ Φ &lt; 15cm </v>
          </cell>
        </row>
        <row r="203">
          <cell r="A203" t="str">
            <v>Cây bưởi đường kính gốc 15cm ≤ Φ &lt; 20cm</v>
          </cell>
        </row>
        <row r="204">
          <cell r="A204" t="str">
            <v>Cây bưởi đường kính gốc 20cm ≤ Φ &lt; 25cm</v>
          </cell>
        </row>
        <row r="205">
          <cell r="A205" t="str">
            <v>Cây bưởi đường kính gốc Φ ≥ 25cm</v>
          </cell>
        </row>
        <row r="206">
          <cell r="A206" t="str">
            <v>Xoài, muỗm, quéo, thị (tính theo đường kính gốc F)</v>
          </cell>
        </row>
        <row r="207">
          <cell r="A207" t="str">
            <v>Cây xoài giống đủ tiêu chuẩn mới trồng, chiều cao cây H ≥ 40cm</v>
          </cell>
        </row>
        <row r="208">
          <cell r="A208" t="str">
            <v xml:space="preserve">Cây xoài đường kính gốc 1cm ≤ Φ &lt; 2cm </v>
          </cell>
        </row>
        <row r="209">
          <cell r="A209" t="str">
            <v>Cây xoài đường kính gốc 2cm ≤ Φ &lt; 5cm</v>
          </cell>
        </row>
        <row r="210">
          <cell r="A210" t="str">
            <v>Cây xoài đường kính gốc 5cm ≤ Φ &lt; 7cm</v>
          </cell>
        </row>
        <row r="211">
          <cell r="A211" t="str">
            <v>Cây xoài đường kính gốc 7cm ≤ Φ &lt; 9cm</v>
          </cell>
        </row>
        <row r="212">
          <cell r="A212" t="str">
            <v>Cây xoài đường kính gốc 9cm ≤ Φ &lt; 12cm</v>
          </cell>
        </row>
        <row r="213">
          <cell r="A213" t="str">
            <v xml:space="preserve">Cây xoài đường kính gốc 12cm ≤ Φ &lt; 15cm </v>
          </cell>
        </row>
        <row r="214">
          <cell r="A214" t="str">
            <v>Cây xoài đường kính gốc 15cm ≤ Φ &lt; 20cm</v>
          </cell>
        </row>
        <row r="215">
          <cell r="A215" t="str">
            <v>Cây xoài đường kính gốc 20cm ≤ Φ &lt; 25cm</v>
          </cell>
        </row>
        <row r="216">
          <cell r="A216" t="str">
            <v>Cây xoài đường kính gốc 25cm ≤ Φ &lt; 35cm</v>
          </cell>
        </row>
        <row r="217">
          <cell r="A217" t="str">
            <v>Cây xoài đường kính gốc 35cm ≤ Φ &lt; 50cm</v>
          </cell>
        </row>
        <row r="218">
          <cell r="A218" t="str">
            <v>Cây xoài đường kính gốc Φ ≥ 50cm</v>
          </cell>
        </row>
        <row r="219">
          <cell r="A219" t="str">
            <v>Cây muỗm giống đủ tiêu chuẩn mới trồng, chiều cao cây H ≥ 40cm</v>
          </cell>
        </row>
        <row r="220">
          <cell r="A220" t="str">
            <v xml:space="preserve">Cây muỗm đường kính gốc 1cm ≤ Φ &lt; 2cm </v>
          </cell>
        </row>
        <row r="221">
          <cell r="A221" t="str">
            <v>Cây muỗm đường kính gốc 2cm ≤ Φ &lt; 5cm</v>
          </cell>
        </row>
        <row r="222">
          <cell r="A222" t="str">
            <v>Cây muỗm đường kính gốc 5cm ≤ Φ &lt; 7cm</v>
          </cell>
        </row>
        <row r="223">
          <cell r="A223" t="str">
            <v>Cây muỗm đường kính gốc 7cm ≤ Φ &lt; 9cm</v>
          </cell>
        </row>
        <row r="224">
          <cell r="A224" t="str">
            <v>Cây muỗm đường kính gốc 9cm ≤ Φ &lt; 12cm</v>
          </cell>
        </row>
        <row r="225">
          <cell r="A225" t="str">
            <v xml:space="preserve">Cây muỗm đường kính gốc 12cm ≤ Φ &lt; 15cm </v>
          </cell>
        </row>
        <row r="226">
          <cell r="A226" t="str">
            <v>Cây muỗm đường kính gốc 15cm ≤ Φ &lt; 20cm</v>
          </cell>
        </row>
        <row r="227">
          <cell r="A227" t="str">
            <v>Cây muỗm đường kính gốc 20cm ≤ Φ &lt; 25cm</v>
          </cell>
        </row>
        <row r="228">
          <cell r="A228" t="str">
            <v>Cây muỗm đường kính gốc 25cm ≤ Φ &lt; 35cm</v>
          </cell>
        </row>
        <row r="229">
          <cell r="A229" t="str">
            <v>Cây muỗm đường kính gốc 35cm ≤ Φ &lt; 50cm</v>
          </cell>
        </row>
        <row r="230">
          <cell r="A230" t="str">
            <v>Cây muỗm đường kính gốc Φ ≥ 50cm</v>
          </cell>
        </row>
        <row r="231">
          <cell r="A231" t="str">
            <v>Cây quéo giống đủ tiêu chuẩn mới trồng, chiều cao cây H ≥ 40cm</v>
          </cell>
        </row>
        <row r="232">
          <cell r="A232" t="str">
            <v xml:space="preserve">Cây quéo đường kính gốc 1cm ≤ Φ &lt; 2cm </v>
          </cell>
        </row>
        <row r="233">
          <cell r="A233" t="str">
            <v>Cây quéo đường kính gốc 2cm ≤ Φ &lt; 5cm</v>
          </cell>
        </row>
        <row r="234">
          <cell r="A234" t="str">
            <v>Cây quéo đường kính gốc 5cm ≤ Φ &lt; 7cm</v>
          </cell>
        </row>
        <row r="235">
          <cell r="A235" t="str">
            <v>Cây quéo đường kính gốc 7cm ≤ Φ &lt; 9cm</v>
          </cell>
        </row>
        <row r="236">
          <cell r="A236" t="str">
            <v>Cây quéo đường kính gốc 9cm ≤ Φ &lt; 12cm</v>
          </cell>
        </row>
        <row r="237">
          <cell r="A237" t="str">
            <v xml:space="preserve">Cây quéo đường kính gốc 12cm ≤ Φ &lt; 15cm </v>
          </cell>
        </row>
        <row r="238">
          <cell r="A238" t="str">
            <v>Cây quéo đường kính gốc 15cm ≤ Φ &lt; 20cm</v>
          </cell>
        </row>
        <row r="239">
          <cell r="A239" t="str">
            <v>Cây quéo đường kính gốc 20cm ≤ Φ &lt; 25cm</v>
          </cell>
        </row>
        <row r="240">
          <cell r="A240" t="str">
            <v>Cây quéo đường kính gốc 25cm ≤ Φ &lt; 35cm</v>
          </cell>
        </row>
        <row r="241">
          <cell r="A241" t="str">
            <v>Cây quéo đường kính gốc 35cm ≤ Φ &lt; 50cm</v>
          </cell>
        </row>
        <row r="242">
          <cell r="A242" t="str">
            <v>Cây quéo đường kính gốc Φ ≥ 50cm</v>
          </cell>
        </row>
        <row r="243">
          <cell r="A243" t="str">
            <v>Cây thị giống đủ tiêu chuẩn mới trồng, chiều cao cây H ≥ 40cm</v>
          </cell>
        </row>
        <row r="244">
          <cell r="A244" t="str">
            <v xml:space="preserve">Cây thị đường kính gốc 1cm ≤ Φ &lt; 2cm </v>
          </cell>
        </row>
        <row r="245">
          <cell r="A245" t="str">
            <v>Cây thị đường kính gốc 2cm ≤ Φ &lt; 5cm</v>
          </cell>
        </row>
        <row r="246">
          <cell r="A246" t="str">
            <v>Cây thị đường kính gốc 5cm ≤ Φ &lt; 7cm</v>
          </cell>
        </row>
        <row r="247">
          <cell r="A247" t="str">
            <v>Cây thị đường kính gốc 7cm ≤ Φ &lt; 9cm</v>
          </cell>
        </row>
        <row r="248">
          <cell r="A248" t="str">
            <v>Cây thị đường kính gốc 9cm ≤ Φ &lt; 12cm</v>
          </cell>
        </row>
        <row r="249">
          <cell r="A249" t="str">
            <v xml:space="preserve">Cây thị đường kính gốc 12cm ≤ Φ &lt; 15cm </v>
          </cell>
        </row>
        <row r="250">
          <cell r="A250" t="str">
            <v>Cây thị đường kính gốc 15cm ≤ Φ &lt; 20cm</v>
          </cell>
        </row>
        <row r="251">
          <cell r="A251" t="str">
            <v>Cây thị đường kính gốc 20cm ≤ Φ &lt; 25cm</v>
          </cell>
        </row>
        <row r="252">
          <cell r="A252" t="str">
            <v>Cây thị đường kính gốc 25cm ≤ Φ &lt; 35cm</v>
          </cell>
        </row>
        <row r="253">
          <cell r="A253" t="str">
            <v>Cây thị đường kính gốc 35cm ≤ Φ &lt; 50cm</v>
          </cell>
        </row>
        <row r="254">
          <cell r="A254" t="str">
            <v>Cây thị đường kính gốc Φ ≥ 50cm</v>
          </cell>
        </row>
        <row r="255">
          <cell r="A255" t="str">
            <v>Dừa (tính theo đường kính gốc F)</v>
          </cell>
        </row>
        <row r="256">
          <cell r="A256" t="str">
            <v>Cây dừa giống đủ tiêu chuẩn mới trồng</v>
          </cell>
        </row>
        <row r="257">
          <cell r="A257" t="str">
            <v>Cây dừa đường kính gốc 7cm ≤ Φ &lt; 9cm</v>
          </cell>
        </row>
        <row r="258">
          <cell r="A258" t="str">
            <v>Cây dừa đường kính gốc 9cm ≤ Φ &lt; 12cm</v>
          </cell>
        </row>
        <row r="259">
          <cell r="A259" t="str">
            <v>Cây dừa đường kính gốc 12cm ≤ Φ &lt; 15cm</v>
          </cell>
        </row>
        <row r="260">
          <cell r="A260" t="str">
            <v>Cây dừa đường kính gốc 15cm ≤ Φ &lt; 20cm</v>
          </cell>
        </row>
        <row r="261">
          <cell r="A261" t="str">
            <v>Cây dừa đường kính gốc 20cm ≤ Φ &lt; 25cm</v>
          </cell>
        </row>
        <row r="262">
          <cell r="A262" t="str">
            <v>Cây dừa đường kính gốc 25cm ≤ Φ &lt; 30cm</v>
          </cell>
        </row>
        <row r="263">
          <cell r="A263" t="str">
            <v>Cây dừa đường kính gốc 30cm ≤ Φ &lt; 35cm</v>
          </cell>
        </row>
        <row r="264">
          <cell r="A264" t="str">
            <v>Cây dừa đường kính gốc 35cm ≤ Φ &lt; 50cm</v>
          </cell>
        </row>
        <row r="265">
          <cell r="A265" t="str">
            <v>Cây dừa đường kính gốc Φ ≥ 50cm</v>
          </cell>
        </row>
        <row r="266">
          <cell r="A266" t="str">
            <v>Na (tính theo đường kính gốc F)</v>
          </cell>
        </row>
        <row r="267">
          <cell r="A267" t="str">
            <v>Cây na giống đủ tiêu chuẩn mới trồng, chiều cao cây H ≥ 40cm</v>
          </cell>
        </row>
        <row r="268">
          <cell r="A268" t="str">
            <v>Cây na đường kính gốc 1cm ≤ Φ &lt; 2cm</v>
          </cell>
        </row>
        <row r="269">
          <cell r="A269" t="str">
            <v>Cây na đường kính gốc 2cm ≤ Φ &lt; 5cm</v>
          </cell>
        </row>
        <row r="270">
          <cell r="A270" t="str">
            <v>Cây na đường kính gốc 5cm ≤ Φ &lt; 7cm</v>
          </cell>
        </row>
        <row r="271">
          <cell r="A271" t="str">
            <v xml:space="preserve">Cây na đường kính gốc 7cm ≤ Φ &lt; 9cm </v>
          </cell>
        </row>
        <row r="272">
          <cell r="A272" t="str">
            <v>Cây na đường kính gốc 9cm ≤ Φ &lt; 12cm</v>
          </cell>
        </row>
        <row r="273">
          <cell r="A273" t="str">
            <v>Cây na đường kính gốc 12cm ≤ Φ &lt; 15cm</v>
          </cell>
        </row>
        <row r="274">
          <cell r="A274" t="str">
            <v>Cây na đường kính gốc Φ ≥ 15cm</v>
          </cell>
        </row>
        <row r="275">
          <cell r="A275" t="str">
            <v>Dâu da (tính theo đường kính gốc F)</v>
          </cell>
        </row>
        <row r="276">
          <cell r="A276" t="str">
            <v>Cây dâu da giống đủ tiêu chuẩn mới trồng, chiều cao cây H ≥ 40cm</v>
          </cell>
        </row>
        <row r="277">
          <cell r="A277" t="str">
            <v>Cây dâu da đường kính gốc 1cm ≤ Φ &lt; 2cm</v>
          </cell>
        </row>
        <row r="278">
          <cell r="A278" t="str">
            <v>Cây dâu da đường kính gốc 2cm ≤ Φ &lt; 5cm</v>
          </cell>
        </row>
        <row r="279">
          <cell r="A279" t="str">
            <v>Cây dâu da đường kính gốc 5cm ≤ Φ &lt; 7cm</v>
          </cell>
        </row>
        <row r="280">
          <cell r="A280" t="str">
            <v>Cây dâu da đường kính gốc 7cm ≤ Φ &lt; 9cm</v>
          </cell>
        </row>
        <row r="281">
          <cell r="A281" t="str">
            <v>Cây dâu da đường kính gốc 9cm ≤ Φ &lt; 12cm</v>
          </cell>
        </row>
        <row r="282">
          <cell r="A282" t="str">
            <v>Cây dâu da đường kính gốc 12cm ≤ Φ &lt; 15cm</v>
          </cell>
        </row>
        <row r="283">
          <cell r="A283" t="str">
            <v>Cây dâu da đường kính gốc 15cm ≤ Φ &lt; 20cm</v>
          </cell>
        </row>
        <row r="284">
          <cell r="A284" t="str">
            <v>Cây dâu da đường kính gốc 20cm ≤ Φ &lt; 25cm</v>
          </cell>
        </row>
        <row r="285">
          <cell r="A285" t="str">
            <v>Cây dâu da đường kính gốc 25cm ≤ Φ &lt; 35cm</v>
          </cell>
        </row>
        <row r="286">
          <cell r="A286" t="str">
            <v>Cây dâu da đường kính gốc 35cm ≤ Φ &lt; 50cm</v>
          </cell>
        </row>
        <row r="287">
          <cell r="A287" t="str">
            <v>Cây dâu da đường kính gốc Φ ≥ 50cm</v>
          </cell>
        </row>
        <row r="288">
          <cell r="A288" t="str">
            <v xml:space="preserve">Bồ kết (tính theo đường kính gốc F) </v>
          </cell>
        </row>
        <row r="289">
          <cell r="A289" t="str">
            <v>Cây bồ kết giống đủ tiêu chuẩn mới trồng, chiều cao cây H ≥ 40cm</v>
          </cell>
        </row>
        <row r="290">
          <cell r="A290" t="str">
            <v>Cây bồ kết đường kính gốc 1cm ≤ Φ &lt; 2cm</v>
          </cell>
        </row>
        <row r="291">
          <cell r="A291" t="str">
            <v>Cây bồ kết đường kính gốc 2cm ≤ Φ &lt; 5cm</v>
          </cell>
        </row>
        <row r="292">
          <cell r="A292" t="str">
            <v>Cây bồ kết đường kính gốc 5cm ≤ Φ &lt; 7cm</v>
          </cell>
        </row>
        <row r="293">
          <cell r="A293" t="str">
            <v>Cây bồ kết đường kính gốc 7cm ≤ Φ &lt; 9cm</v>
          </cell>
        </row>
        <row r="294">
          <cell r="A294" t="str">
            <v>Cây bồ kết đường kính gốc 9cm ≤ Φ &lt; 12cm</v>
          </cell>
        </row>
        <row r="295">
          <cell r="A295" t="str">
            <v>Cây bồ kết đường kính gốc 12cm ≤ Φ &lt; 15cm</v>
          </cell>
        </row>
        <row r="296">
          <cell r="A296" t="str">
            <v>Cây bồ kết đường kính gốc 15cm ≤ Φ &lt; 20cm</v>
          </cell>
        </row>
        <row r="297">
          <cell r="A297" t="str">
            <v>Cây bồ kết đường kính gốc 20cm ≤ Φ &lt; 25cm</v>
          </cell>
        </row>
        <row r="298">
          <cell r="A298" t="str">
            <v>Cây bồ kết đường kính gốc 25cm ≤ Φ &lt; 30cm</v>
          </cell>
        </row>
        <row r="299">
          <cell r="A299" t="str">
            <v>Cây bồ kết đường kính gốc 30cm ≤ Φ &lt; 35cm</v>
          </cell>
        </row>
        <row r="300">
          <cell r="A300" t="str">
            <v>Cây bồ kết đường kính gốc 35cm ≤ Φ &lt; 50cm</v>
          </cell>
        </row>
        <row r="301">
          <cell r="A301" t="str">
            <v>Cây bồ kết đường kính gốc Φ ≥ 50cm</v>
          </cell>
        </row>
        <row r="302">
          <cell r="A302" t="str">
            <v>Trứng gà (tính theo đường kính gốc F)</v>
          </cell>
        </row>
        <row r="303">
          <cell r="A303" t="str">
            <v>Cây trứng gà giống đủ tiêu chuẩn mới trồng, chiều cao cây H ≥ 40cm</v>
          </cell>
        </row>
        <row r="304">
          <cell r="A304" t="str">
            <v>Cây trứng gà đường kính gốc 1cm ≤ Φ &lt; 2cm</v>
          </cell>
        </row>
        <row r="305">
          <cell r="A305" t="str">
            <v>Cây trứng gà đường kính gốc 2cm ≤ Φ &lt; 5cm</v>
          </cell>
        </row>
        <row r="306">
          <cell r="A306" t="str">
            <v>Cây trứng gà đường kính gốc 5cm ≤ Φ &lt; 7cm</v>
          </cell>
        </row>
        <row r="307">
          <cell r="A307" t="str">
            <v>Cây trứng gà đường kính gốc 7cm ≤ Φ &lt; 9cm</v>
          </cell>
        </row>
        <row r="308">
          <cell r="A308" t="str">
            <v>Cây trứng gà đường kính gốc 9cm ≤ Φ &lt; 12cm</v>
          </cell>
        </row>
        <row r="309">
          <cell r="A309" t="str">
            <v>Cây trứng gà đường kính gốc 12cm ≤ Φ &lt; 15cm</v>
          </cell>
        </row>
        <row r="310">
          <cell r="A310" t="str">
            <v>Cây trứng gà đường kính gốc 15cm ≤ Φ &lt; 20cm</v>
          </cell>
        </row>
        <row r="311">
          <cell r="A311" t="str">
            <v>Cây trứng gà đường kính gốc 20cm ≤ Φ &lt; 25cm</v>
          </cell>
        </row>
        <row r="312">
          <cell r="A312" t="str">
            <v>Cây trứng gà đường kính gốc 25cm ≤ Φ &lt; 30cm</v>
          </cell>
        </row>
        <row r="313">
          <cell r="A313" t="str">
            <v>Cây trứng gà đường kính gốc 30cm ≤ Φ &lt; 35cm</v>
          </cell>
        </row>
        <row r="314">
          <cell r="A314" t="str">
            <v>Cây trứng gà đường kính gốc Φ ≥ 35cm</v>
          </cell>
        </row>
        <row r="315">
          <cell r="A315" t="str">
            <v>Táo (tính theo đường kính gốc F)</v>
          </cell>
        </row>
        <row r="316">
          <cell r="A316" t="str">
            <v>Cây giống đủ tiêu chuẩn mới trồng</v>
          </cell>
        </row>
        <row r="317">
          <cell r="A317" t="str">
            <v xml:space="preserve">Cây táo loại cây ghép có chiều cao cây 40cm ≤ H &lt; 1m  </v>
          </cell>
        </row>
        <row r="318">
          <cell r="A318" t="str">
            <v xml:space="preserve">Cây táo loại cây ghép có chiều cao cây  H ≥ 1m  </v>
          </cell>
        </row>
        <row r="319">
          <cell r="A319" t="str">
            <v>Cây táo đường kính gốc 1cm ≤ Φ &lt; 2cm</v>
          </cell>
        </row>
        <row r="320">
          <cell r="A320" t="str">
            <v>Cây táo đường kính gốc 2cm ≤ Φ &lt; 5cm</v>
          </cell>
        </row>
        <row r="321">
          <cell r="A321" t="str">
            <v>Cây táo đường kính gốc 5cm ≤ Φ &lt; 7cm</v>
          </cell>
        </row>
        <row r="322">
          <cell r="A322" t="str">
            <v>Cây táo đường kính gốc 7cm ≤ Φ &lt; 9cm</v>
          </cell>
        </row>
        <row r="323">
          <cell r="A323" t="str">
            <v>Cây táo đường kính gốc 9cm ≤ Φ &lt; 12cm</v>
          </cell>
        </row>
        <row r="324">
          <cell r="A324" t="str">
            <v>Cây táo đường kính gốc 12cm ≤ Φ &lt; 15cm</v>
          </cell>
        </row>
        <row r="325">
          <cell r="A325" t="str">
            <v>Cây táo đường kính gốc 15cm ≤ Φ &lt; 20cm</v>
          </cell>
        </row>
        <row r="326">
          <cell r="A326" t="str">
            <v>Cây táo đường kính gốc 20cm ≤ Φ &lt; 25cm</v>
          </cell>
        </row>
        <row r="327">
          <cell r="A327" t="str">
            <v>Cây táo đường kính gốc Φ ≥ 25cm</v>
          </cell>
        </row>
        <row r="328">
          <cell r="A328" t="str">
            <v>Ổi (tính theo đường kính gốc F)</v>
          </cell>
        </row>
        <row r="329">
          <cell r="A329" t="str">
            <v>Cây giống đủ tiêu chuẩn mới trồng</v>
          </cell>
        </row>
        <row r="330">
          <cell r="A330" t="str">
            <v xml:space="preserve">Cây ổi loại cây ghép có chiều cao cây 40cm ≤ H &lt; 1m </v>
          </cell>
        </row>
        <row r="331">
          <cell r="A331" t="str">
            <v xml:space="preserve">Cây ổi loại cây ghép có chiều cao cây  H ≥ 1m  </v>
          </cell>
        </row>
        <row r="332">
          <cell r="A332" t="str">
            <v xml:space="preserve">Cây ổi loại cây chiết có chiều cao cây 40cm ≤ H &lt; 1m  </v>
          </cell>
        </row>
        <row r="333">
          <cell r="A333" t="str">
            <v>Cây ổi đường kính gốc 1cm ≤ Φ &lt; 2cm</v>
          </cell>
        </row>
        <row r="334">
          <cell r="A334" t="str">
            <v>Cây ổi đường kính gốc 2cm ≤ Φ &lt; 5cm</v>
          </cell>
        </row>
        <row r="335">
          <cell r="A335" t="str">
            <v>Cây ổi đường kính gốc 5cm ≤ Φ &lt; 7cm</v>
          </cell>
        </row>
        <row r="336">
          <cell r="A336" t="str">
            <v>Cây ổi đường kính gốc 7cm ≤ Φ &lt; 9cm</v>
          </cell>
        </row>
        <row r="337">
          <cell r="A337" t="str">
            <v>Cây ổi đường kính gốc 9cm ≤ Φ &lt; 12cm</v>
          </cell>
        </row>
        <row r="338">
          <cell r="A338" t="str">
            <v>Cây ổi đường kính gốc 12cm ≤ Φ &lt; 15cm</v>
          </cell>
        </row>
        <row r="339">
          <cell r="A339" t="str">
            <v>Cây ổi đường kính gốc 15cm ≤ Φ &lt; 20cm</v>
          </cell>
        </row>
        <row r="340">
          <cell r="A340" t="str">
            <v>Cây ổi đường kính gốc 20cm ≤ Φ &lt; 25cm</v>
          </cell>
        </row>
        <row r="341">
          <cell r="A341" t="str">
            <v>Cây ổi đường kính gốc Φ ≥ 25cm</v>
          </cell>
        </row>
        <row r="342">
          <cell r="A342" t="str">
            <v>Chay (tính theo đường kính gốc F)</v>
          </cell>
        </row>
        <row r="343">
          <cell r="A343" t="str">
            <v>Cây chay giống đủ tiêu chuẩn mới trồng, chiều cao cây H ≥ 40cm</v>
          </cell>
        </row>
        <row r="344">
          <cell r="A344" t="str">
            <v>Cây chay đường kính gốc 1cm ≤ Φ &lt; 2cm</v>
          </cell>
        </row>
        <row r="345">
          <cell r="A345" t="str">
            <v>Cây chay đường kính gốc 2cm ≤ Φ &lt; 5cm</v>
          </cell>
        </row>
        <row r="346">
          <cell r="A346" t="str">
            <v>Cây chay đường kính gốc 5cm ≤ Φ &lt; 7cm</v>
          </cell>
        </row>
        <row r="347">
          <cell r="A347" t="str">
            <v>Cây chay đường kính gốc 7cm ≤ Φ &lt; 9cm</v>
          </cell>
        </row>
        <row r="348">
          <cell r="A348" t="str">
            <v>Cây chay đường kính gốc 9cm ≤ Φ &lt; 12cm</v>
          </cell>
        </row>
        <row r="349">
          <cell r="A349" t="str">
            <v>Cây chay đường kính gốc 12cm ≤ Φ &lt; 15cm</v>
          </cell>
        </row>
        <row r="350">
          <cell r="A350" t="str">
            <v>Cây chay đường kính gốc 15cm ≤ Φ &lt; 20cm</v>
          </cell>
        </row>
        <row r="351">
          <cell r="A351" t="str">
            <v>Cây chay đường kính gốc 20cm ≤ Φ &lt; 30cm</v>
          </cell>
        </row>
        <row r="352">
          <cell r="A352" t="str">
            <v>Cây chay đường kính gốc 30cm ≤ Φ &lt; 50cm</v>
          </cell>
        </row>
        <row r="353">
          <cell r="A353" t="str">
            <v>Cây chay đường kính gốc Φ ≥ 50cm</v>
          </cell>
        </row>
        <row r="354">
          <cell r="A354" t="str">
            <v xml:space="preserve">Khế (tính theo đường kính gốc F) </v>
          </cell>
        </row>
        <row r="355">
          <cell r="A355" t="str">
            <v>Cây giống đủ tiêu chuẩn mới trồng</v>
          </cell>
        </row>
        <row r="356">
          <cell r="A356" t="str">
            <v xml:space="preserve">Cây khế loại cây ghép có chiều cao cây 40cm ≤ H &lt; 1m  </v>
          </cell>
        </row>
        <row r="357">
          <cell r="A357" t="str">
            <v xml:space="preserve">Cây khế loại cây ghép có chiều cao cây  H ≥ 1m  </v>
          </cell>
        </row>
        <row r="358">
          <cell r="A358" t="str">
            <v>Cây khế đường kính gốc 1cm ≤ Φ &lt; 2cm</v>
          </cell>
        </row>
        <row r="359">
          <cell r="A359" t="str">
            <v>Cây khế đường kính gốc 2cm ≤ Φ &lt; 5cm</v>
          </cell>
        </row>
        <row r="360">
          <cell r="A360" t="str">
            <v>Cây khế đường kính gốc 5cm ≤ Φ &lt; 7cm</v>
          </cell>
        </row>
        <row r="361">
          <cell r="A361" t="str">
            <v>Cây khế đường kính gốc 7cm ≤ Φ &lt; 9cm</v>
          </cell>
        </row>
        <row r="362">
          <cell r="A362" t="str">
            <v>Cây khế đường kính gốc 9cm ≤ Φ &lt; 12cm</v>
          </cell>
        </row>
        <row r="363">
          <cell r="A363" t="str">
            <v>Cây khế đường kính gốc 12cm ≤ Φ &lt; 15cm</v>
          </cell>
        </row>
        <row r="364">
          <cell r="A364" t="str">
            <v>Cây khế đường kính gốc 15cm ≤ Φ &lt; 20cm</v>
          </cell>
        </row>
        <row r="365">
          <cell r="A365" t="str">
            <v>Cây khế đường kính gốc 20cm ≤ Φ &lt; 25cm</v>
          </cell>
        </row>
        <row r="366">
          <cell r="A366" t="str">
            <v>Cây khế đường kính gốc  Φ ≥ 25cm</v>
          </cell>
        </row>
        <row r="367">
          <cell r="A367" t="str">
            <v xml:space="preserve">Me (tính theo đường kính gốc F) </v>
          </cell>
        </row>
        <row r="368">
          <cell r="A368" t="str">
            <v xml:space="preserve">Cây me giống đủ tiêu chuẩn mới trồng, chiều cao cây H ≥ 40cm </v>
          </cell>
        </row>
        <row r="369">
          <cell r="A369" t="str">
            <v>Cây me đường kính gốc 1cm ≤ Φ &lt; 2cm</v>
          </cell>
        </row>
        <row r="370">
          <cell r="A370" t="str">
            <v>Cây me đường kính gốc 2cm ≤ Φ &lt; 5cm</v>
          </cell>
        </row>
        <row r="371">
          <cell r="A371" t="str">
            <v>Cây me đường kính gốc 5cm ≤ Φ &lt; 7cm</v>
          </cell>
        </row>
        <row r="372">
          <cell r="A372" t="str">
            <v>Cây me đường kính gốc 7cm ≤ Φ &lt; 9cm</v>
          </cell>
        </row>
        <row r="373">
          <cell r="A373" t="str">
            <v>Cây me đường kính gốc 9cm ≤ Φ &lt; 12cm</v>
          </cell>
        </row>
        <row r="374">
          <cell r="A374" t="str">
            <v>Cây me đường kính gốc 12cm ≤ Φ &lt; 15cm</v>
          </cell>
        </row>
        <row r="375">
          <cell r="A375" t="str">
            <v>Cây me đường kính gốc 15cm ≤ Φ &lt; 20cm</v>
          </cell>
        </row>
        <row r="376">
          <cell r="A376" t="str">
            <v>Cây me đường kính gốc 20cm ≤ Φ &lt; 25cm</v>
          </cell>
        </row>
        <row r="377">
          <cell r="A377" t="str">
            <v>Cây me đường kính gốc 25cm ≤ Φ &lt; 30cm</v>
          </cell>
        </row>
        <row r="378">
          <cell r="A378" t="str">
            <v>Cây me đường kính gốc 30cm ≤ Φ &lt; 35cm</v>
          </cell>
        </row>
        <row r="379">
          <cell r="A379" t="str">
            <v>Cây me đường kính gốc 35cm ≤ Φ &lt; 50cm</v>
          </cell>
        </row>
        <row r="380">
          <cell r="A380" t="str">
            <v>Cây me đường kính gốc Φ ≥ 50cm</v>
          </cell>
        </row>
        <row r="381">
          <cell r="A381" t="str">
            <v>Mơ, mận (tính theo đường kính gốc F)</v>
          </cell>
        </row>
        <row r="382">
          <cell r="A382" t="str">
            <v>Cây mơ, mận giống đủ tiêu chuẩn mới trồng, chiều cao cây H ≥ 40cm</v>
          </cell>
        </row>
        <row r="383">
          <cell r="A383" t="str">
            <v>Cây mơ, mận đường kính gốc 1cm ≤ Φ &lt; 2cm</v>
          </cell>
        </row>
        <row r="384">
          <cell r="A384" t="str">
            <v>Cây mơ, mận đường kính gốc 2cm ≤ Φ &lt; 5cm</v>
          </cell>
        </row>
        <row r="385">
          <cell r="A385" t="str">
            <v>Cây mơ, mận đường kính gốc 5cm ≤ Φ &lt; 7cm</v>
          </cell>
        </row>
        <row r="386">
          <cell r="A386" t="str">
            <v>Cây mơ, mận đường kính gốc 7cm ≤ Φ &lt; 9cm</v>
          </cell>
        </row>
        <row r="387">
          <cell r="A387" t="str">
            <v>Cây mơ, mận đường kính gốc 9cm ≤ Φ &lt; 12cm</v>
          </cell>
        </row>
        <row r="388">
          <cell r="A388" t="str">
            <v>Cây mơ, mận đường kính gốc 12cm ≤ Φ &lt; 15cm</v>
          </cell>
        </row>
        <row r="389">
          <cell r="A389" t="str">
            <v>Cây mơ, mận đường kính gốc 15cm ≤ Φ &lt; 20cm</v>
          </cell>
        </row>
        <row r="390">
          <cell r="A390" t="str">
            <v>Cây mơ, mận đường kính gốc 20cm ≤ Φ &lt; 25cm</v>
          </cell>
        </row>
        <row r="391">
          <cell r="A391" t="str">
            <v>Cây mơ, mận đường kính gốc Φ ≥ 25cm</v>
          </cell>
        </row>
        <row r="392">
          <cell r="A392" t="str">
            <v xml:space="preserve">Cau ăn quả (tính theo đường kính gốc F) </v>
          </cell>
        </row>
        <row r="393">
          <cell r="A393" t="str">
            <v>Cây cau giống đủ tiêu chuẩn mới trồng, chiều cao cây H ≥ 40cm</v>
          </cell>
        </row>
        <row r="394">
          <cell r="A394" t="str">
            <v>Cây cau đường kính gốc 1cm ≤ Φ &lt; 2cm</v>
          </cell>
        </row>
        <row r="395">
          <cell r="A395" t="str">
            <v>Cây cau đường kính gốc 2cm ≤ Φ &lt; 5cm</v>
          </cell>
        </row>
        <row r="396">
          <cell r="A396" t="str">
            <v>Cây cau đường kính gốc 5cm ≤ Φ &lt; 7cm</v>
          </cell>
        </row>
        <row r="397">
          <cell r="A397" t="str">
            <v>Cây cau đường kính gốc 7cm ≤ Φ &lt; 9cm</v>
          </cell>
        </row>
        <row r="398">
          <cell r="A398" t="str">
            <v>Cây cau đường kính gốc 9cm ≤ Φ &lt; 12cm</v>
          </cell>
        </row>
        <row r="399">
          <cell r="A399" t="str">
            <v>Cây cau đường kính gốc 12cm ≤ Φ &lt; 15cm</v>
          </cell>
        </row>
        <row r="400">
          <cell r="A400" t="str">
            <v>Cây cau đường kính gốc 15cm ≤ Φ &lt; 20cm</v>
          </cell>
        </row>
        <row r="401">
          <cell r="A401" t="str">
            <v>Cây cau đường kính gốc Φ ≥ 20cm</v>
          </cell>
        </row>
        <row r="402">
          <cell r="A402" t="str">
            <v xml:space="preserve">Vú sữa (tính theo đường kính gốc F) </v>
          </cell>
        </row>
        <row r="403">
          <cell r="A403" t="str">
            <v>Cây vú sữa giống đủ tiêu chuẩn mới trồng, chiều cao cây H ≥ 40cm</v>
          </cell>
        </row>
        <row r="404">
          <cell r="A404" t="str">
            <v>Cây vú sữa đường kính gốc 1cm ≤ Φ &lt; 2cm</v>
          </cell>
        </row>
        <row r="405">
          <cell r="A405" t="str">
            <v>Cây vú sữa đường kính gốc 2cm ≤ Φ &lt; 5cm</v>
          </cell>
        </row>
        <row r="406">
          <cell r="A406" t="str">
            <v>Cây vú sữa đường kính gốc 5cm ≤ Φ &lt; 7cm</v>
          </cell>
        </row>
        <row r="407">
          <cell r="A407" t="str">
            <v>Cây vú sữa đường kính gốc 7cm ≤ Φ &lt; 9cm</v>
          </cell>
        </row>
        <row r="408">
          <cell r="A408" t="str">
            <v>Cây vú sữa đường kính gốc 9cm ≤ Φ &lt; 12cm</v>
          </cell>
        </row>
        <row r="409">
          <cell r="A409" t="str">
            <v>Cây vú sữa đường kính gốc 12cm ≤ Φ &lt; 15cm</v>
          </cell>
        </row>
        <row r="410">
          <cell r="A410" t="str">
            <v>Cây vú sữa đường kính gốc 15cm ≤ Φ &lt; 20cm</v>
          </cell>
        </row>
        <row r="411">
          <cell r="A411" t="str">
            <v>Cây vú sữa đường kính gốc 20cm ≤ Φ &lt; 25cm</v>
          </cell>
        </row>
        <row r="412">
          <cell r="A412" t="str">
            <v>Cây vú sữa đường kính gốc 25cm ≤ Φ &lt; 30cm</v>
          </cell>
        </row>
        <row r="413">
          <cell r="A413" t="str">
            <v>Cây vú sữa đường kính gốc 30cm ≤ Φ &lt; 35cm</v>
          </cell>
        </row>
        <row r="414">
          <cell r="A414" t="str">
            <v>Cây vú sữa đường kính gốc 35cm ≤ Φ &lt; 50cm</v>
          </cell>
        </row>
        <row r="415">
          <cell r="A415" t="str">
            <v>Cây vú sữa đường kính gốc Φ ≥ 50cm</v>
          </cell>
        </row>
        <row r="416">
          <cell r="A416" t="str">
            <v>Đu đủ (tính theo đường kính gốc F)</v>
          </cell>
        </row>
        <row r="417">
          <cell r="A417" t="str">
            <v xml:space="preserve">Cây đu đủ giống đủ tiêu chuẩn mới trồng, chiều cao cây H ≥ 40cm </v>
          </cell>
        </row>
        <row r="418">
          <cell r="A418" t="str">
            <v>Cây đu đủ đường kính gốc 2cm ≤ Φ &lt; 5cm</v>
          </cell>
        </row>
        <row r="419">
          <cell r="A419" t="str">
            <v>Cây đu đủ đường kính gốc 5cm ≤ Φ &lt; 9cm</v>
          </cell>
        </row>
        <row r="420">
          <cell r="A420" t="str">
            <v>Cây đu đủ đường kính gốc 9cm ≤ Φ &lt; 12cm</v>
          </cell>
        </row>
        <row r="421">
          <cell r="A421" t="str">
            <v>Cây đu đủ đường kính gốc 12cm ≤ Φ &lt; 15cm</v>
          </cell>
        </row>
        <row r="422">
          <cell r="A422" t="str">
            <v>Cây đu đủ đường kính gốc 15cm ≤ Φ &lt; 20cm</v>
          </cell>
        </row>
        <row r="423">
          <cell r="A423" t="str">
            <v>Cây đu đủ đường kính gốc Φ ≥ 20cm</v>
          </cell>
        </row>
        <row r="424">
          <cell r="A424" t="str">
            <v xml:space="preserve">Roi (tính theo đường kính tán F) </v>
          </cell>
        </row>
        <row r="425">
          <cell r="A425" t="str">
            <v>Cây roi giống đủ tiêu chuẩn mới trồng</v>
          </cell>
        </row>
        <row r="426">
          <cell r="A426" t="str">
            <v>Cây roi đường kính tán 0,7m ≤ Φ &lt; 1m</v>
          </cell>
        </row>
        <row r="427">
          <cell r="A427" t="str">
            <v>Cây roi đường kính tán 1m ≤ Φ &lt; 1,5m</v>
          </cell>
        </row>
        <row r="428">
          <cell r="A428" t="str">
            <v>Cây roi đường kính tán 1,5m ≤ Φ &lt; 2m</v>
          </cell>
        </row>
        <row r="429">
          <cell r="A429" t="str">
            <v>Cây roi đường kính tán 2m ≤ Φ &lt; 3m</v>
          </cell>
        </row>
        <row r="430">
          <cell r="A430" t="str">
            <v>Cây roi đường kính tán 3m ≤ Φ &lt; 4m</v>
          </cell>
        </row>
        <row r="431">
          <cell r="A431" t="str">
            <v>Cây roi đường kính tán 4m ≤ Φ &lt; 5m</v>
          </cell>
        </row>
        <row r="432">
          <cell r="A432" t="str">
            <v>Cây roi đường kính tán 5m ≤ Φ &lt; 6m</v>
          </cell>
        </row>
        <row r="433">
          <cell r="A433" t="str">
            <v>Cây roi đường kính tán 6m ≤ Φ &lt; 7m</v>
          </cell>
        </row>
        <row r="434">
          <cell r="A434" t="str">
            <v>Cây roi đường kính tán 7m ≤ Φ &lt; 8m</v>
          </cell>
        </row>
        <row r="435">
          <cell r="A435" t="str">
            <v>Cây roi đường kính tán 8m ≤ Φ &lt; 9m</v>
          </cell>
        </row>
        <row r="436">
          <cell r="A436" t="str">
            <v>Cây roi đường kính tán 9m ≤ Φ &lt; 12m</v>
          </cell>
        </row>
        <row r="437">
          <cell r="A437" t="str">
            <v>Cây roi đường kính tán Φ ≥ 12m</v>
          </cell>
        </row>
        <row r="438">
          <cell r="A438" t="str">
            <v>Sấu (tính theo đường kính gốc F)</v>
          </cell>
        </row>
        <row r="439">
          <cell r="A439" t="str">
            <v>Cây sấu giống đủ tiêu chuẩn mới trồng, chiều cao cây H ≥ 40cm</v>
          </cell>
        </row>
        <row r="440">
          <cell r="A440" t="str">
            <v>Cây sấu đường kính gốc 1cm ≤ Φ &lt; 2cm</v>
          </cell>
        </row>
        <row r="441">
          <cell r="A441" t="str">
            <v>Cây sấu đường kính gốc 2cm ≤ Φ &lt; 5cm</v>
          </cell>
        </row>
        <row r="442">
          <cell r="A442" t="str">
            <v>Cây sấu đường kính gốc 5cm ≤ Φ &lt; 7cm</v>
          </cell>
        </row>
        <row r="443">
          <cell r="A443" t="str">
            <v>Cây sấu đường kính gốc 7cm ≤ Φ &lt; 9cm</v>
          </cell>
        </row>
        <row r="444">
          <cell r="A444" t="str">
            <v>Cây sấu đường kính gốc 9cm ≤ Φ &lt; 12cm</v>
          </cell>
        </row>
        <row r="445">
          <cell r="A445" t="str">
            <v>Cây sấu đường kính gốc 12cm ≤ Φ &lt; 15cm</v>
          </cell>
        </row>
        <row r="446">
          <cell r="A446" t="str">
            <v>Cây sấu đường kính gốc 15cm ≤ Φ &lt; 20cm</v>
          </cell>
        </row>
        <row r="447">
          <cell r="A447" t="str">
            <v>Cây sấu đường kính gốc 20cm ≤ Φ &lt; 25cm</v>
          </cell>
        </row>
        <row r="448">
          <cell r="A448" t="str">
            <v>Cây sấu đường kính gốc 25cm ≤ Φ &lt; 30cm</v>
          </cell>
        </row>
        <row r="449">
          <cell r="A449" t="str">
            <v>Cây sấu đường kính gốc 30cm ≤ Φ &lt; 35cm</v>
          </cell>
        </row>
        <row r="450">
          <cell r="A450" t="str">
            <v>Cây sấu đường kính gốc 35cm ≤ Φ &lt; 50cm</v>
          </cell>
        </row>
        <row r="451">
          <cell r="A451" t="str">
            <v>Cây sấu đường kính gốc Φ ≥ 50cm</v>
          </cell>
        </row>
        <row r="452">
          <cell r="A452" t="str">
            <v>Trứng cá (tính theo đường kính gốc F)</v>
          </cell>
        </row>
        <row r="453">
          <cell r="A453" t="str">
            <v>Cây trứng cá giống đủ tiêu chuẩn mới trồng, chiều cao cây H ≥ 40cm</v>
          </cell>
        </row>
        <row r="454">
          <cell r="A454" t="str">
            <v xml:space="preserve">Cây trứng cá đường kính gốc 1cm ≤ Φ &lt; 2cm </v>
          </cell>
        </row>
        <row r="455">
          <cell r="A455" t="str">
            <v>Cây trứng cá đường kính gốc 2cm ≤ Φ &lt; 5cm</v>
          </cell>
        </row>
        <row r="456">
          <cell r="A456" t="str">
            <v>Cây trứng cá đường kính gốc 5cm ≤ Φ &lt; 7cm</v>
          </cell>
        </row>
        <row r="457">
          <cell r="A457" t="str">
            <v>Cây trứng cá đường kính gốc 7cm ≤ Φ &lt; 9cm</v>
          </cell>
        </row>
        <row r="458">
          <cell r="A458" t="str">
            <v>Cây trứng cá đường kính gốc 9cm ≤ Φ &lt; 12cm</v>
          </cell>
        </row>
        <row r="459">
          <cell r="A459" t="str">
            <v>Cây trứng cá đường kính gốc 12cm ≤ Φ &lt; 15cm</v>
          </cell>
        </row>
        <row r="460">
          <cell r="A460" t="str">
            <v>Cây trứng cá đường kính gốc 15cm ≤ Φ &lt; 20cm</v>
          </cell>
        </row>
        <row r="461">
          <cell r="A461" t="str">
            <v>Cây trứng cá đường kính gốc 20cm ≤ Φ &lt; 25cm</v>
          </cell>
        </row>
        <row r="462">
          <cell r="A462" t="str">
            <v>Cây trứng cá đường kính gốc 25cm ≤ Φ &lt; 30cm</v>
          </cell>
        </row>
        <row r="463">
          <cell r="A463" t="str">
            <v>Cây trứng cá đường kính gốc 30cm ≤ Φ &lt; 35cm</v>
          </cell>
        </row>
        <row r="464">
          <cell r="A464" t="str">
            <v>Cây trứng cá đường kính gốc Φ ≥ 35cm</v>
          </cell>
        </row>
        <row r="465">
          <cell r="A465" t="str">
            <v>Sung (tính theo đường kính gốc F)</v>
          </cell>
        </row>
        <row r="466">
          <cell r="A466" t="str">
            <v xml:space="preserve">Cây sung giống đủ tiêu chuẩn mới trồng, chiều cao cây H ≥ 40cm  </v>
          </cell>
        </row>
        <row r="467">
          <cell r="A467" t="str">
            <v>Cây sung đường kính gốc 1cm ≤ Φ &lt; 5cm</v>
          </cell>
        </row>
        <row r="468">
          <cell r="A468" t="str">
            <v>Cây sung đường kính gốc 5cm ≤ Φ &lt; 10cm</v>
          </cell>
        </row>
        <row r="469">
          <cell r="A469" t="str">
            <v xml:space="preserve">Cây sung đường kính gốc 10cm ≤ Φ &lt; 15cm  </v>
          </cell>
        </row>
        <row r="470">
          <cell r="A470" t="str">
            <v>Cây sung đường kính gốc 15cm ≤ Φ &lt; 20cm</v>
          </cell>
        </row>
        <row r="471">
          <cell r="A471" t="str">
            <v>Cây sung đường kính gốc 20cm ≤ Φ &lt; 25cm</v>
          </cell>
        </row>
        <row r="472">
          <cell r="A472" t="str">
            <v>Cây sung đường kính gốc 25cm ≤ Φ &lt; 30cm</v>
          </cell>
        </row>
        <row r="473">
          <cell r="A473" t="str">
            <v>Cây sung đường kính gốc 30cm ≤ Φ &lt; 35cm</v>
          </cell>
        </row>
        <row r="474">
          <cell r="A474" t="str">
            <v>Cây sung đường kính gốc 35cm ≤ Φ &lt; 50cm</v>
          </cell>
        </row>
        <row r="475">
          <cell r="A475" t="str">
            <v>Cây sung đường kính gốc Φ ≥ 50cm</v>
          </cell>
        </row>
        <row r="476">
          <cell r="A476" t="str">
            <v>Vối (tính theo đường kính gốc F)</v>
          </cell>
        </row>
        <row r="477">
          <cell r="A477" t="str">
            <v>Cây vối giống đủ tiêu chuẩn mới trồng, chiều cao cây H ≥ 40cm</v>
          </cell>
        </row>
        <row r="478">
          <cell r="A478" t="str">
            <v>Cây vối đường kính gốc 1cm ≤ Φ &lt; 5cm</v>
          </cell>
        </row>
        <row r="479">
          <cell r="A479" t="str">
            <v>Cây vối đường kính gốc 5cm ≤ Φ &lt; 10cm</v>
          </cell>
        </row>
        <row r="480">
          <cell r="A480" t="str">
            <v>Cây vối đường kính gốc 10cm ≤ Φ &lt; 15cm</v>
          </cell>
        </row>
        <row r="481">
          <cell r="A481" t="str">
            <v>Cây vối đường kính gốc 15cm ≤ Φ &lt; 20cm</v>
          </cell>
        </row>
        <row r="482">
          <cell r="A482" t="str">
            <v>Cây vối đường kính gốc 20cm ≤ Φ &lt; 25cm</v>
          </cell>
        </row>
        <row r="483">
          <cell r="A483" t="str">
            <v>Cây vối đường kính gốc 25cm ≤ Φ &lt; 30cm</v>
          </cell>
        </row>
        <row r="484">
          <cell r="A484" t="str">
            <v>Cây vối đường kính gốc 30cm ≤ Φ &lt; 35cm</v>
          </cell>
        </row>
        <row r="485">
          <cell r="A485" t="str">
            <v>Cây vối đường kính gốc 35cm ≤ Φ &lt; 50cm</v>
          </cell>
        </row>
        <row r="486">
          <cell r="A486" t="str">
            <v>Cây vối đường kính gốc F ³ 50cm</v>
          </cell>
        </row>
        <row r="487">
          <cell r="A487" t="str">
            <v>Cây Mãng cầu</v>
          </cell>
        </row>
        <row r="488">
          <cell r="A488" t="str">
            <v>Cây mãng cầu mới trồng &lt; 01 năm (cây từ hạt)</v>
          </cell>
        </row>
        <row r="489">
          <cell r="A489" t="str">
            <v>Cây mãng cầu mới trồng &lt; 01 năm (cây ghép)</v>
          </cell>
        </row>
        <row r="490">
          <cell r="A490" t="str">
            <v>Cây mãng cầu trồng ≥ 01 năm, chiều cao thân cây &lt; 1m chưa có quả</v>
          </cell>
        </row>
        <row r="491">
          <cell r="A491" t="str">
            <v>Cây mãng cầu có chiều cao thân cây ≥ 1m chưa có quả</v>
          </cell>
        </row>
        <row r="492">
          <cell r="A492" t="str">
            <v>Cây mãng cầu đã có quả</v>
          </cell>
        </row>
        <row r="493">
          <cell r="A493" t="str">
            <v>Cây mãng cầu có quả kém, già cỗi (hỗ trợ công chặt)</v>
          </cell>
        </row>
        <row r="494">
          <cell r="A494" t="str">
            <v>Cây Bơ </v>
          </cell>
        </row>
        <row r="495">
          <cell r="A495" t="str">
            <v>Cây bơ mới trồng &lt; 01 năm (cây từ hạt)</v>
          </cell>
        </row>
        <row r="496">
          <cell r="A496" t="str">
            <v>Cây bơ mới trồng &lt; 01 năm (cây ghép)</v>
          </cell>
        </row>
        <row r="497">
          <cell r="A497" t="str">
            <v>Cây bơ trồng ≥ 01 năm, chiều cao thân cây &lt; 1m chưa có quả</v>
          </cell>
        </row>
        <row r="498">
          <cell r="A498" t="str">
            <v>Cây bơ có chiều cao thân cây ≥ 1m chưa có quả</v>
          </cell>
        </row>
        <row r="499">
          <cell r="A499" t="str">
            <v>Cây bơ có quả đường kính gốc &lt; 20cm</v>
          </cell>
        </row>
        <row r="500">
          <cell r="A500" t="str">
            <v>Cây bơ có quả tốt đường kính gốc từ 20cm đến 40cm</v>
          </cell>
        </row>
        <row r="501">
          <cell r="A501" t="str">
            <v>Cây bơ có quả đường kính gốc &gt; 40cm</v>
          </cell>
        </row>
        <row r="502">
          <cell r="A502" t="str">
            <v>Cây bơ có quả kém, già cỗi (hỗ trợ công chặt)</v>
          </cell>
        </row>
        <row r="503">
          <cell r="A503" t="str">
            <v>Cây Sầu riêng</v>
          </cell>
        </row>
        <row r="504">
          <cell r="A504" t="str">
            <v>Cây sầu riêng mới trồng &lt; 01 năm (cây từ hạt)</v>
          </cell>
        </row>
        <row r="505">
          <cell r="A505" t="str">
            <v>Cây sầu riêng mới trồng &lt; 01 năm (cây ghép)</v>
          </cell>
        </row>
        <row r="506">
          <cell r="A506" t="str">
            <v>Cây sầu riêng trồng ≥ 01 năm, chiều cao thân cây &lt; 1m chưa có quả</v>
          </cell>
        </row>
        <row r="507">
          <cell r="A507" t="str">
            <v>Cây sầu riêng trồng có chiều cao thân cây từ ≥ 1m chưa có quả</v>
          </cell>
        </row>
        <row r="508">
          <cell r="A508" t="str">
            <v>Cây sầu riêng có quả đường kính gốc &lt; 20cm</v>
          </cell>
        </row>
        <row r="509">
          <cell r="A509" t="str">
            <v>Cây sầu riêng có quả tốt đường kính gốc ≥ 20cm đến &lt; 45cm</v>
          </cell>
        </row>
        <row r="510">
          <cell r="A510" t="str">
            <v>Cây sầu riêng có quả thu hoạch tốt đường kính gốc ≥ 45cm</v>
          </cell>
        </row>
        <row r="511">
          <cell r="A511" t="str">
            <v>Dứa ăn quả</v>
          </cell>
        </row>
        <row r="512">
          <cell r="A512" t="str">
            <v>Dứa quả cây giống</v>
          </cell>
        </row>
        <row r="513">
          <cell r="A513" t="str">
            <v>Dứa cây chưa ra quả</v>
          </cell>
        </row>
        <row r="514">
          <cell r="A514" t="str">
            <v xml:space="preserve">Dứa đang ra quả </v>
          </cell>
        </row>
        <row r="515">
          <cell r="A515" t="str">
            <v>Dứa khóm (tính theo khóm) có từ 4 cây trở lên</v>
          </cell>
        </row>
        <row r="516">
          <cell r="A516" t="str">
            <v>Chuối (tính theo đường kính gốc Φ)</v>
          </cell>
        </row>
        <row r="517">
          <cell r="A517" t="str">
            <v>Cây chuối có đường kính gốc Φ &lt; 15cm</v>
          </cell>
        </row>
        <row r="518">
          <cell r="A518" t="str">
            <v>Cây chuối có đường kính gốc Φ ≥ 15cm (chưa có buồng)</v>
          </cell>
        </row>
        <row r="519">
          <cell r="A519" t="str">
            <v>Chuối có buồng non chưa thu hoạch</v>
          </cell>
        </row>
        <row r="520">
          <cell r="A520" t="str">
            <v>Nhót, nho</v>
          </cell>
        </row>
        <row r="521">
          <cell r="A521" t="str">
            <v>Cây nhót, nho giống</v>
          </cell>
        </row>
        <row r="522">
          <cell r="A522" t="str">
            <v>Cây nhót, nho đã phát triển (tính theo diện tích giàn)</v>
          </cell>
        </row>
        <row r="523">
          <cell r="A523" t="str">
            <v>Gấc</v>
          </cell>
        </row>
        <row r="524">
          <cell r="A524" t="str">
            <v xml:space="preserve">Gấc tính theo m2 giàn </v>
          </cell>
        </row>
        <row r="525">
          <cell r="A525" t="str">
            <v>Gấc tính theo khóm gốc</v>
          </cell>
        </row>
        <row r="526">
          <cell r="A526" t="str">
            <v xml:space="preserve">Cây gấc chiều dài dây leo L &lt; 3m </v>
          </cell>
        </row>
        <row r="527">
          <cell r="A527" t="str">
            <v xml:space="preserve">Cây gấc chiều dài dây leo 3m ≤ L &lt; 10m </v>
          </cell>
        </row>
        <row r="528">
          <cell r="A528" t="str">
            <v xml:space="preserve">Cây gấc chiều dài dây leo L ≥ 10m </v>
          </cell>
        </row>
        <row r="529">
          <cell r="A529" t="str">
            <v xml:space="preserve">Lựu (tính theo đường kính gốc F) </v>
          </cell>
        </row>
        <row r="530">
          <cell r="A530" t="str">
            <v>Cây lựu mới trồng, chiều cao cây  H ≥ 40cm</v>
          </cell>
        </row>
        <row r="531">
          <cell r="A531" t="str">
            <v>Cây lựu đường kính gốc 1cm ≤ Φ &lt; 2cm</v>
          </cell>
        </row>
        <row r="532">
          <cell r="A532" t="str">
            <v>Cây lựu đường kính gốc 2cm ≤ Φ &lt; 5cm</v>
          </cell>
        </row>
        <row r="533">
          <cell r="A533" t="str">
            <v>Cây lựu đường kính gốc 5cm ≤ Φ &lt; 7cm</v>
          </cell>
        </row>
        <row r="534">
          <cell r="A534" t="str">
            <v>Cây lựu đường kính gốc 7cm ≤ Φ &lt; 9cm</v>
          </cell>
        </row>
        <row r="535">
          <cell r="A535" t="str">
            <v>Cây lựu đường kính gốc 9cm ≤ Φ &lt; 12cm</v>
          </cell>
        </row>
        <row r="536">
          <cell r="A536" t="str">
            <v xml:space="preserve">Cây lựu đường kính gốc 12cm ≤ Φ &lt; 15cm </v>
          </cell>
        </row>
        <row r="537">
          <cell r="A537" t="str">
            <v xml:space="preserve">Cây lựu đường kính gốc 15cm ≤ Φ &lt; 20cm </v>
          </cell>
        </row>
        <row r="538">
          <cell r="A538" t="str">
            <v xml:space="preserve">Cây lựu đường kính gốc Φ ≥ 20cm </v>
          </cell>
        </row>
        <row r="539">
          <cell r="A539" t="str">
            <v>CÂY LẤY GỖ</v>
          </cell>
        </row>
        <row r="540">
          <cell r="A540" t="str">
            <v>Bạch đàn, phi lao, keo (tính theo đường kính gốc F)</v>
          </cell>
        </row>
        <row r="541">
          <cell r="A541" t="str">
            <v>Cây keo giống đủ tiêu chuẩn mới trồng, chiều cao cây H ≥ 40cm</v>
          </cell>
        </row>
        <row r="542">
          <cell r="A542" t="str">
            <v>Cây keo đường kính gốc 1cm ≤ Φ &lt; 2cm</v>
          </cell>
        </row>
        <row r="543">
          <cell r="A543" t="str">
            <v>Cây keo đường kính gốc 2cm ≤ Φ &lt; 5cm</v>
          </cell>
        </row>
        <row r="544">
          <cell r="A544" t="str">
            <v>Cây keo đường kính gốc 5cm ≤ Φ &lt; 10cm</v>
          </cell>
        </row>
        <row r="545">
          <cell r="A545" t="str">
            <v>Cây keo đường kính gốc 10cm ≤ Φ &lt; 15cm</v>
          </cell>
        </row>
        <row r="546">
          <cell r="A546" t="str">
            <v>Cây keo đường kính gốc 15cm ≤ Φ &lt; 20cm</v>
          </cell>
        </row>
        <row r="547">
          <cell r="A547" t="str">
            <v>Cây keo đường kính gốc 20cm ≤ Φ &lt; 25cm</v>
          </cell>
        </row>
        <row r="548">
          <cell r="A548" t="str">
            <v>Cây keo đường kính gốc 25cm ≤ Φ &lt; 30cm</v>
          </cell>
        </row>
        <row r="549">
          <cell r="A549" t="str">
            <v>Cây keo đường kính gốc 30cm ≤ Φ &lt; 35cm</v>
          </cell>
        </row>
        <row r="550">
          <cell r="A550" t="str">
            <v>Cây keo đường kính gốc 35cm ≤ Φ &lt; 50cm</v>
          </cell>
        </row>
        <row r="551">
          <cell r="A551" t="str">
            <v>Cây keo đường kính gốc Φ ≥ 50cm (chi phí chặt hạ)</v>
          </cell>
        </row>
        <row r="552">
          <cell r="A552" t="str">
            <v>Cây bạch đàn giống đủ tiêu chuẩn mới trồng, chiều cao cây H ≥ 40cm</v>
          </cell>
        </row>
        <row r="553">
          <cell r="A553" t="str">
            <v>Cây bạch đàn đường kính gốc 1cm ≤ Φ &lt; 2cm</v>
          </cell>
        </row>
        <row r="554">
          <cell r="A554" t="str">
            <v>Cây bạch đàn đường kính gốc 2cm ≤ Φ &lt; 5cm</v>
          </cell>
        </row>
        <row r="555">
          <cell r="A555" t="str">
            <v>Cây bạch đàn đường kính gốc 5cm ≤ Φ &lt; 10cm</v>
          </cell>
        </row>
        <row r="556">
          <cell r="A556" t="str">
            <v>Cây bạch đàn đường kính gốc 10cm ≤ Φ &lt; 15cm</v>
          </cell>
        </row>
        <row r="557">
          <cell r="A557" t="str">
            <v>Cây bạch đàn đường kính gốc 15cm ≤ Φ &lt; 20cm</v>
          </cell>
        </row>
        <row r="558">
          <cell r="A558" t="str">
            <v>Cây bạch đàn đường kính gốc 20cm ≤ Φ &lt; 25cm</v>
          </cell>
        </row>
        <row r="559">
          <cell r="A559" t="str">
            <v>Cây bạch đàn đường kính gốc 25cm ≤ Φ &lt; 30cm</v>
          </cell>
        </row>
        <row r="560">
          <cell r="A560" t="str">
            <v>Cây bạch đàn đường kính gốc 30cm ≤ Φ &lt; 35cm</v>
          </cell>
        </row>
        <row r="561">
          <cell r="A561" t="str">
            <v>Cây bạch đàn đường kính gốc 35cm ≤ Φ &lt; 50cm</v>
          </cell>
        </row>
        <row r="562">
          <cell r="A562" t="str">
            <v>Cây bạch đàn đường kính gốc Φ ≥ 50cm (chi phí chặt hạ)</v>
          </cell>
        </row>
        <row r="563">
          <cell r="A563" t="str">
            <v>Cây phi lao giống đủ tiêu chuẩn mới trồng, chiều cao cây H ≥ 40cm</v>
          </cell>
        </row>
        <row r="564">
          <cell r="A564" t="str">
            <v>Cây phi lao đường kính gốc 1cm ≤ Φ &lt; 2cm</v>
          </cell>
        </row>
        <row r="565">
          <cell r="A565" t="str">
            <v>Cây phi lao đường kính gốc 2cm ≤ Φ &lt; 5cm</v>
          </cell>
        </row>
        <row r="566">
          <cell r="A566" t="str">
            <v>Cây phi lao đường kính gốc 5cm ≤ Φ &lt; 10cm</v>
          </cell>
        </row>
        <row r="567">
          <cell r="A567" t="str">
            <v>Cây phi lao đường kính gốc 10cm ≤ Φ &lt; 15cm</v>
          </cell>
        </row>
        <row r="568">
          <cell r="A568" t="str">
            <v>Cây phi lao đường kính gốc 15cm ≤ Φ &lt; 20cm</v>
          </cell>
        </row>
        <row r="569">
          <cell r="A569" t="str">
            <v>Cây phi lao đường kính gốc 20cm ≤ Φ &lt; 25cm</v>
          </cell>
        </row>
        <row r="570">
          <cell r="A570" t="str">
            <v>Cây phi lao đường kính gốc 25cm ≤ Φ &lt; 30cm</v>
          </cell>
        </row>
        <row r="571">
          <cell r="A571" t="str">
            <v>Cây phi lao đường kính gốc 30cm ≤ Φ &lt; 35cm</v>
          </cell>
        </row>
        <row r="572">
          <cell r="A572" t="str">
            <v>Cây phi lao đường kính gốc 35cm ≤ Φ &lt; 50cm</v>
          </cell>
        </row>
        <row r="573">
          <cell r="A573" t="str">
            <v>Cây phi lao đường kính gốc Φ ≥ 50cm (chi phí chặt hạ)</v>
          </cell>
        </row>
        <row r="574">
          <cell r="A574" t="str">
            <v xml:space="preserve">Xà cừ, thông (tính theo đường kính gốc F) </v>
          </cell>
        </row>
        <row r="575">
          <cell r="A575" t="str">
            <v>Cây xà cừ giống đủ tiêu chuẩn mới trồng, chiều cao cây H ≥ 40cm</v>
          </cell>
        </row>
        <row r="576">
          <cell r="A576" t="str">
            <v>Cây xà cừ đường kính gốc 1cm ≤ Φ &lt;  2cm</v>
          </cell>
        </row>
        <row r="577">
          <cell r="A577" t="str">
            <v>Cây xà cừ đường kính gốc 2cm ≤ Φ &lt;  5cm</v>
          </cell>
        </row>
        <row r="578">
          <cell r="A578" t="str">
            <v>Cây xà cừ đường kính gốc 5cm ≤ Φ &lt;  10cm</v>
          </cell>
        </row>
        <row r="579">
          <cell r="A579" t="str">
            <v>Cây xà cừ đường kính gốc 10cm ≤ Φ &lt; 15cm</v>
          </cell>
        </row>
        <row r="580">
          <cell r="A580" t="str">
            <v>Cây xà cừ đường kính gốc 15cm ≤ Φ &lt;  20cm</v>
          </cell>
        </row>
        <row r="581">
          <cell r="A581" t="str">
            <v>Cây xà cừ đường kính gốc 20cm ≤ Φ &lt;  25cm</v>
          </cell>
        </row>
        <row r="582">
          <cell r="A582" t="str">
            <v>Cây xà cừ đường kính gốc 25cm ≤ Φ &lt;  30cm</v>
          </cell>
        </row>
        <row r="583">
          <cell r="A583" t="str">
            <v xml:space="preserve">Cây xà cừ đường kính gốc 30cm ≤ Φ &lt;  35cm </v>
          </cell>
        </row>
        <row r="584">
          <cell r="A584" t="str">
            <v xml:space="preserve">Cây xà cừ đường kính gốc 35cm ≤ Φ &lt;  50cm </v>
          </cell>
        </row>
        <row r="585">
          <cell r="A585" t="str">
            <v>Cây xà cừ đường kính gốc Φ ≥ 50cm (chi phí chặt hạ)</v>
          </cell>
        </row>
        <row r="586">
          <cell r="A586" t="str">
            <v>Cây thông giống đủ tiêu chuẩn mới trồng, chiều cao cây H ≥ 40cm</v>
          </cell>
        </row>
        <row r="587">
          <cell r="A587" t="str">
            <v>Cây thông đường kính gốc 1cm ≤ Φ &lt;  2cm</v>
          </cell>
        </row>
        <row r="588">
          <cell r="A588" t="str">
            <v>Cây thông đường kính gốc 2cm ≤ Φ &lt;  5cm</v>
          </cell>
        </row>
        <row r="589">
          <cell r="A589" t="str">
            <v>Cây thông đường kính gốc 5cm ≤ Φ &lt;  10cm</v>
          </cell>
        </row>
        <row r="590">
          <cell r="A590" t="str">
            <v>Cây thông đường kính gốc 10cm ≤ Φ &lt; 15cm</v>
          </cell>
        </row>
        <row r="591">
          <cell r="A591" t="str">
            <v>Cây thông đường kính gốc 15cm ≤ Φ &lt;  20cm</v>
          </cell>
        </row>
        <row r="592">
          <cell r="A592" t="str">
            <v>Cây thông đường kính gốc 20cm ≤ Φ &lt;  25cm</v>
          </cell>
        </row>
        <row r="593">
          <cell r="A593" t="str">
            <v>Cây thông đường kính gốc 25cm ≤ Φ &lt;  30cm</v>
          </cell>
        </row>
        <row r="594">
          <cell r="A594" t="str">
            <v xml:space="preserve">Cây thông đường kính gốc 30cm ≤ Φ &lt;  35cm </v>
          </cell>
        </row>
        <row r="595">
          <cell r="A595" t="str">
            <v xml:space="preserve">Cây thông đường kính gốc 35cm ≤ Φ &lt;  50cm </v>
          </cell>
        </row>
        <row r="596">
          <cell r="A596" t="str">
            <v>Cây thông đường kính gốc Φ ≥ 50cm (chi phí chặt hạ)</v>
          </cell>
        </row>
        <row r="597">
          <cell r="A597" t="str">
            <v>Bàng, hoa sữa, bằng lăng, gạo, đa, phượng vĩ và các cây tương tự (tính theo đường kính gốc F)</v>
          </cell>
        </row>
        <row r="598">
          <cell r="A598" t="str">
            <v>Cây bàng giống đủ tiêu chuẩn mới trồng, chiều cao H ≥ 40cm</v>
          </cell>
        </row>
        <row r="599">
          <cell r="A599" t="str">
            <v>Cây bàng đường kính gốc 1cm ≤ Φ &lt; 3cm</v>
          </cell>
        </row>
        <row r="600">
          <cell r="A600" t="str">
            <v>Cây bàng đường kính gốc 3cm ≤ Φ &lt; 5cm</v>
          </cell>
        </row>
        <row r="601">
          <cell r="A601" t="str">
            <v>Cây bàng đường kính gốc 5cm ≤ Φ &lt; 10cm</v>
          </cell>
        </row>
        <row r="602">
          <cell r="A602" t="str">
            <v>Cây bàng đường kính gốc 10cm ≤ Φ &lt; 15cm</v>
          </cell>
        </row>
        <row r="603">
          <cell r="A603" t="str">
            <v>Cây bàng đường kính gốc 15cm ≤ Φ &lt; 20cm</v>
          </cell>
        </row>
        <row r="604">
          <cell r="A604" t="str">
            <v>Cây bàng đường kính gốc 20cm ≤ Φ &lt; 25cm</v>
          </cell>
        </row>
        <row r="605">
          <cell r="A605" t="str">
            <v>Cây bàng đường kính gốc 25cm ≤ Φ &lt; 30cm</v>
          </cell>
        </row>
        <row r="606">
          <cell r="A606" t="str">
            <v>Cây bàng đường kính gốc 30cm ≤ Φ &lt; 35cm</v>
          </cell>
        </row>
        <row r="607">
          <cell r="A607" t="str">
            <v>Cây bàng đường kính gốc 35cm ≤ Φ &lt; 50cm</v>
          </cell>
        </row>
        <row r="608">
          <cell r="A608" t="str">
            <v>Cây bàng đường kính gốc Φ ≥ 50cm (chi phí chặt hạ)</v>
          </cell>
        </row>
        <row r="609">
          <cell r="A609" t="str">
            <v>Cây hoa sữa giống đủ tiêu chuẩn mới trồng, chiều cao H ≥ 40cm</v>
          </cell>
        </row>
        <row r="610">
          <cell r="A610" t="str">
            <v>Cây hoa sữa đường kính gốc 1cm ≤ Φ &lt; 3cm</v>
          </cell>
        </row>
        <row r="611">
          <cell r="A611" t="str">
            <v>Cây hoa sữa đường kính gốc 3cm ≤ Φ &lt; 5cm</v>
          </cell>
        </row>
        <row r="612">
          <cell r="A612" t="str">
            <v>Cây hoa sữa đường kính gốc 5cm ≤ Φ &lt; 10cm</v>
          </cell>
        </row>
        <row r="613">
          <cell r="A613" t="str">
            <v>Cây hoa sữa đường kính gốc 10cm ≤ Φ &lt; 15cm</v>
          </cell>
        </row>
        <row r="614">
          <cell r="A614" t="str">
            <v>Cây hoa sữa đường kính gốc 15cm ≤ Φ &lt; 20cm</v>
          </cell>
        </row>
        <row r="615">
          <cell r="A615" t="str">
            <v>Cây hoa sữa đường kính gốc 20cm ≤ Φ &lt; 25cm</v>
          </cell>
        </row>
        <row r="616">
          <cell r="A616" t="str">
            <v>Cây hoa sữa đường kính gốc 25cm ≤ Φ &lt; 30cm</v>
          </cell>
        </row>
        <row r="617">
          <cell r="A617" t="str">
            <v>Cây hoa sữa đường kính gốc 30cm ≤ Φ &lt; 35cm</v>
          </cell>
        </row>
        <row r="618">
          <cell r="A618" t="str">
            <v>Cây hoa sữa đường kính gốc 35cm ≤ Φ &lt; 50cm</v>
          </cell>
        </row>
        <row r="619">
          <cell r="A619" t="str">
            <v>Cây hoa sữa đường kính gốc Φ ≥ 50cm (chi phí chặt hạ)</v>
          </cell>
        </row>
        <row r="620">
          <cell r="A620" t="str">
            <v>Cây bằng lăng giống đủ tiêu chuẩn mới trồng, chiều cao H ≥ 40cm</v>
          </cell>
        </row>
        <row r="621">
          <cell r="A621" t="str">
            <v>Cây bằng lăng đường kính gốc 1cm ≤ Φ &lt; 3cm</v>
          </cell>
        </row>
        <row r="622">
          <cell r="A622" t="str">
            <v>Cây bằng lăng đường kính gốc 3cm ≤ Φ &lt; 5cm</v>
          </cell>
        </row>
        <row r="623">
          <cell r="A623" t="str">
            <v>Cây bằng lăng đường kính gốc 5cm ≤ Φ &lt; 10cm</v>
          </cell>
        </row>
        <row r="624">
          <cell r="A624" t="str">
            <v>Cây bằng lăng đường kính gốc 10cm ≤ Φ &lt; 15cm</v>
          </cell>
        </row>
        <row r="625">
          <cell r="A625" t="str">
            <v>Cây bằng lăng đường kính gốc 15cm ≤ Φ &lt; 20cm</v>
          </cell>
        </row>
        <row r="626">
          <cell r="A626" t="str">
            <v>Cây bằng lăng đường kính gốc 20cm ≤ Φ &lt; 25cm</v>
          </cell>
        </row>
        <row r="627">
          <cell r="A627" t="str">
            <v>Cây bằng lăng đường kính gốc 25cm ≤ Φ &lt; 30cm</v>
          </cell>
        </row>
        <row r="628">
          <cell r="A628" t="str">
            <v>Cây bằng lăng đường kính gốc 30cm ≤ Φ &lt; 35cm</v>
          </cell>
        </row>
        <row r="629">
          <cell r="A629" t="str">
            <v>Cây bằng lăng đường kính gốc 35cm ≤ Φ &lt; 50cm</v>
          </cell>
        </row>
        <row r="630">
          <cell r="A630" t="str">
            <v>Cây bằng lăng đường kính gốc Φ ≥ 50cm (chi phí chặt hạ)</v>
          </cell>
        </row>
        <row r="631">
          <cell r="A631" t="str">
            <v>Cây gạo giống đủ tiêu chuẩn mới trồng, chiều cao H ≥ 40cm</v>
          </cell>
        </row>
        <row r="632">
          <cell r="A632" t="str">
            <v>Cây gạo đường kính gốc 1cm ≤ Φ &lt; 3cm</v>
          </cell>
        </row>
        <row r="633">
          <cell r="A633" t="str">
            <v>Cây gạo đường kính gốc 3cm ≤ Φ &lt; 5cm</v>
          </cell>
        </row>
        <row r="634">
          <cell r="A634" t="str">
            <v>Cây gạo đường kính gốc 5cm ≤ Φ &lt; 10cm</v>
          </cell>
        </row>
        <row r="635">
          <cell r="A635" t="str">
            <v>Cây gạo đường kính gốc 10cm ≤ Φ &lt; 15cm</v>
          </cell>
        </row>
        <row r="636">
          <cell r="A636" t="str">
            <v>Cây gạo đường kính gốc 15cm ≤ Φ &lt; 20cm</v>
          </cell>
        </row>
        <row r="637">
          <cell r="A637" t="str">
            <v>Cây gạo đường kính gốc 20cm ≤ Φ &lt; 25cm</v>
          </cell>
        </row>
        <row r="638">
          <cell r="A638" t="str">
            <v>Cây gạo đường kính gốc 25cm ≤ Φ &lt; 30cm</v>
          </cell>
        </row>
        <row r="639">
          <cell r="A639" t="str">
            <v>Cây gạo đường kính gốc 30cm ≤ Φ &lt; 35cm</v>
          </cell>
        </row>
        <row r="640">
          <cell r="A640" t="str">
            <v>Cây gạo đường kính gốc 35cm ≤ Φ &lt; 50cm</v>
          </cell>
        </row>
        <row r="641">
          <cell r="A641" t="str">
            <v>Cây gạo đường kính gốc Φ ≥ 50cm (chi phí chặt hạ)</v>
          </cell>
        </row>
        <row r="642">
          <cell r="A642" t="str">
            <v>Cây đa giống đủ tiêu chuẩn mới trồng, chiều cao H ≥ 40cm</v>
          </cell>
        </row>
        <row r="643">
          <cell r="A643" t="str">
            <v>Cây đa đường kính gốc 1cm ≤ Φ &lt; 3cm</v>
          </cell>
        </row>
        <row r="644">
          <cell r="A644" t="str">
            <v>Cây đa đường kính gốc 3cm ≤ Φ &lt; 5cm</v>
          </cell>
        </row>
        <row r="645">
          <cell r="A645" t="str">
            <v>Cây đa đường kính gốc 5cm ≤ Φ &lt; 10cm</v>
          </cell>
        </row>
        <row r="646">
          <cell r="A646" t="str">
            <v>Cây đa đường kính gốc 10cm ≤ Φ &lt; 15cm</v>
          </cell>
        </row>
        <row r="647">
          <cell r="A647" t="str">
            <v>Cây đa đường kính gốc 15cm ≤ Φ &lt; 20cm</v>
          </cell>
        </row>
        <row r="648">
          <cell r="A648" t="str">
            <v>Cây đa đường kính gốc 20cm≤ Φ &lt; 25cm</v>
          </cell>
        </row>
        <row r="649">
          <cell r="A649" t="str">
            <v>Cây đa đường kính gốc 25cm ≤ Φ &lt; 30cm</v>
          </cell>
        </row>
        <row r="650">
          <cell r="A650" t="str">
            <v>Cây đa đường kính gốc 30cm ≤ Φ &lt; 35cm</v>
          </cell>
        </row>
        <row r="651">
          <cell r="A651" t="str">
            <v>Cây đa đường kính gốc 35cm ≤ Φ &lt; 50cm</v>
          </cell>
        </row>
        <row r="652">
          <cell r="A652" t="str">
            <v>Cây đa đường kính gốc Φ ≥ 50cm (chi phí chặt hạ)</v>
          </cell>
        </row>
        <row r="653">
          <cell r="A653" t="str">
            <v>Cây phượng vĩ giống đủ tiêu chuẩn mới trồng, chiều cao H ≥ 40cm</v>
          </cell>
        </row>
        <row r="654">
          <cell r="A654" t="str">
            <v>Cây phượng vĩ đường kính gốc 1cm ≤ Φ &lt; 3cm</v>
          </cell>
        </row>
        <row r="655">
          <cell r="A655" t="str">
            <v>Cây phượng vĩ đường kính gốc 3cm ≤ Φ &lt; 5cm</v>
          </cell>
        </row>
        <row r="656">
          <cell r="A656" t="str">
            <v>Cây phượng vĩ đường kính gốc 5cm ≤ Φ &lt; 10cm</v>
          </cell>
        </row>
        <row r="657">
          <cell r="A657" t="str">
            <v>Cây phượng vĩ đường kính gốc 10cm ≤ Φ &lt; 15cm</v>
          </cell>
        </row>
        <row r="658">
          <cell r="A658" t="str">
            <v>Cây phượng vĩ đường kính gốc 15cm ≤ Φ &lt; 20cm</v>
          </cell>
        </row>
        <row r="659">
          <cell r="A659" t="str">
            <v>Cây phượng vĩ đường kính gốc 20cm≤ Φ &lt; 25cm</v>
          </cell>
        </row>
        <row r="660">
          <cell r="A660" t="str">
            <v>Cây phượng vĩ đường kính gốc 25cm ≤ Φ &lt; 30cm</v>
          </cell>
        </row>
        <row r="661">
          <cell r="A661" t="str">
            <v>Cây phượng vĩ đường kính gốc 30cm ≤ Φ &lt; 35cm</v>
          </cell>
        </row>
        <row r="662">
          <cell r="A662" t="str">
            <v>Cây phượng vĩ đường kính gốc 35cm ≤ Φ &lt; 50cm</v>
          </cell>
        </row>
        <row r="663">
          <cell r="A663" t="str">
            <v>Cây phượng vĩ đường kính gốc Φ ≥ 50cm (chi phí chặt hạ)</v>
          </cell>
        </row>
        <row r="664">
          <cell r="A664" t="str">
            <v>Xoan nâu, xoan đào (tính theo đường kính gốc F)</v>
          </cell>
        </row>
        <row r="665">
          <cell r="A665" t="str">
            <v xml:space="preserve">Cây xoan giống đủ tiêu chuẩn, mới trồng, chiều cao cây H ≥ 40cm     </v>
          </cell>
        </row>
        <row r="666">
          <cell r="A666" t="str">
            <v>Cây xoan đường kính gốc 1cm ≤ Φ &lt; 2cm</v>
          </cell>
        </row>
        <row r="667">
          <cell r="A667" t="str">
            <v>Cây xoan đường kính gốc 2cm ≤ Φ &lt; 5cm</v>
          </cell>
        </row>
        <row r="668">
          <cell r="A668" t="str">
            <v>Cây xoan đường kính gốc 5cm ≤ Φ &lt; 9cm</v>
          </cell>
        </row>
        <row r="669">
          <cell r="A669" t="str">
            <v>Cây xoan đường kính gốc 9cm ≤ Φ &lt; 12cm</v>
          </cell>
        </row>
        <row r="670">
          <cell r="A670" t="str">
            <v>Cây xoan đường kính gốc 12cm ≤ Φ &lt; 15cm</v>
          </cell>
        </row>
        <row r="671">
          <cell r="A671" t="str">
            <v>Cây xoan đường kính gốc 15cm ≤ Φ &lt; 20cm</v>
          </cell>
        </row>
        <row r="672">
          <cell r="A672" t="str">
            <v>Cây xoan đường kính gốc 20cm ≤ Φ &lt; 25cm</v>
          </cell>
        </row>
        <row r="673">
          <cell r="A673" t="str">
            <v>Cây xoan đường kính gốc 25cm ≤ Φ &lt; 30cm</v>
          </cell>
        </row>
        <row r="674">
          <cell r="A674" t="str">
            <v>Cây xoan đường kính gốc 30cm ≤ Φ &lt; 35cm</v>
          </cell>
        </row>
        <row r="675">
          <cell r="A675" t="str">
            <v>Cây xoan đường kính gốc Φ ≥ 35cm (chi phí chặt hạ)</v>
          </cell>
        </row>
        <row r="676">
          <cell r="A676" t="str">
            <v xml:space="preserve">Tre, mai (tính theo đường kính gốc F) </v>
          </cell>
        </row>
        <row r="677">
          <cell r="A677" t="str">
            <v>Cây tre giống đủ tiêu chuẩn mới trồng</v>
          </cell>
        </row>
        <row r="678">
          <cell r="A678" t="str">
            <v>Cây tre đường kính gốc 2cm ≤ Φ &lt; 5cm</v>
          </cell>
        </row>
        <row r="679">
          <cell r="A679" t="str">
            <v>Cây tre đường kính gốc 5cm ≤ Φ &lt; 7cm</v>
          </cell>
        </row>
        <row r="680">
          <cell r="A680" t="str">
            <v>Cây tre đường kính gốc 7cm ≤ Φ &lt; 10cm</v>
          </cell>
        </row>
        <row r="681">
          <cell r="A681" t="str">
            <v>Cây tre đường kính gốc 10cm ≤ Φ &lt; 12cm</v>
          </cell>
        </row>
        <row r="682">
          <cell r="A682" t="str">
            <v>Cây tre đường kính gốc Φ ≥ 12cm (chi phí chặt hạ)</v>
          </cell>
        </row>
        <row r="683">
          <cell r="A683" t="str">
            <v>Long não  (tính theo đường kính gốc)</v>
          </cell>
        </row>
        <row r="684">
          <cell r="A684" t="str">
            <v xml:space="preserve">Cây long não giống đủ tiêu chuẩn mới trồng, chiều cao cây  H ≤40cm  </v>
          </cell>
        </row>
        <row r="685">
          <cell r="A685" t="str">
            <v>Cây long não đường kính gốc 1cm ≤ Φ &lt; 3cm</v>
          </cell>
        </row>
        <row r="686">
          <cell r="A686" t="str">
            <v>Cây long não đường kính gốc 3cm ≤ Φ &lt; 5cm</v>
          </cell>
        </row>
        <row r="687">
          <cell r="A687" t="str">
            <v>Cây long não đường kính gốc 5cm ≤ Φ &lt; 10cm</v>
          </cell>
        </row>
        <row r="688">
          <cell r="A688" t="str">
            <v>Cây long não đường kính gốc 10cm ≤ Φ &lt; 15cm</v>
          </cell>
        </row>
        <row r="689">
          <cell r="A689" t="str">
            <v>Cây long não đường kính gốc 15cm ≤ Φ &lt; 20cm</v>
          </cell>
        </row>
        <row r="690">
          <cell r="A690" t="str">
            <v xml:space="preserve">Cây long não đường kính gốc 20cm ≤ Φ &lt; 30cm </v>
          </cell>
        </row>
        <row r="691">
          <cell r="A691" t="str">
            <v xml:space="preserve">Cây long não đường kính gốc 30cm ≤ Φ &lt; 40cm </v>
          </cell>
        </row>
        <row r="692">
          <cell r="A692" t="str">
            <v xml:space="preserve">Cây long não đường kính gốc Φ ≥ 40cm </v>
          </cell>
        </row>
        <row r="693">
          <cell r="A693" t="str">
            <v xml:space="preserve">Cây Dẻ lấy quả </v>
          </cell>
        </row>
        <row r="694">
          <cell r="A694" t="str">
            <v>Cây dẻ lấy quả mới trồng, đường kính gốc &lt;5 cm</v>
          </cell>
        </row>
        <row r="695">
          <cell r="A695" t="str">
            <v>Cây dẻ lấy quả đường kính gốc từ 5 cm đến 10cm</v>
          </cell>
        </row>
        <row r="696">
          <cell r="A696" t="str">
            <v>Cây dẻ lấy quả đường kính gốc &gt;10 cm đến 20cm</v>
          </cell>
        </row>
        <row r="697">
          <cell r="A697" t="str">
            <v>Cây dẻ lấy quả đường kính gốc &gt; 20 cm đến 30cm</v>
          </cell>
        </row>
        <row r="698">
          <cell r="A698" t="str">
            <v>Cây dẻ lấy quả đường kính gốc &gt; 30cm</v>
          </cell>
        </row>
        <row r="699">
          <cell r="A699" t="str">
            <v>Cây Trám</v>
          </cell>
        </row>
        <row r="700">
          <cell r="A700" t="str">
            <v>Cây trám mới trồng, đường kính gốc &lt;2cm</v>
          </cell>
        </row>
        <row r="701">
          <cell r="A701" t="str">
            <v>Cây trám đường kính gốc từ 2cm đến 5cm</v>
          </cell>
        </row>
        <row r="702">
          <cell r="A702" t="str">
            <v>Cây trám đường kính gốc từ 5cm đến 10cm</v>
          </cell>
        </row>
        <row r="703">
          <cell r="A703" t="str">
            <v>Cây trám đường kính gốc &gt;10cm đến 15cm</v>
          </cell>
        </row>
        <row r="704">
          <cell r="A704" t="str">
            <v>Cây trám đường kính gốc &gt;15cm đến 20cm</v>
          </cell>
        </row>
        <row r="705">
          <cell r="A705" t="str">
            <v>Cây trám đường kính gốc &gt;20cm đến 25cm</v>
          </cell>
        </row>
        <row r="706">
          <cell r="A706" t="str">
            <v>Cây trám đường kính gốc &gt;25cm đến 30cm</v>
          </cell>
        </row>
        <row r="707">
          <cell r="A707" t="str">
            <v>Cây trám đường kính gốc &gt; 30cm</v>
          </cell>
        </row>
        <row r="708">
          <cell r="A708" t="str">
            <v xml:space="preserve">Cây Lát </v>
          </cell>
        </row>
        <row r="709">
          <cell r="A709" t="str">
            <v>Cây lát mới trồng, đường kính gốc &lt; 5cm</v>
          </cell>
        </row>
        <row r="710">
          <cell r="A710" t="str">
            <v>Cây lát đường kính gốc từ 5 cm đến 10cm</v>
          </cell>
        </row>
        <row r="711">
          <cell r="A711" t="str">
            <v>Cây lát đường kính gốc &gt; 10 cm đến 20cm</v>
          </cell>
        </row>
        <row r="712">
          <cell r="A712" t="str">
            <v>Cây lát đường kính gốc &gt; 20 cm đến 30cm</v>
          </cell>
        </row>
        <row r="713">
          <cell r="A713" t="str">
            <v>Cây lát đường kính gốc &gt; 30 cm</v>
          </cell>
        </row>
        <row r="714">
          <cell r="A714" t="str">
            <v xml:space="preserve">Cây Vông </v>
          </cell>
        </row>
        <row r="715">
          <cell r="A715" t="str">
            <v>Cây vông mới trồng, đường kính gốc &lt; 5cm</v>
          </cell>
        </row>
        <row r="716">
          <cell r="A716" t="str">
            <v>Cây vông đường kính gốc từ 5cm đến 10cm</v>
          </cell>
        </row>
        <row r="717">
          <cell r="A717" t="str">
            <v>Cây vông đường kính gốc &gt;10 cm đến 20cm</v>
          </cell>
        </row>
        <row r="718">
          <cell r="A718" t="str">
            <v>Cây vông đường kính gốc &gt; 20 cm đến 30 cm</v>
          </cell>
        </row>
        <row r="719">
          <cell r="A719" t="str">
            <v>Cây vông đường kính gốc &gt; 30 cm</v>
          </cell>
        </row>
        <row r="720">
          <cell r="A720" t="str">
            <v>CÂY TRỒNG KHÁC</v>
          </cell>
        </row>
        <row r="721">
          <cell r="A721" t="str">
            <v>Dâu trồng lấy lá nuôi tằm (tính theo thời gian trồng)</v>
          </cell>
        </row>
        <row r="722">
          <cell r="A722" t="str">
            <v>Cây dâu trồng lấy lá nuôi tằm giống đủ tiêu chuẩn mới trồng &lt; 3 tháng</v>
          </cell>
        </row>
        <row r="723">
          <cell r="A723" t="str">
            <v xml:space="preserve"> Cây dâu trồng lấy lá nuôi tằm 3 tháng £ thời gian trồng &lt; 1 năm</v>
          </cell>
        </row>
        <row r="724">
          <cell r="A724" t="str">
            <v>Cây dâu trồng lấy lá nuôi tằm 1 năm £ thời gian trồng &lt; 2 năm</v>
          </cell>
        </row>
        <row r="725">
          <cell r="A725" t="str">
            <v>Cây dâu trồng lấy lá nuôi tằm thời gian trồng ³ 2 năm</v>
          </cell>
        </row>
        <row r="726">
          <cell r="A726" t="str">
            <v>Dâu ăn quả</v>
          </cell>
        </row>
        <row r="727">
          <cell r="A727" t="str">
            <v xml:space="preserve">Cây dâu ăn quả giống đủ tiêu chuẩn mới trồng </v>
          </cell>
        </row>
        <row r="728">
          <cell r="A728" t="str">
            <v>Cây dâu ăn quả có đường kính 1cm £ F &lt; 2cm</v>
          </cell>
        </row>
        <row r="729">
          <cell r="A729" t="str">
            <v>Cây dâu ăn quả có đường kính 2cm £ F &lt; 4cm</v>
          </cell>
        </row>
        <row r="730">
          <cell r="A730" t="str">
            <v>Cây dâu ăn quả có đường kính 4cm £ F &lt; 6cm</v>
          </cell>
        </row>
        <row r="731">
          <cell r="A731" t="str">
            <v>Cây dâu ăn quả có đường kính 6cm £ F &lt; 10cm</v>
          </cell>
        </row>
        <row r="732">
          <cell r="A732" t="str">
            <v>Cây dâu ăn quả có đường kính  F ³ 10cm</v>
          </cell>
        </row>
        <row r="733">
          <cell r="A733" t="str">
            <v xml:space="preserve">Chè </v>
          </cell>
        </row>
        <row r="734">
          <cell r="A734" t="str">
            <v xml:space="preserve">Cây chè giống đủ tiêu chuẩn mới trồng  </v>
          </cell>
        </row>
        <row r="735">
          <cell r="A735" t="str">
            <v>Cây chè trồng theo luống, dảnh có thời gian &lt; 6 tháng</v>
          </cell>
        </row>
        <row r="736">
          <cell r="A736" t="str">
            <v>Cây chè trồng theo luống, dảnh có thời gian ≥ 6 tháng</v>
          </cell>
        </row>
        <row r="737">
          <cell r="A737" t="str">
            <v>Cây chè trồng đơn lẻ có đường kính tán lá Φ  &lt; 0,5m</v>
          </cell>
        </row>
        <row r="738">
          <cell r="A738" t="str">
            <v xml:space="preserve">Cây chè trồng đơn lẻ có đường kính tán lá 0,5m ≤ Φ &lt; 1m </v>
          </cell>
        </row>
        <row r="739">
          <cell r="A739" t="str">
            <v>Cây chè trồng đơn lẻ có đường kính tán lá 1m ≤ Φ &lt; 1,5m</v>
          </cell>
        </row>
        <row r="740">
          <cell r="A740" t="str">
            <v>Cây chè trồng đơn lẻ có đường kính tán lá 1,5m ≤ Φ &lt; 2m</v>
          </cell>
        </row>
        <row r="741">
          <cell r="A741" t="str">
            <v>Cây chè trồng đơn lẻ có đường kính tán lá Φ ≥ 2m</v>
          </cell>
        </row>
        <row r="742">
          <cell r="A742" t="str">
            <v>Mây</v>
          </cell>
        </row>
        <row r="743">
          <cell r="A743" t="str">
            <v xml:space="preserve">Cây mây giống đủ tiêu chuẩn mới trồng </v>
          </cell>
        </row>
        <row r="744">
          <cell r="A744" t="str">
            <v>Cây mây chưa đến kỳ thu hoạch (tính theo khóm)</v>
          </cell>
        </row>
        <row r="745">
          <cell r="A745" t="str">
            <v>Dâm bụt, găng, tre gai... trồng hàng rào</v>
          </cell>
        </row>
        <row r="746">
          <cell r="A746" t="str">
            <v>Lộc vừng, sanh, si (ươm, trồng dưới đất, tính theo đường kính tán F)</v>
          </cell>
        </row>
        <row r="747">
          <cell r="A747" t="str">
            <v xml:space="preserve">Cây sanh có đường kính tán 0,5m  ≤ Φ &lt; 0,7m </v>
          </cell>
        </row>
        <row r="748">
          <cell r="A748" t="str">
            <v xml:space="preserve">Cây sanh có đường kính tán 0,7m  ≤ Φ &lt; 1,0m </v>
          </cell>
        </row>
        <row r="749">
          <cell r="A749" t="str">
            <v>Cây sanh có đường kính tán 1,0m  ≤ Φ &lt; 1,5m</v>
          </cell>
        </row>
        <row r="750">
          <cell r="A750" t="str">
            <v>Cây sanh có đường kính tán 1,5m ≤ Φ &lt; 2,0m</v>
          </cell>
        </row>
        <row r="751">
          <cell r="A751" t="str">
            <v>Cây sanh có đường kính tán 2,0m  ≤ Φ &lt; 3,0m</v>
          </cell>
        </row>
        <row r="752">
          <cell r="A752" t="str">
            <v>Cây sanh có đường kính tán 3,0m ≤ Φ &lt; 4,0m</v>
          </cell>
        </row>
        <row r="753">
          <cell r="A753" t="str">
            <v>Cây sanh có đường kính tán Φ ≥  4,0m</v>
          </cell>
        </row>
        <row r="754">
          <cell r="A754" t="str">
            <v xml:space="preserve">Cây lộc vừng có đường kính tán 0,5m  ≤ Φ &lt; 0,7m </v>
          </cell>
        </row>
        <row r="755">
          <cell r="A755" t="str">
            <v xml:space="preserve">Cây lộc vừng có đường kính tán 0,7m  ≤ Φ &lt; 1,0m </v>
          </cell>
        </row>
        <row r="756">
          <cell r="A756" t="str">
            <v>Cây lộc vừng có đường kính tán 1,0m  ≤ Φ &lt; 1,5m</v>
          </cell>
        </row>
        <row r="757">
          <cell r="A757" t="str">
            <v>Cây lộc vừng có đường kính tán 1,5m ≤ Φ &lt; 2,0m</v>
          </cell>
        </row>
        <row r="758">
          <cell r="A758" t="str">
            <v>Cây lộc vừng có đường kính tán 2,0m  ≤ Φ &lt; 3,0m</v>
          </cell>
        </row>
        <row r="759">
          <cell r="A759" t="str">
            <v>Cây lộc vừng có đường kính tán 3,0m ≤ Φ &lt; 4,0m</v>
          </cell>
        </row>
        <row r="760">
          <cell r="A760" t="str">
            <v>Cây lộc vừng có đường kính tán Φ ≥  4,0m</v>
          </cell>
        </row>
        <row r="761">
          <cell r="A761" t="str">
            <v xml:space="preserve">Cây si có đường kính tán 0,5m  ≤ Φ &lt; 0,7m </v>
          </cell>
        </row>
        <row r="762">
          <cell r="A762" t="str">
            <v xml:space="preserve">Cây si có đường kính tán 0,7m  ≤ Φ &lt; 1,0m </v>
          </cell>
        </row>
        <row r="763">
          <cell r="A763" t="str">
            <v>Cây si có đường kính tán 1,0m  ≤ Φ &lt; 1,5m</v>
          </cell>
        </row>
        <row r="764">
          <cell r="A764" t="str">
            <v>Cây si có đường kính tán 1,5m ≤ Φ &lt; 2,0m</v>
          </cell>
        </row>
        <row r="765">
          <cell r="A765" t="str">
            <v>Cây si có đường kính tán 2,0m  ≤ Φ &lt; 3,0m</v>
          </cell>
        </row>
        <row r="766">
          <cell r="A766" t="str">
            <v>Cây si có đường kính tán 3,0m ≤ Φ &lt; 4,0m</v>
          </cell>
        </row>
        <row r="767">
          <cell r="A767" t="str">
            <v>Cây si có đường kính tán Φ ≥  4,0m</v>
          </cell>
        </row>
        <row r="768">
          <cell r="A768" t="str">
            <v xml:space="preserve">Cau vua, thiết mộc lan, hoa giấy (ươm, trồng dưới đất, chiều cao cây H ³  50cm, tính theo đường kính gốc F) </v>
          </cell>
        </row>
        <row r="769">
          <cell r="A769" t="str">
            <v xml:space="preserve">Cây cau vua có đường kính gốc 0,03m  ≤ Φ &lt; 0,05m </v>
          </cell>
        </row>
        <row r="770">
          <cell r="A770" t="str">
            <v xml:space="preserve">Cây cau vua có đường kính gốc 0,05m  ≤ Φ &lt; 0,10m </v>
          </cell>
        </row>
        <row r="771">
          <cell r="A771" t="str">
            <v>Cây cau vua có đường kính gốc 0,10m  ≤ Φ &lt; 0,15m</v>
          </cell>
        </row>
        <row r="772">
          <cell r="A772" t="str">
            <v>Cây cau vua có đường kính gốc 0,15m ≤ Φ &lt; 0,20m</v>
          </cell>
        </row>
        <row r="773">
          <cell r="A773" t="str">
            <v>Cây cau vua có đường kính gốc 0,20m  ≤ Φ &lt; 0,25m</v>
          </cell>
        </row>
        <row r="774">
          <cell r="A774" t="str">
            <v>Cây cau vua có đường kính gốc 0,25m ≤ Φ &lt; 0,30m</v>
          </cell>
        </row>
        <row r="775">
          <cell r="A775" t="str">
            <v>Cây cau vua có đường kính gốc 0,30m  ≤ Φ &lt; 0,35m</v>
          </cell>
        </row>
        <row r="776">
          <cell r="A776" t="str">
            <v>Cây cau vua có đường kính gốc Φ ≥  0,35m</v>
          </cell>
        </row>
        <row r="777">
          <cell r="A777" t="str">
            <v xml:space="preserve">Cây thiết mộc lan có đường kính gốc 0,03m  ≤ Φ &lt; 0,05m </v>
          </cell>
        </row>
        <row r="778">
          <cell r="A778" t="str">
            <v xml:space="preserve">Cây thiết mộc lan có đường kính gốc 0,05m  ≤ Φ &lt; 0,10m </v>
          </cell>
        </row>
        <row r="779">
          <cell r="A779" t="str">
            <v>Cây thiết mộc lan có đường kính gốc 0,10m  ≤ Φ &lt; 0,15m</v>
          </cell>
        </row>
        <row r="780">
          <cell r="A780" t="str">
            <v>Cây thiết mộc lan có đường kính gốc 0,15m ≤ Φ &lt; 0,20m</v>
          </cell>
        </row>
        <row r="781">
          <cell r="A781" t="str">
            <v>Cây thiết mộc lan có đường kính gốc 0,20m  ≤ Φ &lt; 0,25m</v>
          </cell>
        </row>
        <row r="782">
          <cell r="A782" t="str">
            <v>Cây thiết mộc lan có đường kính gốc 0,25m ≤ Φ &lt; 0,30m</v>
          </cell>
        </row>
        <row r="783">
          <cell r="A783" t="str">
            <v>Cây thiết mộc lan có đường kính gốc 0,30m  ≤ Φ &lt; 0,35m</v>
          </cell>
        </row>
        <row r="784">
          <cell r="A784" t="str">
            <v>Cây thiết mộc lan có đường kính gốc Φ ≥  0,35m</v>
          </cell>
        </row>
        <row r="785">
          <cell r="A785" t="str">
            <v xml:space="preserve">Cây hoa giấy có đường kính gốc 0,03m  ≤ Φ &lt; 0,05m </v>
          </cell>
        </row>
        <row r="786">
          <cell r="A786" t="str">
            <v xml:space="preserve">Cây hoa giấy có đường kính gốc 0,05m  ≤ Φ &lt; 0,10m </v>
          </cell>
        </row>
        <row r="787">
          <cell r="A787" t="str">
            <v>Cây hoa giấy có đường kính gốc 0,10m  ≤ Φ &lt; 0,15m</v>
          </cell>
        </row>
        <row r="788">
          <cell r="A788" t="str">
            <v>Cây hoa giấy có đường kính gốc 0,15m ≤ Φ &lt; 0,20m</v>
          </cell>
        </row>
        <row r="789">
          <cell r="A789" t="str">
            <v>Cây hoa giấy có đường kính gốc 0,20m  ≤ Φ &lt; 0,25m</v>
          </cell>
        </row>
        <row r="790">
          <cell r="A790" t="str">
            <v>Cây hoa giấy có đường kính gốc 0,25m ≤ Φ &lt; 0,30m</v>
          </cell>
        </row>
        <row r="791">
          <cell r="A791" t="str">
            <v>Cây hoa giấy có đường kính gốc 0,30m  ≤ Φ &lt; 0,35m</v>
          </cell>
        </row>
        <row r="792">
          <cell r="A792" t="str">
            <v>Cây hoa giấy có đường kính gốc Φ ≥  0,35m</v>
          </cell>
        </row>
        <row r="793">
          <cell r="A793" t="str">
            <v>Cau trắng, cau sâm banh, cau lợn cọ, cau Nhật liên, tùng la hán (ươm, trồng dưới đất, chiều cao cây H ³  50cm, tính theo đường kính gốc F)</v>
          </cell>
        </row>
        <row r="794">
          <cell r="A794" t="str">
            <v xml:space="preserve">Cây cau trắng có đường kính gốc 0,03m  ≤ Φ &lt; 0,05m </v>
          </cell>
        </row>
        <row r="795">
          <cell r="A795" t="str">
            <v xml:space="preserve">Cây cau trắng có đường kính gốc 0,05m  ≤ Φ &lt; 0,10m </v>
          </cell>
        </row>
        <row r="796">
          <cell r="A796" t="str">
            <v>Cây cau trắng có đường kính gốc 0,10m  ≤ Φ &lt; 0,15m</v>
          </cell>
        </row>
        <row r="797">
          <cell r="A797" t="str">
            <v>Cây cau trắng có đường kính gốc 0,15m ≤ Φ &lt; 0,20m</v>
          </cell>
        </row>
        <row r="798">
          <cell r="A798" t="str">
            <v>Cây cau trắng có đường kính gốc 0,20m  ≤ Φ &lt; 0,25m</v>
          </cell>
        </row>
        <row r="799">
          <cell r="A799" t="str">
            <v>Cây cau trắng có đường kính gốc 0,25m ≤ Φ &lt; 0,30m</v>
          </cell>
        </row>
        <row r="800">
          <cell r="A800" t="str">
            <v>Cây cau trắng có đường kính gốc 0,30m  ≤ Φ &lt; 0,35m</v>
          </cell>
        </row>
        <row r="801">
          <cell r="A801" t="str">
            <v>Cây cau trắng có đường kính gốc Φ ≥  0,35m</v>
          </cell>
        </row>
        <row r="802">
          <cell r="A802" t="str">
            <v xml:space="preserve">Cây cau sâm banh có đường kính gốc 0,03m  ≤ Φ &lt; 0,05m </v>
          </cell>
        </row>
        <row r="803">
          <cell r="A803" t="str">
            <v xml:space="preserve">Cây cau sâm banh có đường kính gốc 0,05m  ≤ Φ &lt; 0,10m </v>
          </cell>
        </row>
        <row r="804">
          <cell r="A804" t="str">
            <v>Cây cau sâm banh có đường kính gốc 0,10m  ≤ Φ &lt; 0,15m</v>
          </cell>
        </row>
        <row r="805">
          <cell r="A805" t="str">
            <v>Cây cau sâm banh có đường kính gốc 0,15m ≤ Φ &lt; 0,20m</v>
          </cell>
        </row>
        <row r="806">
          <cell r="A806" t="str">
            <v>Cây cau sâm banh có đường kính gốc 0,20m  ≤ Φ &lt; 0,25m</v>
          </cell>
        </row>
        <row r="807">
          <cell r="A807" t="str">
            <v>Cây cau sâm banh có đường kính gốc 0,25m ≤ Φ &lt; 0,30m</v>
          </cell>
        </row>
        <row r="808">
          <cell r="A808" t="str">
            <v>Cây cau sâm banh có đường kính gốc 0,30m  ≤ Φ &lt; 0,35m</v>
          </cell>
        </row>
        <row r="809">
          <cell r="A809" t="str">
            <v>Cây cau sâm banh có đường kính gốc Φ ≥  0,35m</v>
          </cell>
        </row>
        <row r="810">
          <cell r="A810" t="str">
            <v xml:space="preserve">Cây cau lợn cọ có đường kính gốc 0,03m  ≤ Φ &lt; 0,05m </v>
          </cell>
        </row>
        <row r="811">
          <cell r="A811" t="str">
            <v xml:space="preserve">Cây cau lợn cọ có đường kính gốc 0,05m  ≤ Φ &lt; 0,10m </v>
          </cell>
        </row>
        <row r="812">
          <cell r="A812" t="str">
            <v>Cây cau lợn cọ có đường kính gốc 0,10m  ≤ Φ &lt; 0,15m</v>
          </cell>
        </row>
        <row r="813">
          <cell r="A813" t="str">
            <v>Cây cau lợn cọ có đường kính gốc 0,15m ≤ Φ &lt; 0,20m</v>
          </cell>
        </row>
        <row r="814">
          <cell r="A814" t="str">
            <v>Cây cau lợn cọ có đường kính gốc 0,20m  ≤ Φ &lt; 0,25m</v>
          </cell>
        </row>
        <row r="815">
          <cell r="A815" t="str">
            <v>Cây cau lợn cọ có đường kính gốc 0,25m ≤ Φ &lt; 0,30m</v>
          </cell>
        </row>
        <row r="816">
          <cell r="A816" t="str">
            <v>Cây cau lợn cọ có đường kính gốc 0,30m  ≤ Φ &lt; 0,35m</v>
          </cell>
        </row>
        <row r="817">
          <cell r="A817" t="str">
            <v>Cây cau lợn cọ có đường kính gốc Φ ≥  0,35m</v>
          </cell>
        </row>
        <row r="818">
          <cell r="A818" t="str">
            <v xml:space="preserve">Cây tùng la hán có đường kính gốc 0,03m  ≤ Φ &lt; 0,05m </v>
          </cell>
        </row>
        <row r="819">
          <cell r="A819" t="str">
            <v xml:space="preserve">Cây tùng la hán có đường kính gốc 0,05m  ≤ Φ &lt; 0,10m </v>
          </cell>
        </row>
        <row r="820">
          <cell r="A820" t="str">
            <v>Cây tùng la hán có đường kính gốc 0,10m  ≤ Φ &lt; 0,15m</v>
          </cell>
        </row>
        <row r="821">
          <cell r="A821" t="str">
            <v>Cây tùng la hán có đường kính gốc 0,15m ≤ Φ &lt; 0,20m</v>
          </cell>
        </row>
        <row r="822">
          <cell r="A822" t="str">
            <v>Cây tùng la hán có đường kính gốc 0,20m  ≤ Φ &lt; 0,25m</v>
          </cell>
        </row>
        <row r="823">
          <cell r="A823" t="str">
            <v>Cây tùng la hán có đường kính gốc 0,25m ≤ Φ &lt; 0,30m</v>
          </cell>
        </row>
        <row r="824">
          <cell r="A824" t="str">
            <v>Cây tùng la hán có đường kính gốc 0,30m  ≤ Φ &lt; 0,35m</v>
          </cell>
        </row>
        <row r="825">
          <cell r="A825" t="str">
            <v>Cây tùng la hán có đường kính gốc Φ ≥  0,35m</v>
          </cell>
        </row>
        <row r="826">
          <cell r="A826" t="str">
            <v>Cau bụi, cau kiểng vàng (trồng khóm dưới đất, khóm cách khóm &gt; 3m, chiều cao khóm H ³  50cm, tính theo đường kính khóm F)</v>
          </cell>
        </row>
        <row r="827">
          <cell r="A827" t="str">
            <v>Cau bụi, cau kiểng vàng có đường kính khóm Φ ≤ 1,0m</v>
          </cell>
        </row>
        <row r="828">
          <cell r="A828" t="str">
            <v xml:space="preserve">Cau bụi, cau kiểng vàng có đường kính khóm 1,0m ≤ Φ &lt; 1,5m </v>
          </cell>
        </row>
        <row r="829">
          <cell r="A829" t="str">
            <v xml:space="preserve">Cau bụi, cau kiểng vàng có đường kính khóm 1,5m ≤ Φ &lt; 2,0m </v>
          </cell>
        </row>
        <row r="830">
          <cell r="A830" t="str">
            <v>Cau bụi, cau kiểng vàng có đường kính khóm 2,0m ≤ Φ &lt; 2,5m</v>
          </cell>
        </row>
        <row r="831">
          <cell r="A831" t="str">
            <v>Cau bụi, cau kiểng vàng có đường kính khóm Φ ≥  2,5m</v>
          </cell>
        </row>
        <row r="832">
          <cell r="A832" t="str">
            <v>Hoa ngọc lan, ngâu, hoa sứ, mai tứ quý (đã chiết ghép, trồng dưới đất, tính theo đường kính tán F)</v>
          </cell>
        </row>
        <row r="833">
          <cell r="A833" t="str">
            <v>Cây hoa ngọc lan giống đủ tiêu chuẩn mới trồng, chưa ra hoa</v>
          </cell>
        </row>
        <row r="834">
          <cell r="A834" t="str">
            <v xml:space="preserve">Cây hoa ngọc lan có đường kính tán Φ  &lt; 1,0m (đã có hoa) </v>
          </cell>
        </row>
        <row r="835">
          <cell r="A835" t="str">
            <v xml:space="preserve">Cây hoa ngọc lan có đường kính tán 1,0m  ≤ Φ &lt;2,0m (đã có hoa) </v>
          </cell>
        </row>
        <row r="836">
          <cell r="A836" t="str">
            <v xml:space="preserve">Cây hoa ngọc lan có đường kính tán 2,0m  ≤ Φ &lt; 3,0m (đã có hoa) </v>
          </cell>
        </row>
        <row r="837">
          <cell r="A837" t="str">
            <v xml:space="preserve">Cây hoa ngọc lan có đường kính tán 3,0m  ≤ Φ &lt;4,0m (đã có hoa) </v>
          </cell>
        </row>
        <row r="838">
          <cell r="A838" t="str">
            <v xml:space="preserve">Cây hoa ngọc lan có đường kính tán Φ ≥  4,0m </v>
          </cell>
        </row>
        <row r="839">
          <cell r="A839" t="str">
            <v>Cây ngâu giống đủ tiêu chuẩn mới trồng, chưa ra hoa</v>
          </cell>
        </row>
        <row r="840">
          <cell r="A840" t="str">
            <v xml:space="preserve">Cây ngâu có đường kính tán Φ  &lt; 1,0m (đã có hoa) </v>
          </cell>
        </row>
        <row r="841">
          <cell r="A841" t="str">
            <v xml:space="preserve">Cây ngâu có đường kính tán 1,0m  ≤ Φ &lt;2,0m (đã có hoa) </v>
          </cell>
        </row>
        <row r="842">
          <cell r="A842" t="str">
            <v xml:space="preserve">Cây ngâu có đường kính tán 2,0m  ≤ Φ &lt; 3,0m (đã có hoa) </v>
          </cell>
        </row>
        <row r="843">
          <cell r="A843" t="str">
            <v xml:space="preserve">Cây ngâu có đường kính tán 3,0m  ≤ Φ &lt;4,0m (đã có hoa) </v>
          </cell>
        </row>
        <row r="844">
          <cell r="A844" t="str">
            <v xml:space="preserve">Cây ngâu có đường kính tán Φ ≥  4,0m </v>
          </cell>
        </row>
        <row r="845">
          <cell r="A845" t="str">
            <v>Cây hoa sứ giống đủ tiêu chuẩn mới trồng, chưa ra hoa</v>
          </cell>
        </row>
        <row r="846">
          <cell r="A846" t="str">
            <v xml:space="preserve">Cây hoa sứ có đường kính tán Φ  &lt; 1,0m (đã có hoa) </v>
          </cell>
        </row>
        <row r="847">
          <cell r="A847" t="str">
            <v xml:space="preserve">Cây hoa sứ có đường kính tán 1,0m  ≤ Φ &lt;2,0m (đã có hoa) </v>
          </cell>
        </row>
        <row r="848">
          <cell r="A848" t="str">
            <v xml:space="preserve">Cây hoa sứ có đường kính tán 2,0m  ≤ Φ &lt; 3,0m (đã có hoa) </v>
          </cell>
        </row>
        <row r="849">
          <cell r="A849" t="str">
            <v xml:space="preserve">Cây hoa sứ có đường kính tán 3,0m  ≤ Φ &lt;4,0m (đã có hoa) </v>
          </cell>
        </row>
        <row r="850">
          <cell r="A850" t="str">
            <v xml:space="preserve">Cây hoa sứ có đường kính tán Φ ≥  4,0m </v>
          </cell>
        </row>
        <row r="851">
          <cell r="A851" t="str">
            <v>Cây mai tứ quý giống đủ tiêu chuẩn mới trồng, chưa ra hoa</v>
          </cell>
        </row>
        <row r="852">
          <cell r="A852" t="str">
            <v xml:space="preserve">Cây mai tứ quý có đường kính tán Φ  &lt; 1,0m (đã có hoa) </v>
          </cell>
        </row>
        <row r="853">
          <cell r="A853" t="str">
            <v xml:space="preserve">Cây mai tứ quý có đường kính tán 1,0m  ≤ Φ &lt;2,0m (đã có hoa) </v>
          </cell>
        </row>
        <row r="854">
          <cell r="A854" t="str">
            <v xml:space="preserve">Cây mai tứ quý có đường kính tán 2,0m  ≤ Φ &lt; 3,0m (đã có hoa) </v>
          </cell>
        </row>
        <row r="855">
          <cell r="A855" t="str">
            <v xml:space="preserve">Cây mai tứ quý có đường kính tán 3,0m  ≤ Φ &lt;4,0m (đã có hoa) </v>
          </cell>
        </row>
        <row r="856">
          <cell r="A856" t="str">
            <v xml:space="preserve">Cây mai tứ quý có đường kính tán Φ ≥  4,0m </v>
          </cell>
        </row>
        <row r="857">
          <cell r="A857" t="str">
            <v xml:space="preserve">Sưa (ươm, trồng dưới đất, tính theo đường kính gốc F) </v>
          </cell>
        </row>
        <row r="858">
          <cell r="A858" t="str">
            <v>Cây sưa giống đủ tiêu chuẩn, mới trồng, chiều cao cây H ≥ 30cm</v>
          </cell>
        </row>
        <row r="859">
          <cell r="A859" t="str">
            <v>Cây sưa có đường kính gốc 0,01m  ≤ Φ &lt; 0,05m, chiều cao cây H ≥  50cm</v>
          </cell>
        </row>
        <row r="860">
          <cell r="A860" t="str">
            <v>Cây sưa có đường kính gốc 0,05m  ≤ Φ &lt; 0,10m, chiều cao cây H ≥  50cm</v>
          </cell>
        </row>
        <row r="861">
          <cell r="A861" t="str">
            <v>Cây sưa có đường kính gốc 0,10m  ≤ Φ &lt; 0,15m, chiều cao cây H ≥  50cm</v>
          </cell>
        </row>
        <row r="862">
          <cell r="A862" t="str">
            <v>Cây sưa có đường kính gốc 0,15m ≤ Φ &lt; 0,20m, chiều cao cây H ≥  50cm</v>
          </cell>
        </row>
        <row r="863">
          <cell r="A863" t="str">
            <v>Cây sưa có đường kính gốc 0,20m  ≤ Φ &lt; 0,25m, chiều cao cây H ≥  50cm</v>
          </cell>
        </row>
        <row r="864">
          <cell r="A864" t="str">
            <v>Cây sưa có đường kính gốc 0,25m ≤ Φ &lt; 0,30m, chiều cao cây H ≥ 50cm</v>
          </cell>
        </row>
        <row r="865">
          <cell r="A865" t="str">
            <v>Cây sưa có đường kính gốc 0,30m  ≤ Φ &lt; 0,35m, chiều cao cây H ≥  50cm</v>
          </cell>
        </row>
        <row r="866">
          <cell r="A866" t="str">
            <v>Cây sưa có đường kính gốc Φ ≥ 0,35m</v>
          </cell>
        </row>
        <row r="867">
          <cell r="A867" t="str">
            <v>Cọ trồng làm cảnh (tính theo đường kính tán F)</v>
          </cell>
        </row>
        <row r="868">
          <cell r="A868" t="str">
            <v>Cây cọ trồng làm cảnh có đường kính tán 0,5m ≤ Φ &lt;0,7m</v>
          </cell>
        </row>
        <row r="869">
          <cell r="A869" t="str">
            <v>Cây cọ trồng làm cảnh có đường kính tán 0,7m ≤ Φ &lt; 1,0m</v>
          </cell>
        </row>
        <row r="870">
          <cell r="A870" t="str">
            <v>Cây cọ trồng làm cảnh có đường kính tán 1,0m ≤ Φ &lt; 1,5m</v>
          </cell>
        </row>
        <row r="871">
          <cell r="A871" t="str">
            <v xml:space="preserve">Cây cọ trồng làm cảnh có đường kính tán 1,5m ≤ Φ &lt; 2,0m </v>
          </cell>
        </row>
        <row r="872">
          <cell r="A872" t="str">
            <v xml:space="preserve">Cây cọ trồng làm cảnh có đường kính tán 2,0m ≤ Φ &lt; 3,0m      </v>
          </cell>
        </row>
        <row r="873">
          <cell r="A873" t="str">
            <v>Cây cọ trồng làm cảnh có đường kính tán 3,0m ≤ Φ &lt; 4,0m</v>
          </cell>
        </row>
        <row r="874">
          <cell r="A874" t="str">
            <v>Cây cọ trồng làm cảnh có đường kính tán Φ ≥ 4,0m</v>
          </cell>
        </row>
        <row r="875">
          <cell r="A875" t="str">
            <v xml:space="preserve">Mai vàng (trồng dưới đất, tính theo đường kính gốc F) </v>
          </cell>
        </row>
        <row r="876">
          <cell r="A876" t="str">
            <v>Cây mai vàng có đường kính gốc 0,5cm ≤ Φ &lt; 1cm</v>
          </cell>
        </row>
        <row r="877">
          <cell r="A877" t="str">
            <v>Cây mai vàng có đường kính gốc 1cm ≤ Φ &lt; 2cm</v>
          </cell>
        </row>
        <row r="878">
          <cell r="A878" t="str">
            <v>Cây mai vàng có đường kính gốc 2cm ≤ Φ &lt; 4cm</v>
          </cell>
        </row>
        <row r="879">
          <cell r="A879" t="str">
            <v>Cây mai vàng có đường kính gốc 4cm ≤ Φ &lt; 6cm</v>
          </cell>
        </row>
        <row r="880">
          <cell r="A880" t="str">
            <v xml:space="preserve">Cây mai vàng có đường kính gốc 6cm ≤ Φ &lt; 10cm </v>
          </cell>
        </row>
        <row r="881">
          <cell r="A881" t="str">
            <v xml:space="preserve">Cây mai vàng có đường kính gốc Φ ≥ 10cm </v>
          </cell>
        </row>
        <row r="882">
          <cell r="A882" t="str">
            <v>Cây Móc Mật (Mác Mật)</v>
          </cell>
        </row>
        <row r="883">
          <cell r="A883" t="str">
            <v>Cây móc mật (mác mật) mới trồng, đường kính gốc &lt; 2cm</v>
          </cell>
        </row>
        <row r="884">
          <cell r="A884" t="str">
            <v>Cây móc mật (mác mật) đường kính gốc từ 2 đến 5cm.</v>
          </cell>
        </row>
        <row r="885">
          <cell r="A885" t="str">
            <v>Cây móc mật (mác mật) đường kính gốc &gt; 5 đến 10 cm</v>
          </cell>
        </row>
        <row r="886">
          <cell r="A886" t="str">
            <v>Cây móc mật (mác mật) đường kính gốc &gt; 10 đến 15 cm</v>
          </cell>
        </row>
        <row r="887">
          <cell r="A887" t="str">
            <v>Cây móc mật (mác mật) đường kính gốc &gt; 15 đến 20 cm</v>
          </cell>
        </row>
        <row r="888">
          <cell r="A888" t="str">
            <v>Cây móc mật (mác mật) đường kính gốc &gt; 20cm</v>
          </cell>
        </row>
        <row r="889">
          <cell r="A889" t="str">
            <v xml:space="preserve">Đào tiên (tính theo đường kính gốc F) </v>
          </cell>
        </row>
        <row r="890">
          <cell r="A890" t="str">
            <v>Đào tiên giống đủ tiêu chuẩn mới trồng</v>
          </cell>
        </row>
        <row r="891">
          <cell r="A891" t="str">
            <v>Đào tiên loại cây ghép có chiều cao cây 40cm ≤ Φ &lt; 1m</v>
          </cell>
        </row>
        <row r="892">
          <cell r="A892" t="str">
            <v>Đào tiên loại cây ghép có chiều cao cây H ≥ 1m</v>
          </cell>
        </row>
        <row r="893">
          <cell r="A893" t="str">
            <v>Đào tiên loại cây chiết cành có chiều cao cây 40cm ≤ Φ &lt; 1m</v>
          </cell>
        </row>
        <row r="894">
          <cell r="A894" t="str">
            <v>Đào tiên loại cây chiết cành có chiều cao cây H ≥ 1m</v>
          </cell>
        </row>
        <row r="895">
          <cell r="A895" t="str">
            <v>Cây đào tiên đường kính gốc 1cm ≤ Φ &lt; 2cm</v>
          </cell>
        </row>
        <row r="896">
          <cell r="A896" t="str">
            <v>Cây đào tiên đường kính gốc 2cm ≤ Φ &lt; 5cm</v>
          </cell>
        </row>
        <row r="897">
          <cell r="A897" t="str">
            <v xml:space="preserve">Cây đào tiên đường kính gốc 5cm ≤ Φ &lt; 7cm </v>
          </cell>
        </row>
        <row r="898">
          <cell r="A898" t="str">
            <v xml:space="preserve">Cây đào tiên đường kính gốc 7cm ≤ Φ &lt; 9cm </v>
          </cell>
        </row>
        <row r="899">
          <cell r="A899" t="str">
            <v xml:space="preserve">Cây đào tiên đường kính gốc 9cm ≤ Φ &lt; 12cm </v>
          </cell>
        </row>
        <row r="900">
          <cell r="A900" t="str">
            <v xml:space="preserve">Cây đào tiên đường kính gốc 12cm ≤ Φ &lt; 15cm </v>
          </cell>
        </row>
        <row r="901">
          <cell r="A901" t="str">
            <v xml:space="preserve">Cây đào tiên đường kính gốc 15cm ≤ Φ &lt; 20cm </v>
          </cell>
        </row>
        <row r="902">
          <cell r="A902" t="str">
            <v>Cây đào tiên đường kính gốc 20cm ≤ Φ &lt; 25cm</v>
          </cell>
        </row>
        <row r="903">
          <cell r="A903" t="str">
            <v xml:space="preserve">Cây đào tiên đường kính gốc Φ ≥ 25cm </v>
          </cell>
        </row>
        <row r="904">
          <cell r="A904" t="str">
            <v xml:space="preserve">Gáo (tính theo đường kính gốc F) </v>
          </cell>
        </row>
        <row r="905">
          <cell r="A905" t="str">
            <v>Cây gáo giống đủ tiêu chuẩn mới trồng, chiều cao cây  H ≥ 40cm</v>
          </cell>
        </row>
        <row r="906">
          <cell r="A906" t="str">
            <v>Cây gáo có đường kính gốc 1cm ≤ Φ &lt; 3cm</v>
          </cell>
        </row>
        <row r="907">
          <cell r="A907" t="str">
            <v>Cây gáo có đường kính gốc 3cm ≤ Φ &lt; 5cm</v>
          </cell>
        </row>
        <row r="908">
          <cell r="A908" t="str">
            <v>Cây gáo có đường kính gốc 5cm ≤ Φ &lt; 10cm</v>
          </cell>
        </row>
        <row r="909">
          <cell r="A909" t="str">
            <v>Cây gáo có đường kính gốc 10cm ≤ Φ &lt; 15cm</v>
          </cell>
        </row>
        <row r="910">
          <cell r="A910" t="str">
            <v>Cây gáo có đường kính gốc 15cm ≤ Φ &lt; 20cm</v>
          </cell>
        </row>
        <row r="911">
          <cell r="A911" t="str">
            <v xml:space="preserve">Cây gáo có đường kính gốc 20cm ≤ Φ &lt; 30cm </v>
          </cell>
        </row>
        <row r="912">
          <cell r="A912" t="str">
            <v xml:space="preserve">Cây gáo có đường kính gốc 30cm ≤ Φ &lt; 40cm </v>
          </cell>
        </row>
        <row r="913">
          <cell r="A913" t="str">
            <v>Cây gáo có đường kính gốc Φ ≥ 40cm</v>
          </cell>
        </row>
        <row r="914">
          <cell r="A914" t="str">
            <v>Đinh Lăng</v>
          </cell>
        </row>
        <row r="915">
          <cell r="A915" t="str">
            <v>Cây đinh lăng có chiều cao cây H &lt; 50cm</v>
          </cell>
        </row>
        <row r="916">
          <cell r="A916" t="str">
            <v>Cây đinh lăng có chiều cao cây 50cm ≤ H &lt; 100cm</v>
          </cell>
        </row>
        <row r="917">
          <cell r="A917" t="str">
            <v>Cây đinh lăng có chiều cao cây H ≥ 100cm</v>
          </cell>
        </row>
        <row r="918">
          <cell r="A918" t="str">
            <v>Thiên lý (tính theo m2 giàn, không bao gồm chi phí cọc bê tông cốt thép dựng giàn)</v>
          </cell>
        </row>
        <row r="919">
          <cell r="A919" t="str">
            <v>Đối với cây ươm, gieo hoặc cây trồng hàng năm xen dưới tán lá cây lâu năm (tính bình quân trên diện tích cây trồng chiếm chỗ)</v>
          </cell>
        </row>
        <row r="920">
          <cell r="A920" t="str">
            <v>Đối với lâm sản phụ trồng trên diện tích nông nghiệp do Nhà nước giao cho hộ đình, cá nhân để trồng, khoanh, nuôi, bảo vệ, tái sinh rừng, mà khi giao là đất trống, đồi núi trọc... hộ gia đình, cá nhân tự bỏ vốn đầu tư trồng rừng (tính bình quân trên diện tích cây trồng chiếm chỗ)</v>
          </cell>
        </row>
        <row r="921">
          <cell r="A921" t="str">
            <v>Muồng hoàng yến - Osaka vàng (tính theo đường kính gốc)</v>
          </cell>
        </row>
        <row r="922">
          <cell r="A922" t="str">
            <v>Cây muồng hoàng yến - Osaka vàng giống đủ tiêu chuẩn mới trồng, chiều cao cây  H ≤ 40cm</v>
          </cell>
        </row>
        <row r="923">
          <cell r="A923" t="str">
            <v>Cây muồng hoàng yến - Osaka vàng có đường kính gốc 1cm ≤ Φ &lt; 3cm</v>
          </cell>
        </row>
        <row r="924">
          <cell r="A924" t="str">
            <v>Cây muồng hoàng yến - Osaka vàng có đường kính gốc 3cm ≤ Φ &lt; 5cm</v>
          </cell>
        </row>
        <row r="925">
          <cell r="A925" t="str">
            <v>Cây muồng hoàng yến - Osaka vàng có đường kính gốc 5cm ≤ Φ &lt;10cm</v>
          </cell>
        </row>
        <row r="926">
          <cell r="A926" t="str">
            <v>Cây muồng hoàng yến - Osaka vàng có đường kính gốc 10cm ≤ Φ &lt; 15cm</v>
          </cell>
        </row>
        <row r="927">
          <cell r="A927" t="str">
            <v>Cây muồng hoàng yến - Osaka vàng có đường kính gốc 15cm ≤ Φ &lt; 20cm</v>
          </cell>
        </row>
        <row r="928">
          <cell r="A928" t="str">
            <v xml:space="preserve">Cây muồng hoàng yến - Osaka vàng có đường kính gốc 20cm ≤ Φ &lt; 30cm </v>
          </cell>
        </row>
        <row r="929">
          <cell r="A929" t="str">
            <v xml:space="preserve">Cây muồng hoàng yến - Osaka vàng có đường kính gốc 30cm ≤ Φ &lt; 40cm </v>
          </cell>
        </row>
        <row r="930">
          <cell r="A930" t="str">
            <v xml:space="preserve">Cây muồng hoàng yến - Osaka vàng có đường kính gốc Φ  ≥ 40cm </v>
          </cell>
        </row>
        <row r="931">
          <cell r="A931" t="str">
            <v>Bàng Đài Loan (tính theo đường kính gốc )</v>
          </cell>
        </row>
        <row r="932">
          <cell r="A932" t="str">
            <v>Cây bàng Đài Loan giống đủ tiêu chuẩn mới trồng, chiều cao cây  H ≤40cm</v>
          </cell>
        </row>
        <row r="933">
          <cell r="A933" t="str">
            <v>Cây bàng Đài Loan có đường kính gốc 1cm ≤ Φ &lt; 3cm</v>
          </cell>
        </row>
        <row r="934">
          <cell r="A934" t="str">
            <v xml:space="preserve">Cây bàng Đài Loan có đường kính gốc 3cm ≤ Φ &lt; 5cm </v>
          </cell>
        </row>
        <row r="935">
          <cell r="A935" t="str">
            <v>Cây bàng Đài Loan có đường kính gốc 5cm ≤ Φ &lt; 10cm</v>
          </cell>
        </row>
        <row r="936">
          <cell r="A936" t="str">
            <v>Cây bàng Đài Loan có đường kính gốc 10cm ≤ Φ &lt; 15cm</v>
          </cell>
        </row>
        <row r="937">
          <cell r="A937" t="str">
            <v>Cây bàng Đài Loan có đường kính gốc 15cm ≤ Φ &lt; 20cm</v>
          </cell>
        </row>
        <row r="938">
          <cell r="A938" t="str">
            <v xml:space="preserve">Cây bàng Đài Loan có đường kính gốc 20cm ≤ Φ &lt; 25cm </v>
          </cell>
        </row>
        <row r="939">
          <cell r="A939" t="str">
            <v xml:space="preserve">Cây bàng Đài Loan có đường kính gốc 25cm ≤ Φ &lt; 30cm </v>
          </cell>
        </row>
        <row r="940">
          <cell r="A940" t="str">
            <v xml:space="preserve">Cây bàng Đài Loan có đường kính gốc Φ ≥ 30cm </v>
          </cell>
        </row>
        <row r="941">
          <cell r="A941" t="str">
            <v xml:space="preserve">Hoa mẫu đơn ta  </v>
          </cell>
        </row>
        <row r="942">
          <cell r="A942" t="str">
            <v>Cây hoa mẫu đơn ta giống đủ tiêu chuẩn mới trồng, chiều cao cây  H &lt; 40cm</v>
          </cell>
        </row>
        <row r="943">
          <cell r="A943" t="str">
            <v xml:space="preserve">Cây hoa mẫu đơn ta giống đủ tiêu chuẩn mới trồng, chiều cao cây  40cm ≤ H &lt; 100cm </v>
          </cell>
        </row>
        <row r="944">
          <cell r="A944" t="str">
            <v xml:space="preserve">Cây hoa mẫu đơn ta giống đủ tiêu chuẩn mới trồng, chiều cao cây  H ≥ 100cm       </v>
          </cell>
        </row>
        <row r="945">
          <cell r="A945" t="str">
            <v>Cây hoa mẫu đơn ta có đường kính tán &lt;1m, gốc có 5-7 nhánh</v>
          </cell>
        </row>
        <row r="946">
          <cell r="A946" t="str">
            <v>Cây hoa mẫu đơn ta có đường kính tán từ 1,0m đến 1,2m gốc có 5-7 nhánh</v>
          </cell>
        </row>
        <row r="947">
          <cell r="A947" t="str">
            <v>Cây hoa mẫu đơn ta có đường kính tán  1,0m đến 1,2m, gốc có 8-10 nhánh</v>
          </cell>
        </row>
        <row r="948">
          <cell r="A948" t="str">
            <v>Cây hoa mẫu đơn ta có đường kính tán  1,3m đến 1,5 m, gốc có 8-10 nhánh</v>
          </cell>
        </row>
        <row r="949">
          <cell r="A949" t="str">
            <v>Cây hoa mẫu đơn ta có đường kính tán 1,6m đến 2m, gốc có trên 10 nhánh</v>
          </cell>
        </row>
        <row r="950">
          <cell r="A950" t="str">
            <v>Cây hoa mẫu đơn ta có đường kính tán 2,0m đến 2,2 m, gốc có trên 10 nhánh</v>
          </cell>
        </row>
        <row r="951">
          <cell r="A951" t="str">
            <v>Cây hoa mẫu đơn ta có đường kính tán &gt;2,2m đến 2,5m, gốc có trên 10 nhánh</v>
          </cell>
        </row>
        <row r="952">
          <cell r="A952" t="str">
            <v>Cây hoa mẫu đơn ta có đường kính tán &gt;2,5 m, gốc có trên 10 nhánh</v>
          </cell>
        </row>
        <row r="953">
          <cell r="A953" t="str">
            <v>Cây hoa hòe (tính theo đường kính tán)</v>
          </cell>
        </row>
        <row r="954">
          <cell r="A954" t="str">
            <v>Cây hoa hòe giống đủ tiêu chuẩn  mới trồng</v>
          </cell>
        </row>
        <row r="955">
          <cell r="A955" t="str">
            <v>Cây hoa hòe có đường kính tán 0,1m ≤ Φ &lt; 0,5m</v>
          </cell>
        </row>
        <row r="956">
          <cell r="A956" t="str">
            <v>Cây hoa hòe có đường kính tán 0,5m ≤ Φ &lt; 1m</v>
          </cell>
        </row>
        <row r="957">
          <cell r="A957" t="str">
            <v>Cây hoa hòe có đường kính tán 1m ≤ Φ &lt; 1,5m</v>
          </cell>
        </row>
        <row r="958">
          <cell r="A958" t="str">
            <v>Cây hoa hòe có đường kính tán 1,5m ≤ Φ &lt;2m</v>
          </cell>
        </row>
        <row r="959">
          <cell r="A959" t="str">
            <v>Cây hoa hòe có đường kính tán 2m ≤ Φ &lt; 3m</v>
          </cell>
        </row>
        <row r="960">
          <cell r="A960" t="str">
            <v>Cây hoa hòe có đường kính tán 3m ≤ Φ &lt; 4m</v>
          </cell>
        </row>
        <row r="961">
          <cell r="A961" t="str">
            <v>Cây hoa hòe có đường kính tán 4m ≤ Φ &lt; 5m</v>
          </cell>
        </row>
        <row r="962">
          <cell r="A962" t="str">
            <v>Cây hoa hòe có đường kính tán 5m ≤ Φ &lt; 6m</v>
          </cell>
        </row>
        <row r="963">
          <cell r="A963" t="str">
            <v>Cây hoa hòe có đường kính tán 6m ≤ Φ &lt; 7m</v>
          </cell>
        </row>
        <row r="964">
          <cell r="A964" t="str">
            <v>Cây hoa hòe có đường kính tán 7m ≤ Φ &lt; 8m</v>
          </cell>
        </row>
        <row r="965">
          <cell r="A965" t="str">
            <v>Cây hoa hòe có đường kính tán 8m ≤ Φ &lt; 9m</v>
          </cell>
        </row>
        <row r="966">
          <cell r="A966" t="str">
            <v>Cây hoa hòe có đường kính tán 9m ≤ Φ &lt; 12m</v>
          </cell>
        </row>
        <row r="967">
          <cell r="A967" t="str">
            <v>Cây hoa hòe có đường kính tán Φ ≥ 12m</v>
          </cell>
        </row>
        <row r="968">
          <cell r="A968" t="str">
            <v>Cây túc (tính theo đường kính gốc)</v>
          </cell>
        </row>
        <row r="969">
          <cell r="A969" t="str">
            <v>Cây túc giống đủ tiêu chuẩn mới trồng, chiều cao cây H &lt; 40cm</v>
          </cell>
        </row>
        <row r="970">
          <cell r="A970" t="str">
            <v>Cây túc đường kính gốc 1cm ≤ Φ &lt; 5cm</v>
          </cell>
        </row>
        <row r="971">
          <cell r="A971" t="str">
            <v>Cây túc đường kính gốc 5cm ≤ Φ &lt; 10cm</v>
          </cell>
        </row>
        <row r="972">
          <cell r="A972" t="str">
            <v xml:space="preserve">Cây túc đường kính gốc 10cm ≤ Φ &lt; 15cm  </v>
          </cell>
        </row>
        <row r="973">
          <cell r="A973" t="str">
            <v>Cây túc đường kính gốc 15cm ≤ Φ &lt; 20cm</v>
          </cell>
        </row>
        <row r="974">
          <cell r="A974" t="str">
            <v>Cây túc đường kính gốc 20cm ≤ Φ &lt; 25cm</v>
          </cell>
        </row>
        <row r="975">
          <cell r="A975" t="str">
            <v>Cây túc đường kính gốc 25cm ≤ Φ &lt; 30cm</v>
          </cell>
        </row>
        <row r="976">
          <cell r="A976" t="str">
            <v>Cây túc đường kính gốc 30cm ≤ Φ &lt; 35cm</v>
          </cell>
        </row>
        <row r="977">
          <cell r="A977" t="str">
            <v>Cây túc đường kính gốc Φ ≥ 35cm</v>
          </cell>
        </row>
        <row r="978">
          <cell r="A978" t="str">
            <v>Tùng ấn độ  (tính theo đường kính gốc)</v>
          </cell>
        </row>
        <row r="979">
          <cell r="A979" t="str">
            <v>Cây tùng ấn độ giống đủ tiêu chuẩn mới trồng, chiều cao cây H &lt; 40cm</v>
          </cell>
        </row>
        <row r="980">
          <cell r="A980" t="str">
            <v>Cây tùng ấn độ có đường kính gốc 1cm ≤ Φ &lt; 3cm</v>
          </cell>
        </row>
        <row r="981">
          <cell r="A981" t="str">
            <v>Cây tùng ấn độ có đường kính gốc 3cm ≤ Φ &lt; 5cm</v>
          </cell>
        </row>
        <row r="982">
          <cell r="A982" t="str">
            <v>Cây tùng ấn độ có đường kính gốc 5cm ≤ Φ &lt; 10cm</v>
          </cell>
        </row>
        <row r="983">
          <cell r="A983" t="str">
            <v>Cây tùng ấn độ có đường kính gốc 10cm ≤ Φ &lt; 15cm</v>
          </cell>
        </row>
        <row r="984">
          <cell r="A984" t="str">
            <v>Cây tùng ấn độ có đường kính gốc Φ ≥ 15cm</v>
          </cell>
        </row>
        <row r="985">
          <cell r="A985" t="str">
            <v>Cây Xạ đen (tính theo đường kính tán)</v>
          </cell>
        </row>
        <row r="986">
          <cell r="A986" t="str">
            <v>Cây xạ đen giống đủ tiêu chuẩn  mới trồng</v>
          </cell>
        </row>
        <row r="987">
          <cell r="A987" t="str">
            <v>Cây xạ đen có đường kính tán 0,1 ≤ Φ &lt; 0,5m</v>
          </cell>
        </row>
        <row r="988">
          <cell r="A988" t="str">
            <v>Cây xạ đen có đường kính tán 0,5m ≤ Φ &lt; 1m</v>
          </cell>
        </row>
        <row r="989">
          <cell r="A989" t="str">
            <v>Cây xạ đen có đường kính tán 1m ≤ Φ &lt; 1,5m</v>
          </cell>
        </row>
        <row r="990">
          <cell r="A990" t="str">
            <v>Cây xạ đen có đường kính tán 1,5m ≤ Φ &lt; 2m</v>
          </cell>
        </row>
        <row r="991">
          <cell r="A991" t="str">
            <v>Cây xạ đen có đường kính tán 2m ≤ Φ &lt; 3m</v>
          </cell>
        </row>
        <row r="992">
          <cell r="A992" t="str">
            <v>Cây xạ đen có đường kính tán 3m ≤ Φ &lt; 4m</v>
          </cell>
        </row>
        <row r="993">
          <cell r="A993" t="str">
            <v>Cây xạ đen có đường kính tán Φ ≥ 4m</v>
          </cell>
        </row>
        <row r="994">
          <cell r="A994" t="str">
            <v>Cây Hải đường (tính theo đường kính gốc)</v>
          </cell>
        </row>
        <row r="995">
          <cell r="A995" t="str">
            <v>Cây hải đường giống đủ tiêu chuẩn mới trồng</v>
          </cell>
        </row>
        <row r="996">
          <cell r="A996" t="str">
            <v>Cây hải đường có đường kính gốc 1cm ≤ Φ &lt; 3cm</v>
          </cell>
        </row>
        <row r="997">
          <cell r="A997" t="str">
            <v>Cây hải đường có đường kính gốc 3cm ≤ Φ &lt; 5cm</v>
          </cell>
        </row>
        <row r="998">
          <cell r="A998" t="str">
            <v>Cây hải đường có đường kính gốc 5cm ≤ Φ &lt; 7cm</v>
          </cell>
        </row>
        <row r="999">
          <cell r="A999" t="str">
            <v>Cây hải đường có đường kính gốc 7cm ≤ Φ &lt; 9cm</v>
          </cell>
        </row>
        <row r="1000">
          <cell r="A1000" t="str">
            <v>Cây hải đường có đường kính gốc Φ ≥ 9cm</v>
          </cell>
        </row>
        <row r="1001">
          <cell r="A1001" t="str">
            <v>Cây cóc (tính theo đường kính gốc)</v>
          </cell>
        </row>
        <row r="1002">
          <cell r="A1002" t="str">
            <v>Cây cóc có đường kính gốc 1cm ≤ Φ &lt; 2cm</v>
          </cell>
        </row>
        <row r="1003">
          <cell r="A1003" t="str">
            <v>Cây cóc có đường kính gốc 2cm ≤ Φ &lt; 5cm</v>
          </cell>
        </row>
        <row r="1004">
          <cell r="A1004" t="str">
            <v>Cây cóc có đường kính gốc 5cm ≤ Φ &lt; 7cm</v>
          </cell>
        </row>
        <row r="1005">
          <cell r="A1005" t="str">
            <v>Cây cóc có đường kính gốc Φ ≥ 7cm</v>
          </cell>
        </row>
        <row r="1006">
          <cell r="A1006" t="str">
            <v>Cây tùng cối (tính theo đường kính gốc)</v>
          </cell>
        </row>
        <row r="1007">
          <cell r="A1007" t="str">
            <v>Cây tùng cối có đường kính gốc 1cm ≤ Φ &lt; 2cm</v>
          </cell>
        </row>
        <row r="1008">
          <cell r="A1008" t="str">
            <v>Cây tùng cối có đường kính gốc 2cm ≤ Φ &lt; 5cm</v>
          </cell>
        </row>
        <row r="1009">
          <cell r="A1009" t="str">
            <v>Cây tùng cối có đường kính gốc 5cm ≤ Φ &lt; 7cm</v>
          </cell>
        </row>
        <row r="1010">
          <cell r="A1010" t="str">
            <v>Cây tùng cối có đường kính gốc Φ ≥ 7cm</v>
          </cell>
        </row>
        <row r="1011">
          <cell r="A1011" t="str">
            <v>Cây vạn tuế (tính theo đường kính gốc)</v>
          </cell>
        </row>
        <row r="1012">
          <cell r="A1012" t="str">
            <v>Cây vạn tuế có đường kính gốc  Φ &lt; 10cm</v>
          </cell>
        </row>
        <row r="1013">
          <cell r="A1013" t="str">
            <v>Cây vạn tuế có đường kính gốc 10cm ≤ Φ &lt; 20cm</v>
          </cell>
        </row>
        <row r="1014">
          <cell r="A1014" t="str">
            <v>Cây vạn tuế có đường kính gốc 20cm ≤ Φ &lt; 30cm</v>
          </cell>
        </row>
        <row r="1015">
          <cell r="A1015" t="str">
            <v>Cây vạn tuế có đường kính gốc Φ ≥ 30cm</v>
          </cell>
        </row>
        <row r="1016">
          <cell r="A1016" t="str">
            <v>Cây cảnh trồng trong chậu (tính chi phí di chuyển cả cây và chậu)</v>
          </cell>
        </row>
        <row r="1017">
          <cell r="A1017" t="str">
            <v>Di chuyển chậu có đường kính &lt; 0,5m</v>
          </cell>
        </row>
        <row r="1018">
          <cell r="A1018" t="str">
            <v xml:space="preserve">Di chuyển chậu có đường kính 0,5m ≤ Φ &lt; 0,7m </v>
          </cell>
        </row>
        <row r="1019">
          <cell r="A1019" t="str">
            <v xml:space="preserve">Di chuyển chậu có đường kính 0,7m ≤ Φ &lt; 1m </v>
          </cell>
        </row>
        <row r="1020">
          <cell r="A1020" t="str">
            <v xml:space="preserve">Di chuyển chậu có đường kính 1m ≤ Φ &lt; 1,5m </v>
          </cell>
        </row>
        <row r="1021">
          <cell r="A1021" t="str">
            <v xml:space="preserve">Di chuyển chậu có đường kính ≥ 1,5m </v>
          </cell>
        </row>
        <row r="1022">
          <cell r="A1022" t="str">
            <v>Quất cảnh (tính theo đường kính tán lá Φ)</v>
          </cell>
        </row>
        <row r="1023">
          <cell r="A1023" t="str">
            <v>Cây giống đủ tiêu chuẩn mới trồng</v>
          </cell>
        </row>
        <row r="1024">
          <cell r="A1024" t="str">
            <v>Cây có đường kính tán 0,7m ≤ Φ &lt; 1m</v>
          </cell>
        </row>
        <row r="1025">
          <cell r="A1025" t="str">
            <v>Cây có đường kính tán 1m ≤ Φ &lt; 1,5m</v>
          </cell>
        </row>
        <row r="1026">
          <cell r="A1026" t="str">
            <v>Cây có đường kính tán 1,5m ≤ Φ &lt; 2m</v>
          </cell>
        </row>
        <row r="1027">
          <cell r="A1027" t="str">
            <v>Cây có đường kính tán Φ ≥ 2m</v>
          </cell>
        </row>
        <row r="1028">
          <cell r="A1028" t="str">
            <v>Cây cảnh làm giống</v>
          </cell>
        </row>
        <row r="1029">
          <cell r="A1029" t="str">
            <v xml:space="preserve">Cây giống đào, hoa cảnh </v>
          </cell>
        </row>
        <row r="1030">
          <cell r="A1030" t="str">
            <v>Gieo, ươm hạt thành luống chưa ghép</v>
          </cell>
        </row>
        <row r="1031">
          <cell r="A1031" t="str">
            <v xml:space="preserve">Gieo, ươm hạt thành luống đã ghép </v>
          </cell>
        </row>
        <row r="1032">
          <cell r="A1032" t="str">
            <v>Cây giống đào hoa cảnh đã ghép đủ tiêu chuẩn</v>
          </cell>
        </row>
        <row r="1033">
          <cell r="A1033" t="str">
            <v xml:space="preserve">Cây giống trồng từ đào mạ, không ghép trồng thành luống </v>
          </cell>
        </row>
        <row r="1034">
          <cell r="A1034" t="str">
            <v>Cây giống lộc vừng, sanh, si</v>
          </cell>
        </row>
        <row r="1035">
          <cell r="A1035" t="str">
            <v>Cây gieo ươm từ hạt</v>
          </cell>
        </row>
        <row r="1036">
          <cell r="A1036" t="str">
            <v>Giống ươm gieo hạt chiều cao cây H &lt; 20cm</v>
          </cell>
        </row>
        <row r="1037">
          <cell r="A1037" t="str">
            <v xml:space="preserve">Giống ươm gieo hạt chiều cao cây H ≥ 20cm </v>
          </cell>
        </row>
        <row r="1038">
          <cell r="A1038" t="str">
            <v>Từ cây ươm gieo hạt tách ra đựng trong bầu nilong hoặc trồng thành luống</v>
          </cell>
        </row>
        <row r="1039">
          <cell r="A1039" t="str">
            <v xml:space="preserve">Chiều cao cây 20cm  ≤ H &lt; 50cm </v>
          </cell>
        </row>
        <row r="1040">
          <cell r="A1040" t="str">
            <v>Chiều cao cây 50cm  ≤ H &lt; 70cm</v>
          </cell>
        </row>
        <row r="1041">
          <cell r="A1041" t="str">
            <v xml:space="preserve">Chiều cao cây 70cm  ≤ H &lt;100cm </v>
          </cell>
        </row>
        <row r="1042">
          <cell r="A1042" t="str">
            <v>Cây giống cau cảnh</v>
          </cell>
        </row>
        <row r="1043">
          <cell r="A1043" t="str">
            <v>Cây gieo ươm từ hạt</v>
          </cell>
        </row>
        <row r="1044">
          <cell r="A1044" t="str">
            <v>Giống ươm gieo hạt thành luống, vạt chiều cao cây H &lt; 20cm</v>
          </cell>
        </row>
        <row r="1045">
          <cell r="A1045" t="str">
            <v xml:space="preserve">Giống ươm gieo hạt thành luống, vạt chiều cao cây H ≥ 20cm </v>
          </cell>
        </row>
        <row r="1046">
          <cell r="A1046" t="str">
            <v>Từ cây ươm gieo hạt tách ra đựng trong bầu nilong hoặc trồng thành luống</v>
          </cell>
        </row>
        <row r="1047">
          <cell r="A1047" t="str">
            <v>Chiều cao cây H &lt; 20cm</v>
          </cell>
        </row>
        <row r="1048">
          <cell r="A1048" t="str">
            <v>Chiều cao cây 20cm  ≤ H &lt; 50cm</v>
          </cell>
        </row>
        <row r="1049">
          <cell r="A1049" t="str">
            <v xml:space="preserve">Chiều cao cây H ≥ 50cm </v>
          </cell>
        </row>
        <row r="1050">
          <cell r="A1050" t="str">
            <v>Đào tán (đào hoa cảnh có đặc điểm tán lá hình tròn, hình tháp, thân chính không uốn tạo thế phát triển tự nhiên, chỉ cắt tỉa cành nhỏ; trồng trên đất đã được chuyển mục đích theo quy định, bao gồm: Đào cây, các loại cây khác trồng xen canh, bể chứa nước, bể chứa phân…tính trên diện tích 1 sào =360m2).</v>
          </cell>
        </row>
        <row r="1051">
          <cell r="A1051" t="str">
            <v xml:space="preserve">Đào tán loại 1 (số cây có đường kính tán từ 0,8m đến 1m, cao từ 1m đến 1,5m chiếm trên 50% diện tích; quy đổi 1 cây/1,8m2) </v>
          </cell>
        </row>
        <row r="1052">
          <cell r="A1052" t="str">
            <v xml:space="preserve">Đào tán loại 2 (số cây có đường kính tán từ 0,8m đến 1m, cao từ 1m đến 1,5m chiếm từ 40% đến 50% diện tích; quy đổi 1 cây/1,8m2) </v>
          </cell>
        </row>
        <row r="1053">
          <cell r="A1053" t="str">
            <v xml:space="preserve">Đào tán loại 3 (số cây có đường kính tán từ 0,8m đến 1m, cao từ 1m đến 1,5m chiếm từ 30% đến 40% diện tích; quy đổi 1 cây/1,8m2) </v>
          </cell>
        </row>
        <row r="1054">
          <cell r="A1054" t="str">
            <v xml:space="preserve">Đào tán loại 4 (số cây có đường kính tán từ 0,8m đến 1m, cao từ 1m đến 1,5m chiếm dưới 30% diện tích; quy đổi 1 cây/1,2m2) </v>
          </cell>
        </row>
        <row r="1055">
          <cell r="A1055" t="str">
            <v>Đào thế (đào trồng trên đất đã được chuyển mục đích theo quy định, bao gồm: Đào cây, các loại cây khác trồng xen canh, bể chứa nước, bể chứa phân…tính trên diện tích 1 sào =360m2)</v>
          </cell>
        </row>
        <row r="1056">
          <cell r="A1056" t="str">
            <v xml:space="preserve">Đào thế loại 1 (số cây có chiều cao từ 1m đến 1,5m chiếm trên 50% diện tích; quy đổi 1 cây/1,8m2) </v>
          </cell>
        </row>
        <row r="1057">
          <cell r="A1057" t="str">
            <v xml:space="preserve">Đào thế loại 2 (số cây có chiều cao từ 1m đến 1,5m chiếm từ 40% đến 50% diện tích; quy đổi 1 cây/1,8m2) </v>
          </cell>
        </row>
        <row r="1058">
          <cell r="A1058" t="str">
            <v xml:space="preserve">Đào thế loại 3 (số cây có chiều cao từ 1m đến 1,5m chiếm dưới 40% diện tích; quy đổi 1 cây/1,2m2) </v>
          </cell>
        </row>
        <row r="1059">
          <cell r="A1059" t="str">
            <v>Cỏ cảnh lá tre, cỏ nhung (trồng dày đặc)</v>
          </cell>
        </row>
        <row r="1060">
          <cell r="A1060" t="str">
            <v>Hương nhu, lá ngải, lá nếp, lưỡi hổ, láng tía, ngũ gia bì</v>
          </cell>
        </row>
        <row r="1061">
          <cell r="A1061" t="str">
            <v>Trầu không</v>
          </cell>
        </row>
        <row r="1062">
          <cell r="A1062" t="str">
            <v>Hương bài</v>
          </cell>
        </row>
        <row r="1063">
          <cell r="A1063" t="str">
            <v>GIỐNG CÂY ĂN QUẢ</v>
          </cell>
        </row>
        <row r="1064">
          <cell r="A1064" t="str">
            <v>Thanh long</v>
          </cell>
        </row>
        <row r="1065">
          <cell r="A1065" t="str">
            <v>Cành mới ươm chưa ra rễ</v>
          </cell>
        </row>
        <row r="1066">
          <cell r="A1066" t="str">
            <v>Cây ươm đã ra rễ và mầm, thời gian trồng &lt;  01 tháng</v>
          </cell>
        </row>
        <row r="1067">
          <cell r="A1067" t="str">
            <v>Cây ươm đã ra rễ và mầm, từ 01 tháng đến &lt; 02 tháng</v>
          </cell>
        </row>
        <row r="1068">
          <cell r="A1068" t="str">
            <v>Cây ươm đã ra rễ và mầm, thời gian trồng ≥ 02 tháng</v>
          </cell>
        </row>
        <row r="1069">
          <cell r="A1069" t="str">
            <v>Cây có chiều cao thân ≥ 0,7m (chưa ra quả)</v>
          </cell>
        </row>
        <row r="1070">
          <cell r="A1070" t="str">
            <v>Cây có chiều cao thân ≥ 0,7m (đã có quả)</v>
          </cell>
        </row>
        <row r="1071">
          <cell r="A1071" t="str">
            <v>Cây giống cây ăn quả</v>
          </cell>
        </row>
        <row r="1072">
          <cell r="A1072" t="str">
            <v>Loại ươm gieo hạt (thành luống, dảnh)</v>
          </cell>
        </row>
        <row r="1073">
          <cell r="A1073" t="str">
            <v xml:space="preserve">Chiều cao cây H &lt; 20cm </v>
          </cell>
        </row>
        <row r="1074">
          <cell r="A1074" t="str">
            <v>Chiều cao cây H ≥ 20cm</v>
          </cell>
        </row>
        <row r="1075">
          <cell r="A1075" t="str">
            <v>Cây giống vải, nhãn, doi, bưởi, thị, na, xoài, muỗm, quéo, trứng gà, sấu, táo, ổi, chay, me, khế, mận, mơ (từ cây ươm gieo hạt, đựng trong bầu nilon hoặc trồng thành luống chưa ghép)</v>
          </cell>
        </row>
        <row r="1076">
          <cell r="A1076" t="str">
            <v>Chiều cao cây H &lt; 40cm</v>
          </cell>
        </row>
        <row r="1077">
          <cell r="A1077" t="str">
            <v>Chiều cao cây 40cm ≤ H &lt; 100cm</v>
          </cell>
        </row>
        <row r="1078">
          <cell r="A1078" t="str">
            <v xml:space="preserve">Chiều cao cây H ≥ 100cm </v>
          </cell>
        </row>
        <row r="1079">
          <cell r="A1079" t="str">
            <v>Cây giống vải, nhãn, cam, bưởi, táo, ổi, khế (gieo hạt ươm thành luống đã ghép)</v>
          </cell>
        </row>
        <row r="1080">
          <cell r="A1080" t="str">
            <v>Chiều cao cây H &lt; 40cm</v>
          </cell>
        </row>
        <row r="1081">
          <cell r="A1081" t="str">
            <v>Chiều cao cây 40cm  ≤ H &lt; 100cm</v>
          </cell>
        </row>
        <row r="1082">
          <cell r="A1082" t="str">
            <v>Chiều cao cây H ≥ 100cm</v>
          </cell>
        </row>
        <row r="1083">
          <cell r="A1083" t="str">
            <v>Cây giống vải, nhãn, cam, bưởi, doi, hồng xiêm ... đang chiết cành (đã có rễ) chưa đem trồng</v>
          </cell>
        </row>
        <row r="1084">
          <cell r="A1084" t="str">
            <v>Giống Vải, Nhãn đã chiết cành, đã đem dâm ra vườn</v>
          </cell>
        </row>
        <row r="1085">
          <cell r="A1085" t="str">
            <v>Chiều cao cây H &lt; 40cm</v>
          </cell>
        </row>
        <row r="1086">
          <cell r="A1086" t="str">
            <v>Chiều cao cây 40cm  ≤ H &lt; 1,0m</v>
          </cell>
        </row>
        <row r="1087">
          <cell r="A1087" t="str">
            <v xml:space="preserve">Chiều cao cây H ≥ 1,0m </v>
          </cell>
        </row>
        <row r="1088">
          <cell r="A1088" t="str">
            <v>Cây giống cam, bưởi, doi, hồng xiêm đã chiết cành dâm ra vườn</v>
          </cell>
        </row>
        <row r="1089">
          <cell r="A1089" t="str">
            <v>Cây giống cây lấy gỗ, cây lấy lá…ươm gieo hạt thành luống, vạt</v>
          </cell>
        </row>
        <row r="1090">
          <cell r="A1090" t="str">
            <v xml:space="preserve">Chiều cao cây H &lt; 20cm </v>
          </cell>
        </row>
        <row r="1091">
          <cell r="A1091" t="str">
            <v xml:space="preserve">Chiều cao cây H ≥ 20cm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foxz"/>
      <sheetName val="foxz_2"/>
      <sheetName val="Đơn giá cây cối"/>
      <sheetName val="THKP"/>
      <sheetName val="6. Minh"/>
      <sheetName val="31.32. Mỹ-Thiềm"/>
      <sheetName val="XXXXXXXX"/>
    </sheetNames>
    <sheetDataSet>
      <sheetData sheetId="0"/>
      <sheetData sheetId="1"/>
      <sheetData sheetId="2"/>
      <sheetData sheetId="3">
        <row r="2">
          <cell r="A2" t="str">
            <v>Lúa các loại</v>
          </cell>
        </row>
        <row r="3">
          <cell r="A3" t="str">
            <v>Ngô các loại</v>
          </cell>
        </row>
        <row r="4">
          <cell r="A4" t="str">
            <v>Khoai lang</v>
          </cell>
        </row>
        <row r="5">
          <cell r="A5" t="str">
            <v>Khoai tây</v>
          </cell>
        </row>
        <row r="6">
          <cell r="A6" t="str">
            <v>Sắn mì</v>
          </cell>
        </row>
        <row r="7">
          <cell r="A7" t="str">
            <v xml:space="preserve">Khoai môn </v>
          </cell>
        </row>
        <row r="8">
          <cell r="A8" t="str">
            <v>Khoai sọ</v>
          </cell>
        </row>
        <row r="9">
          <cell r="A9" t="str">
            <v>Sắn dây</v>
          </cell>
        </row>
        <row r="10">
          <cell r="A10" t="str">
            <v>Củ ấu</v>
          </cell>
        </row>
        <row r="11">
          <cell r="A11" t="str">
            <v>Cây mía</v>
          </cell>
        </row>
        <row r="12">
          <cell r="A12" t="str">
            <v>Cây thuốc lào</v>
          </cell>
        </row>
        <row r="13">
          <cell r="A13" t="str">
            <v>Đay</v>
          </cell>
        </row>
        <row r="14">
          <cell r="A14" t="str">
            <v>Gai, dứa sợi</v>
          </cell>
        </row>
        <row r="15">
          <cell r="A15" t="str">
            <v>Đậu tương</v>
          </cell>
        </row>
        <row r="16">
          <cell r="A16" t="str">
            <v>Lạc</v>
          </cell>
        </row>
        <row r="17">
          <cell r="A17" t="str">
            <v>Vừng</v>
          </cell>
        </row>
        <row r="18">
          <cell r="A18" t="str">
            <v xml:space="preserve">Rau muống </v>
          </cell>
        </row>
        <row r="19">
          <cell r="A19" t="str">
            <v>Cải các loại</v>
          </cell>
        </row>
        <row r="20">
          <cell r="A20" t="str">
            <v>Rau mùng tơi</v>
          </cell>
        </row>
        <row r="21">
          <cell r="A21" t="str">
            <v>Rau ngót</v>
          </cell>
        </row>
        <row r="22">
          <cell r="A22" t="str">
            <v>Bắp cải</v>
          </cell>
        </row>
        <row r="23">
          <cell r="A23" t="str">
            <v>Rau dền</v>
          </cell>
        </row>
        <row r="24">
          <cell r="A24" t="str">
            <v>Súp lơ/bông cải</v>
          </cell>
        </row>
        <row r="25">
          <cell r="A25" t="str">
            <v>Dưa hấu</v>
          </cell>
        </row>
        <row r="26">
          <cell r="A26" t="str">
            <v>Dưa lê</v>
          </cell>
        </row>
        <row r="27">
          <cell r="A27" t="str">
            <v>Dưa vàng</v>
          </cell>
        </row>
        <row r="28">
          <cell r="A28" t="str">
            <v>Đậu đũa</v>
          </cell>
        </row>
        <row r="29">
          <cell r="A29" t="str">
            <v>Đậu co-ve</v>
          </cell>
        </row>
        <row r="30">
          <cell r="A30" t="str">
            <v>Đậu Hà Lan</v>
          </cell>
        </row>
        <row r="31">
          <cell r="A31" t="str">
            <v>Dưa chuột</v>
          </cell>
        </row>
        <row r="32">
          <cell r="A32" t="str">
            <v>Cà chua</v>
          </cell>
        </row>
        <row r="33">
          <cell r="A33" t="str">
            <v>Bí đỏ (Bí ngô)</v>
          </cell>
        </row>
        <row r="34">
          <cell r="A34" t="str">
            <v>Bí xanh</v>
          </cell>
        </row>
        <row r="35">
          <cell r="A35" t="str">
            <v>Bầu</v>
          </cell>
        </row>
        <row r="36">
          <cell r="A36" t="str">
            <v>Mướp</v>
          </cell>
        </row>
        <row r="37">
          <cell r="A37" t="str">
            <v>Su su</v>
          </cell>
        </row>
        <row r="38">
          <cell r="A38" t="str">
            <v>Ớt trái ngọt</v>
          </cell>
        </row>
        <row r="39">
          <cell r="A39" t="str">
            <v>Cà tím, cà pháo</v>
          </cell>
        </row>
        <row r="40">
          <cell r="A40" t="str">
            <v>Mướp đắng</v>
          </cell>
        </row>
        <row r="41">
          <cell r="A41" t="str">
            <v>Su hào</v>
          </cell>
        </row>
        <row r="42">
          <cell r="A42" t="str">
            <v>Cà rốt</v>
          </cell>
        </row>
        <row r="43">
          <cell r="A43" t="str">
            <v>Củ cải</v>
          </cell>
        </row>
        <row r="44">
          <cell r="A44" t="str">
            <v>Tỏi lấy củ</v>
          </cell>
        </row>
        <row r="45">
          <cell r="A45" t="str">
            <v>Hành tây</v>
          </cell>
        </row>
        <row r="46">
          <cell r="A46" t="str">
            <v>Hành hoa</v>
          </cell>
        </row>
        <row r="47">
          <cell r="A47" t="str">
            <v>Hành củ</v>
          </cell>
        </row>
        <row r="48">
          <cell r="A48" t="str">
            <v>Rau cần ta</v>
          </cell>
        </row>
        <row r="49">
          <cell r="A49" t="str">
            <v>Củ đậu</v>
          </cell>
        </row>
        <row r="50">
          <cell r="A50" t="str">
            <v>Rau tỏi tây</v>
          </cell>
        </row>
        <row r="51">
          <cell r="A51" t="str">
            <v>Măng tây</v>
          </cell>
        </row>
        <row r="52">
          <cell r="A52" t="str">
            <v>Cần tây</v>
          </cell>
        </row>
        <row r="53">
          <cell r="A53" t="str">
            <v>Củ rền</v>
          </cell>
        </row>
        <row r="54">
          <cell r="A54" t="str">
            <v>Ớt cay</v>
          </cell>
        </row>
        <row r="55">
          <cell r="A55" t="str">
            <v>Gừng</v>
          </cell>
        </row>
        <row r="56">
          <cell r="A56" t="str">
            <v>Riềng</v>
          </cell>
        </row>
        <row r="57">
          <cell r="A57" t="str">
            <v>Rau gia vị khác (Rau mùi, thì là, mùi tàu, tía tô...)</v>
          </cell>
        </row>
        <row r="58">
          <cell r="A58" t="str">
            <v>Ngải cứu</v>
          </cell>
        </row>
        <row r="59">
          <cell r="A59" t="str">
            <v>Nghệ</v>
          </cell>
        </row>
        <row r="60">
          <cell r="A60" t="str">
            <v>Sả</v>
          </cell>
        </row>
        <row r="61">
          <cell r="A61" t="str">
            <v>Sen lấy hạt</v>
          </cell>
        </row>
        <row r="62">
          <cell r="A62" t="str">
            <v xml:space="preserve">Cây vải loại cây ghép có chiều cao cây 40cm ≤ H &lt; 1m  </v>
          </cell>
        </row>
        <row r="63">
          <cell r="A63" t="str">
            <v xml:space="preserve">Cây vải loại cây ghép có chiều cao cây  H ≥ 1m  </v>
          </cell>
        </row>
        <row r="64">
          <cell r="A64" t="str">
            <v xml:space="preserve">Cây vải loại cây chiết cành có chiều cao  40cm ≤ H &lt; 1m  </v>
          </cell>
        </row>
        <row r="65">
          <cell r="A65" t="str">
            <v xml:space="preserve">Cây vải loại cây chiết cành có chiều cao cây  H ≥ 1m  </v>
          </cell>
        </row>
        <row r="66">
          <cell r="A66" t="str">
            <v>Cây vải đường kính tán 0,7m ≤ Φ &lt; 1m</v>
          </cell>
        </row>
        <row r="67">
          <cell r="A67" t="str">
            <v>Cây vải đường kính tán 1m ≤ Φ &lt; 2m</v>
          </cell>
        </row>
        <row r="68">
          <cell r="A68" t="str">
            <v>Cây vải đường kính tán 2m ≤ Φ &lt; 3m</v>
          </cell>
        </row>
        <row r="69">
          <cell r="A69" t="str">
            <v>Cây vải đường kính tán 3m ≤ Φ &lt; 4m</v>
          </cell>
        </row>
        <row r="70">
          <cell r="A70" t="str">
            <v>Cây vải đường kính tán 4m ≤ Φ &lt; 5m</v>
          </cell>
        </row>
        <row r="71">
          <cell r="A71" t="str">
            <v>Cây vải đường kính tán 5m ≤ Φ &lt; 6m</v>
          </cell>
        </row>
        <row r="72">
          <cell r="A72" t="str">
            <v>Cây vải đường kính tán 6m ≤ Φ &lt; 7m</v>
          </cell>
        </row>
        <row r="73">
          <cell r="A73" t="str">
            <v>Cây vải đường kính tán 7m ≤ Φ &lt; 8m</v>
          </cell>
        </row>
        <row r="74">
          <cell r="A74" t="str">
            <v>Cây vải đường kính tán 8m ≤ Φ &lt; 9m</v>
          </cell>
        </row>
        <row r="75">
          <cell r="A75" t="str">
            <v>Cây vải đường kính tán 9m ≤ Φ &lt; 10m</v>
          </cell>
        </row>
        <row r="76">
          <cell r="A76" t="str">
            <v>Cây vải đường kính tán 10m ≤ Φ &lt; 15m</v>
          </cell>
        </row>
        <row r="77">
          <cell r="A77" t="str">
            <v>Cây vải đường kính tán Φ ≥ 15m</v>
          </cell>
        </row>
        <row r="78">
          <cell r="A78" t="str">
            <v xml:space="preserve">Cây nhãn loại cây ghép có chiều cao cây 40cm ≤ H &lt; 1m  </v>
          </cell>
        </row>
        <row r="79">
          <cell r="A79" t="str">
            <v xml:space="preserve">Cây nhãn loại cây ghép có chiều cao cây  H ≥ 1m  </v>
          </cell>
        </row>
        <row r="80">
          <cell r="A80" t="str">
            <v xml:space="preserve">Cây nhãn loại cây chiết cành có chiều cao  40cm ≤ H &lt; 1m  </v>
          </cell>
        </row>
        <row r="81">
          <cell r="A81" t="str">
            <v xml:space="preserve">Cây nhãn loại cây chiết cành có chiều cao cây  H ≥ 1m  </v>
          </cell>
        </row>
        <row r="82">
          <cell r="A82" t="str">
            <v xml:space="preserve">Cây nhãn đường kính tán 0,7m ≤ Φ &lt; 1m </v>
          </cell>
        </row>
        <row r="83">
          <cell r="A83" t="str">
            <v xml:space="preserve">Cây nhãn đường kính tán 1m ≤ Φ &lt; 1,5m </v>
          </cell>
        </row>
        <row r="84">
          <cell r="A84" t="str">
            <v xml:space="preserve">Cây nhãn đường kính tán 1,5m ≤ Φ &lt; 2m </v>
          </cell>
        </row>
        <row r="85">
          <cell r="A85" t="str">
            <v xml:space="preserve">Cây nhãn đường kính tán 2m ≤ Φ &lt; 3m </v>
          </cell>
        </row>
        <row r="86">
          <cell r="A86" t="str">
            <v>Cây nhãn đường kính tán 3m ≤ Φ &lt; 4m</v>
          </cell>
        </row>
        <row r="87">
          <cell r="A87" t="str">
            <v>Cây nhãn đường kính tán 4m ≤ Φ &lt; 5m</v>
          </cell>
        </row>
        <row r="88">
          <cell r="A88" t="str">
            <v>Cây nhãn đường kính tán 5m ≤ Φ &lt; 6m</v>
          </cell>
        </row>
        <row r="89">
          <cell r="A89" t="str">
            <v>Cây nhãn đường kính tán 6m ≤ Φ &lt; 7m</v>
          </cell>
        </row>
        <row r="90">
          <cell r="A90" t="str">
            <v>Cây nhãn đường kính tán 7m ≤ Φ &lt; 8m</v>
          </cell>
        </row>
        <row r="91">
          <cell r="A91" t="str">
            <v>Cây nhãn đường kính tán 8m ≤ Φ &lt; 9m</v>
          </cell>
        </row>
        <row r="92">
          <cell r="A92" t="str">
            <v>Cây nhãn đường kính tán 9m ≤ Φ &lt; 12m</v>
          </cell>
        </row>
        <row r="93">
          <cell r="A93" t="str">
            <v>Cây nhãn đường kính tán Φ ≥ 12m</v>
          </cell>
        </row>
        <row r="94">
          <cell r="A94" t="str">
            <v>Mít (tính theo đường kính gốc F)</v>
          </cell>
        </row>
        <row r="95">
          <cell r="A95" t="str">
            <v>Cây mít giống đủ tiêu chuẩn mới trồng</v>
          </cell>
        </row>
        <row r="96">
          <cell r="A96" t="str">
            <v xml:space="preserve">Cây mít đường kính gốc 1cm ≤ Φ &lt; 2cm </v>
          </cell>
        </row>
        <row r="97">
          <cell r="A97" t="str">
            <v xml:space="preserve">Cây mít đường kính gốc 2cm ≤ Φ &lt; 5cm </v>
          </cell>
        </row>
        <row r="98">
          <cell r="A98" t="str">
            <v xml:space="preserve">Cây mít đường kính gốc 5cm ≤ Φ &lt; 7cm </v>
          </cell>
        </row>
        <row r="99">
          <cell r="A99" t="str">
            <v xml:space="preserve">Cây mít đường kính gốc 7cm ≤ Φ &lt; 9cm </v>
          </cell>
        </row>
        <row r="100">
          <cell r="A100" t="str">
            <v>Cây mít đường kính gốc 9cm ≤ Φ &lt; 12cm</v>
          </cell>
        </row>
        <row r="101">
          <cell r="A101" t="str">
            <v xml:space="preserve">Cây mít đường kính gốc 12cm ≤ Φ &lt; 15cm </v>
          </cell>
        </row>
        <row r="102">
          <cell r="A102" t="str">
            <v>Cây mít đường kính gốc 15cm ≤ Φ &lt; 20cm</v>
          </cell>
        </row>
        <row r="103">
          <cell r="A103" t="str">
            <v>Cây mít đường kính gốc 20cm ≤ Φ &lt; 25cm</v>
          </cell>
        </row>
        <row r="104">
          <cell r="A104" t="str">
            <v>Cây mít đường kính gốc 25cm ≤ Φ &lt; 35cm</v>
          </cell>
        </row>
        <row r="105">
          <cell r="A105" t="str">
            <v>Cây mít đường kính gốc 35cm ≤ Φ &lt; 50cm</v>
          </cell>
        </row>
        <row r="106">
          <cell r="A106" t="str">
            <v>Cây mít đường kính gốc Φ ≥ 50cm</v>
          </cell>
        </row>
        <row r="107">
          <cell r="A107" t="str">
            <v>Hồng xiêm (tính theo đường kính tán F)</v>
          </cell>
        </row>
        <row r="108">
          <cell r="A108" t="str">
            <v>Cây hồng xiêm giống đủ tiêu chuẩn  mới trồng</v>
          </cell>
        </row>
        <row r="109">
          <cell r="A109" t="str">
            <v>Cây hồng xiêm đường kính tán 0,7m ≤ Φ &lt; 1m</v>
          </cell>
        </row>
        <row r="110">
          <cell r="A110" t="str">
            <v>Cây hồng xiêm đường kính tán 1m ≤ Φ &lt; 1,5m</v>
          </cell>
        </row>
        <row r="111">
          <cell r="A111" t="str">
            <v>Cây hồng xiêm đường kính tán 1,5m ≤ Φ &lt; 2m</v>
          </cell>
        </row>
        <row r="112">
          <cell r="A112" t="str">
            <v>Cây hồng xiêm đường kính tán 2m ≤ Φ &lt; 3m</v>
          </cell>
        </row>
        <row r="113">
          <cell r="A113" t="str">
            <v>Cây hồng xiêm đường kính tán 3m ≤ Φ &lt; 4m</v>
          </cell>
        </row>
        <row r="114">
          <cell r="A114" t="str">
            <v>Cây hồng xiêm đường kính tán 4m ≤ Φ &lt; 5m</v>
          </cell>
        </row>
        <row r="115">
          <cell r="A115" t="str">
            <v>Cây hồng xiêm đường kính tán 5m ≤ Φ &lt; 6m</v>
          </cell>
        </row>
        <row r="116">
          <cell r="A116" t="str">
            <v>Cây hồng xiêm đường kính tán 6m ≤ Φ &lt; 7m</v>
          </cell>
        </row>
        <row r="117">
          <cell r="A117" t="str">
            <v>Cây hồng xiêm đường kính tán 7m ≤ Φ &lt; 8m</v>
          </cell>
        </row>
        <row r="118">
          <cell r="A118" t="str">
            <v>Cây hồng xiêm đường kính tán 8m ≤ Φ &lt; 9m</v>
          </cell>
        </row>
        <row r="119">
          <cell r="A119" t="str">
            <v>Cây hồng xiêm đường kính tán 9m ≤ Φ &lt; 12m</v>
          </cell>
        </row>
        <row r="120">
          <cell r="A120" t="str">
            <v>Cây hồng xiêm đường kính tán Φ ≥ 12m</v>
          </cell>
        </row>
        <row r="121">
          <cell r="A121" t="str">
            <v>Hồng ăn quả khác (tính theo đường kính gốc F)</v>
          </cell>
        </row>
        <row r="122">
          <cell r="A122" t="str">
            <v>Cây giống hồng ăn quả khác đủ tiêu chuẩn mới trồng, chiều cao cây H ≥ 40cm</v>
          </cell>
        </row>
        <row r="123">
          <cell r="A123" t="str">
            <v>Cây hồng ăn quả khác đường kính gốc 1cm ≤ Φ &lt; 2cm</v>
          </cell>
        </row>
        <row r="124">
          <cell r="A124" t="str">
            <v xml:space="preserve">Cây hồng ăn quả khác đường kính gốc 2cm ≤ Φ &lt; 5cm </v>
          </cell>
        </row>
        <row r="125">
          <cell r="A125" t="str">
            <v>Cây hồng ăn quả khác đường kính gốc 5cm ≤ Φ &lt; 7cm</v>
          </cell>
        </row>
        <row r="126">
          <cell r="A126" t="str">
            <v xml:space="preserve">Cây hồng ăn quả khác đường kính gốc 7cm ≤ Φ &lt; 9cm </v>
          </cell>
        </row>
        <row r="127">
          <cell r="A127" t="str">
            <v>Cây hồng ăn quả khác đường kính gốc 9cm ≤ Φ &lt; 12cm</v>
          </cell>
        </row>
        <row r="128">
          <cell r="A128" t="str">
            <v xml:space="preserve">Cây hồng ăn quả khác đường kính gốc 12cm ≤ Φ &lt; 15cm </v>
          </cell>
        </row>
        <row r="129">
          <cell r="A129" t="str">
            <v>Cây hồng ăn quả khác đường kính gốc 15cm ≤ Φ &lt; 20cm</v>
          </cell>
        </row>
        <row r="130">
          <cell r="A130" t="str">
            <v>Cây hồng ăn quả khác đường kính gốc 20cm ≤ Φ &lt; 25cm</v>
          </cell>
        </row>
        <row r="131">
          <cell r="A131" t="str">
            <v>Cây hồng ăn quả khác đường kính gốc 25cm ≤ Φ &lt; 30cm</v>
          </cell>
        </row>
        <row r="132">
          <cell r="A132" t="str">
            <v>Cây hồng ăn quả khác đường kính gốc 30cm ≤ Φ &lt; 35cm</v>
          </cell>
        </row>
        <row r="133">
          <cell r="A133" t="str">
            <v>Cây hồng ăn quả khác đường kính gốc Φ ≥ 35cm</v>
          </cell>
        </row>
        <row r="134">
          <cell r="A134" t="str">
            <v>Chanh, quýt, quất ăn quả (tính theo đường kính tán F)</v>
          </cell>
        </row>
        <row r="135">
          <cell r="A135" t="str">
            <v xml:space="preserve">Cây chanh giống đủ tiêu chuẩn mới trồng, chiều cao cây H ≥ 40cm </v>
          </cell>
        </row>
        <row r="136">
          <cell r="A136" t="str">
            <v>Cây chanh đường kính tán 0,7m ≤ Φ &lt; 1m</v>
          </cell>
        </row>
        <row r="137">
          <cell r="A137" t="str">
            <v>Cây chanh đường kính tán 1m ≤ Φ &lt; 1,5m</v>
          </cell>
        </row>
        <row r="138">
          <cell r="A138" t="str">
            <v>Cây chanh đường kính tán 1,5m ≤ Φ &lt; 2m</v>
          </cell>
        </row>
        <row r="139">
          <cell r="A139" t="str">
            <v>Cây chanh đường kính tán 2m ≤ Φ &lt; 3m</v>
          </cell>
        </row>
        <row r="140">
          <cell r="A140" t="str">
            <v>Cây chanh đường kính tán 3m ≤ Φ &lt; 4m</v>
          </cell>
        </row>
        <row r="141">
          <cell r="A141" t="str">
            <v>Cây chanh đường kính tán 4m ≤ Φ &lt; 5m</v>
          </cell>
        </row>
        <row r="142">
          <cell r="A142" t="str">
            <v>Cây chanh đường kính tán Φ ≥ 5m</v>
          </cell>
        </row>
        <row r="143">
          <cell r="A143" t="str">
            <v xml:space="preserve">Cây quýt giống đủ tiêu chuẩn mới trồng, chiều cao cây H ≥ 40cm </v>
          </cell>
        </row>
        <row r="144">
          <cell r="A144" t="str">
            <v>Cây quýt đường kính tán 0,7m ≤ Φ &lt; 1m</v>
          </cell>
        </row>
        <row r="145">
          <cell r="A145" t="str">
            <v>Cây quýt đường kính tán 1m ≤ Φ &lt; 1,5m</v>
          </cell>
        </row>
        <row r="146">
          <cell r="A146" t="str">
            <v>Cây quýt đường kính tán 1,5m ≤ Φ &lt; 2m</v>
          </cell>
        </row>
        <row r="147">
          <cell r="A147" t="str">
            <v>Cây quýt đường kính tán 2m ≤ Φ &lt; 3m</v>
          </cell>
        </row>
        <row r="148">
          <cell r="A148" t="str">
            <v>Cây quýt đường kính tán 3m ≤ Φ &lt; 4m</v>
          </cell>
        </row>
        <row r="149">
          <cell r="A149" t="str">
            <v>Cây quýt đường kính tán 4m ≤ Φ &lt; 5m</v>
          </cell>
        </row>
        <row r="150">
          <cell r="A150" t="str">
            <v>Cây quýt đường kính tán Φ ≥ 5m</v>
          </cell>
        </row>
        <row r="151">
          <cell r="A151" t="str">
            <v xml:space="preserve">Cây quất ăn quả giống đủ tiêu chuẩn mới trồng, chiều cao cây H ≥ 40cm </v>
          </cell>
        </row>
        <row r="152">
          <cell r="A152" t="str">
            <v>Cây quất ăn quả đường kính tán 0,7m ≤ Φ &lt; 1m</v>
          </cell>
        </row>
        <row r="153">
          <cell r="A153" t="str">
            <v>Cây quất ăn quả đường kính tán 1m ≤ Φ &lt; 1,5m</v>
          </cell>
        </row>
        <row r="154">
          <cell r="A154" t="str">
            <v>Cây quất ăn quả đường kính tán 1,5m ≤ Φ &lt; 2m</v>
          </cell>
        </row>
        <row r="155">
          <cell r="A155" t="str">
            <v>Cây quất ăn quả đường kính tán 2m ≤ Φ &lt; 3m</v>
          </cell>
        </row>
        <row r="156">
          <cell r="A156" t="str">
            <v>Cây quất ăn quả đường kính tán 3m ≤ Φ &lt; 4m</v>
          </cell>
        </row>
        <row r="157">
          <cell r="A157" t="str">
            <v>Cây quất ăn quả đường kính tán 4m ≤ Φ &lt; 5m</v>
          </cell>
        </row>
        <row r="158">
          <cell r="A158" t="str">
            <v>Cây quất ăn quả đường kính tán Φ ≥ 5m</v>
          </cell>
        </row>
        <row r="159">
          <cell r="A159" t="str">
            <v xml:space="preserve">Cam (tính theo đường kính tán lá F) </v>
          </cell>
        </row>
        <row r="160">
          <cell r="A160" t="str">
            <v>Cây giống đủ tiêu chuẩn mới trồng</v>
          </cell>
        </row>
        <row r="161">
          <cell r="A161" t="str">
            <v xml:space="preserve">Cây cam loại cây ghép có chiều cao cây 40cm ≤ Φ &lt; 1m  </v>
          </cell>
        </row>
        <row r="162">
          <cell r="A162" t="str">
            <v xml:space="preserve">Cây cam loại cây ghép có chiều cao cây  H ≥ 1m  </v>
          </cell>
        </row>
        <row r="163">
          <cell r="A163" t="str">
            <v xml:space="preserve">Cây cam loại cây chiết cành có chiều cao 40cm ≤ Φ &lt; 1m  </v>
          </cell>
        </row>
        <row r="164">
          <cell r="A164" t="str">
            <v xml:space="preserve">Cây cam loại cây chiết cành có chiều cao cây  H ≥ 1m  </v>
          </cell>
        </row>
        <row r="165">
          <cell r="A165" t="str">
            <v>Cây cam đường kính tán 0,7m ≤ Φ &lt; 1m</v>
          </cell>
        </row>
        <row r="166">
          <cell r="A166" t="str">
            <v>Cây cam đường kính tán 1m ≤ Φ &lt; 1,5m</v>
          </cell>
        </row>
        <row r="167">
          <cell r="A167" t="str">
            <v>Cây cam đường kính tán 1,5m ≤ Φ &lt; 2m</v>
          </cell>
        </row>
        <row r="168">
          <cell r="A168" t="str">
            <v>Cây cam đường kính tán 2m ≤ Φ &lt; 3m</v>
          </cell>
        </row>
        <row r="169">
          <cell r="A169" t="str">
            <v>Cây cam đường kính tán 3m ≤ Φ &lt; 4m</v>
          </cell>
        </row>
        <row r="170">
          <cell r="A170" t="str">
            <v>Cây cam đường kính tán 4m ≤ Φ &lt; 5m</v>
          </cell>
        </row>
        <row r="171">
          <cell r="A171" t="str">
            <v>Cây cam đường kính tán 5m ≤ Φ &lt; 6m</v>
          </cell>
        </row>
        <row r="172">
          <cell r="A172" t="str">
            <v>Cây cam đường kính tán Φ ≥ 6m</v>
          </cell>
        </row>
        <row r="173">
          <cell r="A173" t="str">
            <v>Bưởi (tính theo đường kính gốc F)</v>
          </cell>
        </row>
        <row r="174">
          <cell r="A174" t="str">
            <v>Cây giống đủ tiêu chuẩn mới trồng</v>
          </cell>
        </row>
        <row r="175">
          <cell r="A175" t="str">
            <v xml:space="preserve">Bưởi loại cây ghép có chiều cao cây 40cm ≤ H &lt; 1m  </v>
          </cell>
        </row>
        <row r="176">
          <cell r="A176" t="str">
            <v xml:space="preserve">Bưởi loại cây ghép có chiều cao cây  H ≥ 1m  </v>
          </cell>
        </row>
        <row r="177">
          <cell r="A177" t="str">
            <v xml:space="preserve">Bưởi loại cây chiết cành có chiều cao  40cm ≤ H &lt; 1m  </v>
          </cell>
        </row>
        <row r="178">
          <cell r="A178" t="str">
            <v xml:space="preserve">Bưởi loại cây chiết cành có chiều cao cây  H ≥ 1m  </v>
          </cell>
        </row>
        <row r="179">
          <cell r="A179" t="str">
            <v>Cây bưởi đường kính gốc 1cm ≤ Φ &lt; 2cm</v>
          </cell>
        </row>
        <row r="180">
          <cell r="A180" t="str">
            <v>Cây bưởi đường kính gốc 2cm ≤ Φ &lt; 5cm</v>
          </cell>
        </row>
        <row r="181">
          <cell r="A181" t="str">
            <v>Cây bưởi đường kính gốc 5cm ≤ Φ &lt; 7cm</v>
          </cell>
        </row>
        <row r="182">
          <cell r="A182" t="str">
            <v>Cây bưởi đường kính gốc 7cm ≤ Φ &lt; 9cm</v>
          </cell>
        </row>
        <row r="183">
          <cell r="A183" t="str">
            <v>Cây bưởi đường kính gốc 9cm ≤ Φ &lt; 12cm</v>
          </cell>
        </row>
        <row r="184">
          <cell r="A184" t="str">
            <v xml:space="preserve">Cây bưởi đường kính gốc 12cm ≤ Φ &lt; 15cm </v>
          </cell>
        </row>
        <row r="185">
          <cell r="A185" t="str">
            <v>Cây bưởi đường kính gốc 15cm ≤ Φ &lt; 20cm</v>
          </cell>
        </row>
        <row r="186">
          <cell r="A186" t="str">
            <v>Cây bưởi đường kính gốc 20cm ≤ Φ &lt; 25cm</v>
          </cell>
        </row>
        <row r="187">
          <cell r="A187" t="str">
            <v>Cây bưởi đường kính gốc Φ ≥ 25cm</v>
          </cell>
        </row>
        <row r="188">
          <cell r="A188" t="str">
            <v>Xoài, muỗm, quéo, thị (tính theo đường kính gốc F)</v>
          </cell>
        </row>
        <row r="189">
          <cell r="A189" t="str">
            <v>Cây xoài giống đủ tiêu chuẩn mới trồng, chiều cao cây H ≥ 40cm</v>
          </cell>
        </row>
        <row r="190">
          <cell r="A190" t="str">
            <v xml:space="preserve">Cây xoài đường kính gốc 1cm ≤ Φ &lt; 2cm </v>
          </cell>
        </row>
        <row r="191">
          <cell r="A191" t="str">
            <v>Cây xoài đường kính gốc 2cm ≤ Φ &lt; 5cm</v>
          </cell>
        </row>
        <row r="192">
          <cell r="A192" t="str">
            <v>Cây xoài đường kính gốc 5cm ≤ Φ &lt; 7cm</v>
          </cell>
        </row>
        <row r="193">
          <cell r="A193" t="str">
            <v>Cây xoài đường kính gốc 7cm ≤ Φ &lt; 9cm</v>
          </cell>
        </row>
        <row r="194">
          <cell r="A194" t="str">
            <v>Cây xoài đường kính gốc 9cm ≤ Φ &lt; 12cm</v>
          </cell>
        </row>
        <row r="195">
          <cell r="A195" t="str">
            <v xml:space="preserve">Cây xoài đường kính gốc 12cm ≤ Φ &lt; 15cm </v>
          </cell>
        </row>
        <row r="196">
          <cell r="A196" t="str">
            <v>Cây xoài đường kính gốc 15cm ≤ Φ &lt; 20cm</v>
          </cell>
        </row>
        <row r="197">
          <cell r="A197" t="str">
            <v>Cây xoài đường kính gốc 20cm ≤ Φ &lt; 25cm</v>
          </cell>
        </row>
        <row r="198">
          <cell r="A198" t="str">
            <v>Cây xoài đường kính gốc 25cm ≤ Φ &lt; 35cm</v>
          </cell>
        </row>
        <row r="199">
          <cell r="A199" t="str">
            <v>Cây xoài đường kính gốc 35cm ≤ Φ &lt; 50cm</v>
          </cell>
        </row>
        <row r="200">
          <cell r="A200" t="str">
            <v>Cây xoài đường kính gốc Φ ≥ 50cm</v>
          </cell>
        </row>
        <row r="201">
          <cell r="A201" t="str">
            <v>Cây muỗm giống đủ tiêu chuẩn mới trồng, chiều cao cây H ≥ 40cm</v>
          </cell>
        </row>
        <row r="202">
          <cell r="A202" t="str">
            <v xml:space="preserve">Cây muỗm đường kính gốc 1cm ≤ Φ &lt; 2cm </v>
          </cell>
        </row>
        <row r="203">
          <cell r="A203" t="str">
            <v>Cây muỗm đường kính gốc 2cm ≤ Φ &lt; 5cm</v>
          </cell>
        </row>
        <row r="204">
          <cell r="A204" t="str">
            <v>Cây muỗm đường kính gốc 5cm ≤ Φ &lt; 7cm</v>
          </cell>
        </row>
        <row r="205">
          <cell r="A205" t="str">
            <v>Cây muỗm đường kính gốc 7cm ≤ Φ &lt; 9cm</v>
          </cell>
        </row>
        <row r="206">
          <cell r="A206" t="str">
            <v>Cây muỗm đường kính gốc 9cm ≤ Φ &lt; 12cm</v>
          </cell>
        </row>
        <row r="207">
          <cell r="A207" t="str">
            <v xml:space="preserve">Cây muỗm đường kính gốc 12cm ≤ Φ &lt; 15cm </v>
          </cell>
        </row>
        <row r="208">
          <cell r="A208" t="str">
            <v>Cây muỗm đường kính gốc 15cm ≤ Φ &lt; 20cm</v>
          </cell>
        </row>
        <row r="209">
          <cell r="A209" t="str">
            <v>Cây muỗm đường kính gốc 20cm ≤ Φ &lt; 25cm</v>
          </cell>
        </row>
        <row r="210">
          <cell r="A210" t="str">
            <v>Cây muỗm đường kính gốc 25cm ≤ Φ &lt; 35cm</v>
          </cell>
        </row>
        <row r="211">
          <cell r="A211" t="str">
            <v>Cây muỗm đường kính gốc 35cm ≤ Φ &lt; 50cm</v>
          </cell>
        </row>
        <row r="212">
          <cell r="A212" t="str">
            <v>Cây muỗm đường kính gốc Φ ≥ 50cm</v>
          </cell>
        </row>
        <row r="213">
          <cell r="A213" t="str">
            <v>Cây quéo giống đủ tiêu chuẩn mới trồng, chiều cao cây H ≥ 40cm</v>
          </cell>
        </row>
        <row r="214">
          <cell r="A214" t="str">
            <v xml:space="preserve">Cây quéo đường kính gốc 1cm ≤ Φ &lt; 2cm </v>
          </cell>
        </row>
        <row r="215">
          <cell r="A215" t="str">
            <v>Cây quéo đường kính gốc 2cm ≤ Φ &lt; 5cm</v>
          </cell>
        </row>
        <row r="216">
          <cell r="A216" t="str">
            <v>Cây quéo đường kính gốc 5cm ≤ Φ &lt; 7cm</v>
          </cell>
        </row>
        <row r="217">
          <cell r="A217" t="str">
            <v>Cây quéo đường kính gốc 7cm ≤ Φ &lt; 9cm</v>
          </cell>
        </row>
        <row r="218">
          <cell r="A218" t="str">
            <v>Cây quéo đường kính gốc 9cm ≤ Φ &lt; 12cm</v>
          </cell>
        </row>
        <row r="219">
          <cell r="A219" t="str">
            <v xml:space="preserve">Cây quéo đường kính gốc 12cm ≤ Φ &lt; 15cm </v>
          </cell>
        </row>
        <row r="220">
          <cell r="A220" t="str">
            <v>Cây quéo đường kính gốc 15cm ≤ Φ &lt; 20cm</v>
          </cell>
        </row>
        <row r="221">
          <cell r="A221" t="str">
            <v>Cây quéo đường kính gốc 20cm ≤ Φ &lt; 25cm</v>
          </cell>
        </row>
        <row r="222">
          <cell r="A222" t="str">
            <v>Cây quéo đường kính gốc 25cm ≤ Φ &lt; 35cm</v>
          </cell>
        </row>
        <row r="223">
          <cell r="A223" t="str">
            <v>Cây quéo đường kính gốc 35cm ≤ Φ &lt; 50cm</v>
          </cell>
        </row>
        <row r="224">
          <cell r="A224" t="str">
            <v>Cây quéo đường kính gốc Φ ≥ 50cm</v>
          </cell>
        </row>
        <row r="225">
          <cell r="A225" t="str">
            <v>Cây thị giống đủ tiêu chuẩn mới trồng, chiều cao cây H ≥ 40cm</v>
          </cell>
        </row>
        <row r="226">
          <cell r="A226" t="str">
            <v xml:space="preserve">Cây thị đường kính gốc 1cm ≤ Φ &lt; 2cm </v>
          </cell>
        </row>
        <row r="227">
          <cell r="A227" t="str">
            <v>Cây thị đường kính gốc 2cm ≤ Φ &lt; 5cm</v>
          </cell>
        </row>
        <row r="228">
          <cell r="A228" t="str">
            <v>Cây thị đường kính gốc 5cm ≤ Φ &lt; 7cm</v>
          </cell>
        </row>
        <row r="229">
          <cell r="A229" t="str">
            <v>Cây thị đường kính gốc 7cm ≤ Φ &lt; 9cm</v>
          </cell>
        </row>
        <row r="230">
          <cell r="A230" t="str">
            <v>Cây thị đường kính gốc 9cm ≤ Φ &lt; 12cm</v>
          </cell>
        </row>
        <row r="231">
          <cell r="A231" t="str">
            <v xml:space="preserve">Cây thị đường kính gốc 12cm ≤ Φ &lt; 15cm </v>
          </cell>
        </row>
        <row r="232">
          <cell r="A232" t="str">
            <v>Cây thị đường kính gốc 15cm ≤ Φ &lt; 20cm</v>
          </cell>
        </row>
        <row r="233">
          <cell r="A233" t="str">
            <v>Cây thị đường kính gốc 20cm ≤ Φ &lt; 25cm</v>
          </cell>
        </row>
        <row r="234">
          <cell r="A234" t="str">
            <v>Cây thị đường kính gốc 25cm ≤ Φ &lt; 35cm</v>
          </cell>
        </row>
        <row r="235">
          <cell r="A235" t="str">
            <v>Cây thị đường kính gốc 35cm ≤ Φ &lt; 50cm</v>
          </cell>
        </row>
        <row r="236">
          <cell r="A236" t="str">
            <v>Cây thị đường kính gốc Φ ≥ 50cm</v>
          </cell>
        </row>
        <row r="237">
          <cell r="A237" t="str">
            <v>Dừa (tính theo đường kính gốc F)</v>
          </cell>
        </row>
        <row r="238">
          <cell r="A238" t="str">
            <v>Cây dừa giống đủ tiêu chuẩn mới trồng</v>
          </cell>
        </row>
        <row r="239">
          <cell r="A239" t="str">
            <v>Cây dừa đường kính gốc 7cm ≤ Φ &lt; 9cm</v>
          </cell>
        </row>
        <row r="240">
          <cell r="A240" t="str">
            <v>Cây dừa đường kính gốc 9cm ≤ Φ &lt; 12cm</v>
          </cell>
        </row>
        <row r="241">
          <cell r="A241" t="str">
            <v>Cây dừa đường kính gốc 12cm ≤ Φ &lt; 15cm</v>
          </cell>
        </row>
        <row r="242">
          <cell r="A242" t="str">
            <v>Cây dừa đường kính gốc 15cm ≤ Φ &lt; 20cm</v>
          </cell>
        </row>
        <row r="243">
          <cell r="A243" t="str">
            <v>Cây dừa đường kính gốc 20cm ≤ Φ &lt; 25cm</v>
          </cell>
        </row>
        <row r="244">
          <cell r="A244" t="str">
            <v>Cây dừa đường kính gốc 25cm ≤ Φ &lt; 30cm</v>
          </cell>
        </row>
        <row r="245">
          <cell r="A245" t="str">
            <v>Cây dừa đường kính gốc 30cm ≤ Φ &lt; 35cm</v>
          </cell>
        </row>
        <row r="246">
          <cell r="A246" t="str">
            <v>Cây dừa đường kính gốc 35cm ≤ Φ &lt; 50cm</v>
          </cell>
        </row>
        <row r="247">
          <cell r="A247" t="str">
            <v>Cây dừa đường kính gốc Φ ≥ 50cm</v>
          </cell>
        </row>
        <row r="248">
          <cell r="A248" t="str">
            <v>Na (tính theo đường kính gốc F)</v>
          </cell>
        </row>
        <row r="249">
          <cell r="A249" t="str">
            <v>Cây na giống đủ tiêu chuẩn mới trồng, chiều cao cây H ≥ 40cm</v>
          </cell>
        </row>
        <row r="250">
          <cell r="A250" t="str">
            <v>Cây na đường kính gốc 1cm ≤ Φ &lt; 2cm</v>
          </cell>
        </row>
        <row r="251">
          <cell r="A251" t="str">
            <v>Cây na đường kính gốc 2cm ≤ Φ &lt; 5cm</v>
          </cell>
        </row>
        <row r="252">
          <cell r="A252" t="str">
            <v>Cây na đường kính gốc 5cm ≤ Φ &lt; 7cm</v>
          </cell>
        </row>
        <row r="253">
          <cell r="A253" t="str">
            <v xml:space="preserve">Cây na đường kính gốc 7cm ≤ Φ &lt; 9cm </v>
          </cell>
        </row>
        <row r="254">
          <cell r="A254" t="str">
            <v>Cây na đường kính gốc 9cm ≤ Φ &lt; 12cm</v>
          </cell>
        </row>
        <row r="255">
          <cell r="A255" t="str">
            <v>Cây na đường kính gốc 12cm ≤ Φ &lt; 15cm</v>
          </cell>
        </row>
        <row r="256">
          <cell r="A256" t="str">
            <v>Cây na đường kính gốc Φ ≥ 15cm</v>
          </cell>
        </row>
        <row r="257">
          <cell r="A257" t="str">
            <v>Dâu da (tính theo đường kính gốc F)</v>
          </cell>
        </row>
        <row r="258">
          <cell r="A258" t="str">
            <v>Cây dâu da giống đủ tiêu chuẩn mới trồng, chiều cao cây H ≥ 40cm</v>
          </cell>
        </row>
        <row r="259">
          <cell r="A259" t="str">
            <v>Cây dâu da đường kính gốc 1cm ≤ Φ &lt; 2cm</v>
          </cell>
        </row>
        <row r="260">
          <cell r="A260" t="str">
            <v>Cây dâu da đường kính gốc 2cm ≤ Φ &lt; 5cm</v>
          </cell>
        </row>
        <row r="261">
          <cell r="A261" t="str">
            <v>Cây dâu da đường kính gốc 5cm ≤ Φ &lt; 7cm</v>
          </cell>
        </row>
        <row r="262">
          <cell r="A262" t="str">
            <v>Cây dâu da đường kính gốc 7cm ≤ Φ &lt; 9cm</v>
          </cell>
        </row>
        <row r="263">
          <cell r="A263" t="str">
            <v>Cây dâu da đường kính gốc 9cm ≤ Φ &lt; 12cm</v>
          </cell>
        </row>
        <row r="264">
          <cell r="A264" t="str">
            <v>Cây dâu da đường kính gốc 12cm ≤ Φ &lt; 15cm</v>
          </cell>
        </row>
        <row r="265">
          <cell r="A265" t="str">
            <v>Cây dâu da đường kính gốc 15cm ≤ Φ &lt; 20cm</v>
          </cell>
        </row>
        <row r="266">
          <cell r="A266" t="str">
            <v>Cây dâu da đường kính gốc 20cm ≤ Φ &lt; 25cm</v>
          </cell>
        </row>
        <row r="267">
          <cell r="A267" t="str">
            <v>Cây dâu da đường kính gốc 25cm ≤ Φ &lt; 35cm</v>
          </cell>
        </row>
        <row r="268">
          <cell r="A268" t="str">
            <v>Cây dâu da đường kính gốc 35cm ≤ Φ &lt; 50cm</v>
          </cell>
        </row>
        <row r="269">
          <cell r="A269" t="str">
            <v>Cây dâu da đường kính gốc Φ ≥ 50cm</v>
          </cell>
        </row>
        <row r="270">
          <cell r="A270" t="str">
            <v xml:space="preserve">Bồ kết (tính theo đường kính gốc F) </v>
          </cell>
        </row>
        <row r="271">
          <cell r="A271" t="str">
            <v>Cây bồ kết giống đủ tiêu chuẩn mới trồng, chiều cao cây H ≥ 40cm</v>
          </cell>
        </row>
        <row r="272">
          <cell r="A272" t="str">
            <v>Cây bồ kết đường kính gốc 1cm ≤ Φ &lt; 2cm</v>
          </cell>
        </row>
        <row r="273">
          <cell r="A273" t="str">
            <v>Cây bồ kết đường kính gốc 2cm ≤ Φ &lt; 5cm</v>
          </cell>
        </row>
        <row r="274">
          <cell r="A274" t="str">
            <v>Cây bồ kết đường kính gốc 5cm ≤ Φ &lt; 7cm</v>
          </cell>
        </row>
        <row r="275">
          <cell r="A275" t="str">
            <v>Cây bồ kết đường kính gốc 7cm ≤ Φ &lt; 9cm</v>
          </cell>
        </row>
        <row r="276">
          <cell r="A276" t="str">
            <v>Cây bồ kết đường kính gốc 9cm ≤ Φ &lt; 12cm</v>
          </cell>
        </row>
        <row r="277">
          <cell r="A277" t="str">
            <v>Cây bồ kết đường kính gốc 12cm ≤ Φ &lt; 15cm</v>
          </cell>
        </row>
        <row r="278">
          <cell r="A278" t="str">
            <v>Cây bồ kết đường kính gốc 15cm ≤ Φ &lt; 20cm</v>
          </cell>
        </row>
        <row r="279">
          <cell r="A279" t="str">
            <v>Cây bồ kết đường kính gốc 20cm ≤ Φ &lt; 25cm</v>
          </cell>
        </row>
        <row r="280">
          <cell r="A280" t="str">
            <v>Cây bồ kết đường kính gốc 25cm ≤ Φ &lt; 30cm</v>
          </cell>
        </row>
        <row r="281">
          <cell r="A281" t="str">
            <v>Cây bồ kết đường kính gốc 30cm ≤ Φ &lt; 35cm</v>
          </cell>
        </row>
        <row r="282">
          <cell r="A282" t="str">
            <v>Cây bồ kết đường kính gốc 35cm ≤ Φ &lt; 50cm</v>
          </cell>
        </row>
        <row r="283">
          <cell r="A283" t="str">
            <v>Cây bồ kết đường kính gốc Φ ≥ 50cm</v>
          </cell>
        </row>
        <row r="284">
          <cell r="A284" t="str">
            <v>Trứng gà (tính theo đường kính gốc F)</v>
          </cell>
        </row>
        <row r="285">
          <cell r="A285" t="str">
            <v>Cây trứng gà giống đủ tiêu chuẩn mới trồng, chiều cao cây H ≥ 40cm</v>
          </cell>
        </row>
        <row r="286">
          <cell r="A286" t="str">
            <v>Cây trứng gà đường kính gốc 1cm ≤ Φ &lt; 2cm</v>
          </cell>
        </row>
        <row r="287">
          <cell r="A287" t="str">
            <v>Cây trứng gà đường kính gốc 2cm ≤ Φ &lt; 5cm</v>
          </cell>
        </row>
        <row r="288">
          <cell r="A288" t="str">
            <v>Cây trứng gà đường kính gốc 5cm ≤ Φ &lt; 7cm</v>
          </cell>
        </row>
        <row r="289">
          <cell r="A289" t="str">
            <v>Cây trứng gà đường kính gốc 7cm ≤ Φ &lt; 9cm</v>
          </cell>
        </row>
        <row r="290">
          <cell r="A290" t="str">
            <v>Cây trứng gà đường kính gốc 9cm ≤ Φ &lt; 12cm</v>
          </cell>
        </row>
        <row r="291">
          <cell r="A291" t="str">
            <v>Cây trứng gà đường kính gốc 12cm ≤ Φ &lt; 15cm</v>
          </cell>
        </row>
        <row r="292">
          <cell r="A292" t="str">
            <v>Cây trứng gà đường kính gốc 15cm ≤ Φ &lt; 20cm</v>
          </cell>
        </row>
        <row r="293">
          <cell r="A293" t="str">
            <v>Cây trứng gà đường kính gốc 20cm ≤ Φ &lt; 25cm</v>
          </cell>
        </row>
        <row r="294">
          <cell r="A294" t="str">
            <v>Cây trứng gà đường kính gốc 25cm ≤ Φ &lt; 30cm</v>
          </cell>
        </row>
        <row r="295">
          <cell r="A295" t="str">
            <v>Cây trứng gà đường kính gốc 30cm ≤ Φ &lt; 35cm</v>
          </cell>
        </row>
        <row r="296">
          <cell r="A296" t="str">
            <v>Cây trứng gà đường kính gốc Φ ≥ 35cm</v>
          </cell>
        </row>
        <row r="297">
          <cell r="A297" t="str">
            <v>Táo (tính theo đường kính gốc F)</v>
          </cell>
        </row>
        <row r="298">
          <cell r="A298" t="str">
            <v>Cây giống đủ tiêu chuẩn mới trồng</v>
          </cell>
        </row>
        <row r="299">
          <cell r="A299" t="str">
            <v xml:space="preserve">Cây táo loại cây ghép có chiều cao cây 40cm ≤ H &lt; 1m  </v>
          </cell>
        </row>
        <row r="300">
          <cell r="A300" t="str">
            <v xml:space="preserve">Cây táo loại cây ghép có chiều cao cây  H ≥ 1m  </v>
          </cell>
        </row>
        <row r="301">
          <cell r="A301" t="str">
            <v>Cây táo đường kính gốc 1cm ≤ Φ &lt; 2cm</v>
          </cell>
        </row>
        <row r="302">
          <cell r="A302" t="str">
            <v>Cây táo đường kính gốc 2cm ≤ Φ &lt; 5cm</v>
          </cell>
        </row>
        <row r="303">
          <cell r="A303" t="str">
            <v>Cây táo đường kính gốc 5cm ≤ Φ &lt; 7cm</v>
          </cell>
        </row>
        <row r="304">
          <cell r="A304" t="str">
            <v>Cây táo đường kính gốc 7cm ≤ Φ &lt; 9cm</v>
          </cell>
        </row>
        <row r="305">
          <cell r="A305" t="str">
            <v>Cây táo đường kính gốc 9cm ≤ Φ &lt; 12cm</v>
          </cell>
        </row>
        <row r="306">
          <cell r="A306" t="str">
            <v>Cây táo đường kính gốc 12cm ≤ Φ &lt; 15cm</v>
          </cell>
        </row>
        <row r="307">
          <cell r="A307" t="str">
            <v>Cây táo đường kính gốc 15cm ≤ Φ &lt; 20cm</v>
          </cell>
        </row>
        <row r="308">
          <cell r="A308" t="str">
            <v>Cây táo đường kính gốc 20cm ≤ Φ &lt; 25cm</v>
          </cell>
        </row>
        <row r="309">
          <cell r="A309" t="str">
            <v>Cây táo đường kính gốc Φ ≥ 25cm</v>
          </cell>
        </row>
        <row r="310">
          <cell r="A310" t="str">
            <v>Ổi (tính theo đường kính gốc F)</v>
          </cell>
        </row>
        <row r="311">
          <cell r="A311" t="str">
            <v>Cây giống đủ tiêu chuẩn mới trồng</v>
          </cell>
        </row>
        <row r="312">
          <cell r="A312" t="str">
            <v xml:space="preserve">Cây ổi loại cây ghép có chiều cao cây 40cm ≤ H &lt; 1m </v>
          </cell>
        </row>
        <row r="313">
          <cell r="A313" t="str">
            <v xml:space="preserve">Cây ổi loại cây ghép có chiều cao cây  H ≥ 1m  </v>
          </cell>
        </row>
        <row r="314">
          <cell r="A314" t="str">
            <v xml:space="preserve">Cây ổi loại cây chiết có chiều cao cây 40cm ≤ H &lt; 1m  </v>
          </cell>
        </row>
        <row r="315">
          <cell r="A315" t="str">
            <v>Cây ổi đường kính gốc 1cm ≤ Φ &lt; 2cm</v>
          </cell>
        </row>
        <row r="316">
          <cell r="A316" t="str">
            <v>Cây ổi đường kính gốc 2cm ≤ Φ &lt; 5cm</v>
          </cell>
        </row>
        <row r="317">
          <cell r="A317" t="str">
            <v>Cây ổi đường kính gốc 5cm ≤ Φ &lt; 7cm</v>
          </cell>
        </row>
        <row r="318">
          <cell r="A318" t="str">
            <v>Cây ổi đường kính gốc 7cm ≤ Φ &lt; 9cm</v>
          </cell>
        </row>
        <row r="319">
          <cell r="A319" t="str">
            <v>Cây ổi đường kính gốc 9cm ≤ Φ &lt; 12cm</v>
          </cell>
        </row>
        <row r="320">
          <cell r="A320" t="str">
            <v>Cây ổi đường kính gốc 12cm ≤ Φ &lt; 15cm</v>
          </cell>
        </row>
        <row r="321">
          <cell r="A321" t="str">
            <v>Cây ổi đường kính gốc 15cm ≤ Φ &lt; 20cm</v>
          </cell>
        </row>
        <row r="322">
          <cell r="A322" t="str">
            <v>Cây ổi đường kính gốc 20cm ≤ Φ &lt; 25cm</v>
          </cell>
        </row>
        <row r="323">
          <cell r="A323" t="str">
            <v>Cây ổi đường kính gốc Φ ≥ 25cm</v>
          </cell>
        </row>
        <row r="324">
          <cell r="A324" t="str">
            <v>Chay (tính theo đường kính gốc F)</v>
          </cell>
        </row>
        <row r="325">
          <cell r="A325" t="str">
            <v>Cây chay giống đủ tiêu chuẩn mới trồng, chiều cao cây H ≥ 40cm</v>
          </cell>
        </row>
        <row r="326">
          <cell r="A326" t="str">
            <v>Cây chay đường kính gốc 1cm ≤ Φ &lt; 2cm</v>
          </cell>
        </row>
        <row r="327">
          <cell r="A327" t="str">
            <v>Cây chay đường kính gốc 2cm ≤ Φ &lt; 5cm</v>
          </cell>
        </row>
        <row r="328">
          <cell r="A328" t="str">
            <v>Cây chay đường kính gốc 5cm ≤ Φ &lt; 7cm</v>
          </cell>
        </row>
        <row r="329">
          <cell r="A329" t="str">
            <v>Cây chay đường kính gốc 7cm ≤ Φ &lt; 9cm</v>
          </cell>
        </row>
        <row r="330">
          <cell r="A330" t="str">
            <v>Cây chay đường kính gốc 9cm ≤ Φ &lt; 12cm</v>
          </cell>
        </row>
        <row r="331">
          <cell r="A331" t="str">
            <v>Cây chay đường kính gốc 12cm ≤ Φ &lt; 15cm</v>
          </cell>
        </row>
        <row r="332">
          <cell r="A332" t="str">
            <v>Cây chay đường kính gốc 15cm ≤ Φ &lt; 20cm</v>
          </cell>
        </row>
        <row r="333">
          <cell r="A333" t="str">
            <v>Cây chay đường kính gốc 20cm ≤ Φ &lt; 30cm</v>
          </cell>
        </row>
        <row r="334">
          <cell r="A334" t="str">
            <v>Cây chay đường kính gốc 30cm ≤ Φ &lt; 50cm</v>
          </cell>
        </row>
        <row r="335">
          <cell r="A335" t="str">
            <v>Cây chay đường kính gốc Φ ≥ 50cm</v>
          </cell>
        </row>
        <row r="336">
          <cell r="A336" t="str">
            <v xml:space="preserve">Khế (tính theo đường kính gốc F) </v>
          </cell>
        </row>
        <row r="337">
          <cell r="A337" t="str">
            <v>Cây giống đủ tiêu chuẩn mới trồng</v>
          </cell>
        </row>
        <row r="338">
          <cell r="A338" t="str">
            <v xml:space="preserve">Cây khế loại cây ghép có chiều cao cây 40cm ≤ H &lt; 1m  </v>
          </cell>
        </row>
        <row r="339">
          <cell r="A339" t="str">
            <v xml:space="preserve">Cây khế loại cây ghép có chiều cao cây  H ≥ 1m  </v>
          </cell>
        </row>
        <row r="340">
          <cell r="A340" t="str">
            <v>Cây khế đường kính gốc 1cm ≤ Φ &lt; 2cm</v>
          </cell>
        </row>
        <row r="341">
          <cell r="A341" t="str">
            <v>Cây khế đường kính gốc 2cm ≤ Φ &lt; 5cm</v>
          </cell>
        </row>
        <row r="342">
          <cell r="A342" t="str">
            <v>Cây khế đường kính gốc 5cm ≤ Φ &lt; 7cm</v>
          </cell>
        </row>
        <row r="343">
          <cell r="A343" t="str">
            <v>Cây khế đường kính gốc 7cm ≤ Φ &lt; 9cm</v>
          </cell>
        </row>
        <row r="344">
          <cell r="A344" t="str">
            <v>Cây khế đường kính gốc 9cm ≤ Φ &lt; 12cm</v>
          </cell>
        </row>
        <row r="345">
          <cell r="A345" t="str">
            <v>Cây khế đường kính gốc 12cm ≤ Φ &lt; 15cm</v>
          </cell>
        </row>
        <row r="346">
          <cell r="A346" t="str">
            <v>Cây khế đường kính gốc 15cm ≤ Φ &lt; 20cm</v>
          </cell>
        </row>
        <row r="347">
          <cell r="A347" t="str">
            <v>Cây khế đường kính gốc 20cm ≤ Φ &lt; 25cm</v>
          </cell>
        </row>
        <row r="348">
          <cell r="A348" t="str">
            <v>Cây khế đường kính gốc  Φ ≥ 25cm</v>
          </cell>
        </row>
        <row r="349">
          <cell r="A349" t="str">
            <v xml:space="preserve">Me (tính theo đường kính gốc F) </v>
          </cell>
        </row>
        <row r="350">
          <cell r="A350" t="str">
            <v xml:space="preserve">Cây me giống đủ tiêu chuẩn mới trồng, chiều cao cây H ≥ 40cm </v>
          </cell>
        </row>
        <row r="351">
          <cell r="A351" t="str">
            <v>Cây me đường kính gốc 1cm ≤ Φ &lt; 2cm</v>
          </cell>
        </row>
        <row r="352">
          <cell r="A352" t="str">
            <v>Cây me đường kính gốc 2cm ≤ Φ &lt; 5cm</v>
          </cell>
        </row>
        <row r="353">
          <cell r="A353" t="str">
            <v>Cây me đường kính gốc 5cm ≤ Φ &lt; 7cm</v>
          </cell>
        </row>
        <row r="354">
          <cell r="A354" t="str">
            <v>Cây me đường kính gốc 7cm ≤ Φ &lt; 9cm</v>
          </cell>
        </row>
        <row r="355">
          <cell r="A355" t="str">
            <v>Cây me đường kính gốc 9cm ≤ Φ &lt; 12cm</v>
          </cell>
        </row>
        <row r="356">
          <cell r="A356" t="str">
            <v>Cây me đường kính gốc 12cm ≤ Φ &lt; 15cm</v>
          </cell>
        </row>
        <row r="357">
          <cell r="A357" t="str">
            <v>Cây me đường kính gốc 15cm ≤ Φ &lt; 20cm</v>
          </cell>
        </row>
        <row r="358">
          <cell r="A358" t="str">
            <v>Cây me đường kính gốc 20cm ≤ Φ &lt; 25cm</v>
          </cell>
        </row>
        <row r="359">
          <cell r="A359" t="str">
            <v>Cây me đường kính gốc 25cm ≤ Φ &lt; 30cm</v>
          </cell>
        </row>
        <row r="360">
          <cell r="A360" t="str">
            <v>Cây me đường kính gốc 30cm ≤ Φ &lt; 35cm</v>
          </cell>
        </row>
        <row r="361">
          <cell r="A361" t="str">
            <v>Cây me đường kính gốc 35cm ≤ Φ &lt; 50cm</v>
          </cell>
        </row>
        <row r="362">
          <cell r="A362" t="str">
            <v>Cây me đường kính gốc Φ ≥ 50cm</v>
          </cell>
        </row>
        <row r="363">
          <cell r="A363" t="str">
            <v>Mơ, mận (tính theo đường kính gốc F)</v>
          </cell>
        </row>
        <row r="364">
          <cell r="A364" t="str">
            <v>Cây mơ, mận giống đủ tiêu chuẩn mới trồng, chiều cao cây H ≥ 40cm</v>
          </cell>
        </row>
        <row r="365">
          <cell r="A365" t="str">
            <v>Cây mơ, mận đường kính gốc 1cm ≤ Φ &lt; 2cm</v>
          </cell>
        </row>
        <row r="366">
          <cell r="A366" t="str">
            <v>Cây mơ, mận đường kính gốc 2cm ≤ Φ &lt; 5cm</v>
          </cell>
        </row>
        <row r="367">
          <cell r="A367" t="str">
            <v>Cây mơ, mận đường kính gốc 5cm ≤ Φ &lt; 7cm</v>
          </cell>
        </row>
        <row r="368">
          <cell r="A368" t="str">
            <v>Cây mơ, mận đường kính gốc 7cm ≤ Φ &lt; 9cm</v>
          </cell>
        </row>
        <row r="369">
          <cell r="A369" t="str">
            <v>Cây mơ, mận đường kính gốc 9cm ≤ Φ &lt; 12cm</v>
          </cell>
        </row>
        <row r="370">
          <cell r="A370" t="str">
            <v>Cây mơ, mận đường kính gốc 12cm ≤ Φ &lt; 15cm</v>
          </cell>
        </row>
        <row r="371">
          <cell r="A371" t="str">
            <v>Cây mơ, mận đường kính gốc 15cm ≤ Φ &lt; 20cm</v>
          </cell>
        </row>
        <row r="372">
          <cell r="A372" t="str">
            <v>Cây mơ, mận đường kính gốc 20cm ≤ Φ &lt; 25cm</v>
          </cell>
        </row>
        <row r="373">
          <cell r="A373" t="str">
            <v>Cây mơ, mận đường kính gốc Φ ≥ 25cm</v>
          </cell>
        </row>
        <row r="374">
          <cell r="A374" t="str">
            <v xml:space="preserve">Cau ăn quả (tính theo đường kính gốc F) </v>
          </cell>
        </row>
        <row r="375">
          <cell r="A375" t="str">
            <v>Cây cau giống đủ tiêu chuẩn mới trồng, chiều cao cây H ≥ 40cm</v>
          </cell>
        </row>
        <row r="376">
          <cell r="A376" t="str">
            <v>Cây cau đường kính gốc 1cm ≤ Φ &lt; 2cm</v>
          </cell>
        </row>
        <row r="377">
          <cell r="A377" t="str">
            <v>Cây cau đường kính gốc 2cm ≤ Φ &lt; 5cm</v>
          </cell>
        </row>
        <row r="378">
          <cell r="A378" t="str">
            <v>Cây cau đường kính gốc 5cm ≤ Φ &lt; 7cm</v>
          </cell>
        </row>
        <row r="379">
          <cell r="A379" t="str">
            <v>Cây cau đường kính gốc 7cm ≤ Φ &lt; 9cm</v>
          </cell>
        </row>
        <row r="380">
          <cell r="A380" t="str">
            <v>Cây cau đường kính gốc 9cm ≤ Φ &lt; 12cm</v>
          </cell>
        </row>
        <row r="381">
          <cell r="A381" t="str">
            <v>Cây cau đường kính gốc 12cm ≤ Φ &lt; 15cm</v>
          </cell>
        </row>
        <row r="382">
          <cell r="A382" t="str">
            <v>Cây cau đường kính gốc 15cm ≤ Φ &lt; 20cm</v>
          </cell>
        </row>
        <row r="383">
          <cell r="A383" t="str">
            <v>Cây cau đường kính gốc Φ ≥ 20cm</v>
          </cell>
        </row>
        <row r="384">
          <cell r="A384" t="str">
            <v xml:space="preserve">Vú sữa (tính theo đường kính gốc F) </v>
          </cell>
        </row>
        <row r="385">
          <cell r="A385" t="str">
            <v>Cây vú sữa giống đủ tiêu chuẩn mới trồng, chiều cao cây H ≥ 40cm</v>
          </cell>
        </row>
        <row r="386">
          <cell r="A386" t="str">
            <v>Cây vú sữa đường kính gốc 1cm ≤ Φ &lt; 2cm</v>
          </cell>
        </row>
        <row r="387">
          <cell r="A387" t="str">
            <v>Cây vú sữa đường kính gốc 2cm ≤ Φ &lt; 5cm</v>
          </cell>
        </row>
        <row r="388">
          <cell r="A388" t="str">
            <v>Cây vú sữa đường kính gốc 5cm ≤ Φ &lt; 7cm</v>
          </cell>
        </row>
        <row r="389">
          <cell r="A389" t="str">
            <v>Cây vú sữa đường kính gốc 7cm ≤ Φ &lt; 9cm</v>
          </cell>
        </row>
        <row r="390">
          <cell r="A390" t="str">
            <v>Cây vú sữa đường kính gốc 9cm ≤ Φ &lt; 12cm</v>
          </cell>
        </row>
        <row r="391">
          <cell r="A391" t="str">
            <v>Cây vú sữa đường kính gốc 12cm ≤ Φ &lt; 15cm</v>
          </cell>
        </row>
        <row r="392">
          <cell r="A392" t="str">
            <v>Cây vú sữa đường kính gốc 15cm ≤ Φ &lt; 20cm</v>
          </cell>
        </row>
        <row r="393">
          <cell r="A393" t="str">
            <v>Cây vú sữa đường kính gốc 20cm ≤ Φ &lt; 25cm</v>
          </cell>
        </row>
        <row r="394">
          <cell r="A394" t="str">
            <v>Cây vú sữa đường kính gốc 25cm ≤ Φ &lt; 30cm</v>
          </cell>
        </row>
        <row r="395">
          <cell r="A395" t="str">
            <v>Cây vú sữa đường kính gốc 30cm ≤ Φ &lt; 35cm</v>
          </cell>
        </row>
        <row r="396">
          <cell r="A396" t="str">
            <v>Cây vú sữa đường kính gốc 35cm ≤ Φ &lt; 50cm</v>
          </cell>
        </row>
        <row r="397">
          <cell r="A397" t="str">
            <v>Cây vú sữa đường kính gốc Φ ≥ 50cm</v>
          </cell>
        </row>
        <row r="398">
          <cell r="A398" t="str">
            <v>Đu đủ (tính theo đường kính gốc F)</v>
          </cell>
        </row>
        <row r="399">
          <cell r="A399" t="str">
            <v xml:space="preserve">Cây đu đủ giống đủ tiêu chuẩn mới trồng, chiều cao cây H ≥ 40cm </v>
          </cell>
        </row>
        <row r="400">
          <cell r="A400" t="str">
            <v>Cây đu đủ đường kính gốc 2cm ≤ Φ &lt; 5cm</v>
          </cell>
        </row>
        <row r="401">
          <cell r="A401" t="str">
            <v>Cây đu đủ đường kính gốc 5cm ≤ Φ &lt; 9cm</v>
          </cell>
        </row>
        <row r="402">
          <cell r="A402" t="str">
            <v>Cây đu đủ đường kính gốc 9cm ≤ Φ &lt; 12cm</v>
          </cell>
        </row>
        <row r="403">
          <cell r="A403" t="str">
            <v>Cây đu đủ đường kính gốc 12cm ≤ Φ &lt; 15cm</v>
          </cell>
        </row>
        <row r="404">
          <cell r="A404" t="str">
            <v>Cây đu đủ đường kính gốc 15cm ≤ Φ &lt; 20cm</v>
          </cell>
        </row>
        <row r="405">
          <cell r="A405" t="str">
            <v>Cây đu đủ đường kính gốc Φ ≥ 20cm</v>
          </cell>
        </row>
        <row r="406">
          <cell r="A406" t="str">
            <v xml:space="preserve">Roi (tính theo đường kính tán F) </v>
          </cell>
        </row>
        <row r="407">
          <cell r="A407" t="str">
            <v>Cây roi giống đủ tiêu chuẩn mới trồng</v>
          </cell>
        </row>
        <row r="408">
          <cell r="A408" t="str">
            <v>Cây roi đường kính tán 0,7m ≤ Φ &lt; 1m</v>
          </cell>
        </row>
        <row r="409">
          <cell r="A409" t="str">
            <v>Cây roi đường kính tán 1m ≤ Φ &lt; 1,5m</v>
          </cell>
        </row>
        <row r="410">
          <cell r="A410" t="str">
            <v>Cây roi đường kính tán 1,5m ≤ Φ &lt; 2m</v>
          </cell>
        </row>
        <row r="411">
          <cell r="A411" t="str">
            <v>Cây roi đường kính tán 2m ≤ Φ &lt; 3m</v>
          </cell>
        </row>
        <row r="412">
          <cell r="A412" t="str">
            <v>Cây roi đường kính tán 3m ≤ Φ &lt; 4m</v>
          </cell>
        </row>
        <row r="413">
          <cell r="A413" t="str">
            <v>Cây roi đường kính tán 4m ≤ Φ &lt; 5m</v>
          </cell>
        </row>
        <row r="414">
          <cell r="A414" t="str">
            <v>Cây roi đường kính tán 5m ≤ Φ &lt; 6m</v>
          </cell>
        </row>
        <row r="415">
          <cell r="A415" t="str">
            <v>Cây roi đường kính tán 6m ≤ Φ &lt; 7m</v>
          </cell>
        </row>
        <row r="416">
          <cell r="A416" t="str">
            <v>Cây roi đường kính tán 7m ≤ Φ &lt; 8m</v>
          </cell>
        </row>
        <row r="417">
          <cell r="A417" t="str">
            <v>Cây roi đường kính tán 8m ≤ Φ &lt; 9m</v>
          </cell>
        </row>
        <row r="418">
          <cell r="A418" t="str">
            <v>Cây roi đường kính tán 9m ≤ Φ &lt; 12m</v>
          </cell>
        </row>
        <row r="419">
          <cell r="A419" t="str">
            <v>Cây roi đường kính tán Φ ≥ 12m</v>
          </cell>
        </row>
        <row r="420">
          <cell r="A420" t="str">
            <v>Sấu (tính theo đường kính gốc F)</v>
          </cell>
        </row>
        <row r="421">
          <cell r="A421" t="str">
            <v>Cây sấu giống đủ tiêu chuẩn mới trồng, chiều cao cây H ≥ 40cm</v>
          </cell>
        </row>
        <row r="422">
          <cell r="A422" t="str">
            <v>Cây sấu đường kính gốc 1cm ≤ Φ &lt; 2cm</v>
          </cell>
        </row>
        <row r="423">
          <cell r="A423" t="str">
            <v>Cây sấu đường kính gốc 2cm ≤ Φ &lt; 5cm</v>
          </cell>
        </row>
        <row r="424">
          <cell r="A424" t="str">
            <v>Cây sấu đường kính gốc 5cm ≤ Φ &lt; 7cm</v>
          </cell>
        </row>
        <row r="425">
          <cell r="A425" t="str">
            <v>Cây sấu đường kính gốc 7cm ≤ Φ &lt; 9cm</v>
          </cell>
        </row>
        <row r="426">
          <cell r="A426" t="str">
            <v>Cây sấu đường kính gốc 9cm ≤ Φ &lt; 12cm</v>
          </cell>
        </row>
        <row r="427">
          <cell r="A427" t="str">
            <v>Cây sấu đường kính gốc 12cm ≤ Φ &lt; 15cm</v>
          </cell>
        </row>
        <row r="428">
          <cell r="A428" t="str">
            <v>Cây sấu đường kính gốc 15cm ≤ Φ &lt; 20cm</v>
          </cell>
        </row>
        <row r="429">
          <cell r="A429" t="str">
            <v>Cây sấu đường kính gốc 20cm ≤ Φ &lt; 25cm</v>
          </cell>
        </row>
        <row r="430">
          <cell r="A430" t="str">
            <v>Cây sấu đường kính gốc 25cm ≤ Φ &lt; 30cm</v>
          </cell>
        </row>
        <row r="431">
          <cell r="A431" t="str">
            <v>Cây sấu đường kính gốc 30cm ≤ Φ &lt; 35cm</v>
          </cell>
        </row>
        <row r="432">
          <cell r="A432" t="str">
            <v>Cây sấu đường kính gốc 35cm ≤ Φ &lt; 50cm</v>
          </cell>
        </row>
        <row r="433">
          <cell r="A433" t="str">
            <v>Cây sấu đường kính gốc Φ ≥ 50cm</v>
          </cell>
        </row>
        <row r="434">
          <cell r="A434" t="str">
            <v>Trứng cá (tính theo đường kính gốc F)</v>
          </cell>
        </row>
        <row r="435">
          <cell r="A435" t="str">
            <v>Cây trứng cá giống đủ tiêu chuẩn mới trồng, chiều cao cây H ≥ 40cm</v>
          </cell>
        </row>
        <row r="436">
          <cell r="A436" t="str">
            <v xml:space="preserve">Cây trứng cá đường kính gốc 1cm ≤ Φ &lt; 2cm </v>
          </cell>
        </row>
        <row r="437">
          <cell r="A437" t="str">
            <v>Cây trứng cá đường kính gốc 2cm ≤ Φ &lt; 5cm</v>
          </cell>
        </row>
        <row r="438">
          <cell r="A438" t="str">
            <v>Cây trứng cá đường kính gốc 5cm ≤ Φ &lt; 7cm</v>
          </cell>
        </row>
        <row r="439">
          <cell r="A439" t="str">
            <v>Cây trứng cá đường kính gốc 7cm ≤ Φ &lt; 9cm</v>
          </cell>
        </row>
        <row r="440">
          <cell r="A440" t="str">
            <v>Cây trứng cá đường kính gốc 9cm ≤ Φ &lt; 12cm</v>
          </cell>
        </row>
        <row r="441">
          <cell r="A441" t="str">
            <v>Cây trứng cá đường kính gốc 12cm ≤ Φ &lt; 15cm</v>
          </cell>
        </row>
        <row r="442">
          <cell r="A442" t="str">
            <v>Cây trứng cá đường kính gốc 15cm ≤ Φ &lt; 20cm</v>
          </cell>
        </row>
        <row r="443">
          <cell r="A443" t="str">
            <v>Cây trứng cá đường kính gốc 20cm ≤ Φ &lt; 25cm</v>
          </cell>
        </row>
        <row r="444">
          <cell r="A444" t="str">
            <v>Cây trứng cá đường kính gốc 25cm ≤ Φ &lt; 30cm</v>
          </cell>
        </row>
        <row r="445">
          <cell r="A445" t="str">
            <v>Cây trứng cá đường kính gốc 30cm ≤ Φ &lt; 35cm</v>
          </cell>
        </row>
        <row r="446">
          <cell r="A446" t="str">
            <v>Cây trứng cá đường kính gốc Φ ≥ 35cm</v>
          </cell>
        </row>
        <row r="447">
          <cell r="A447" t="str">
            <v>Sung (tính theo đường kính gốc F)</v>
          </cell>
        </row>
        <row r="448">
          <cell r="A448" t="str">
            <v xml:space="preserve">Cây sung giống đủ tiêu chuẩn mới trồng, chiều cao cây H ≥ 40cm  </v>
          </cell>
        </row>
        <row r="449">
          <cell r="A449" t="str">
            <v>Cây sung đường kính gốc 1cm ≤ Φ &lt; 5cm</v>
          </cell>
        </row>
        <row r="450">
          <cell r="A450" t="str">
            <v>Cây sung đường kính gốc 5cm ≤ Φ &lt; 10cm</v>
          </cell>
        </row>
        <row r="451">
          <cell r="A451" t="str">
            <v xml:space="preserve">Cây sung đường kính gốc 10cm ≤ Φ &lt; 15cm  </v>
          </cell>
        </row>
        <row r="452">
          <cell r="A452" t="str">
            <v>Cây sung đường kính gốc 15cm ≤ Φ &lt; 20cm</v>
          </cell>
        </row>
        <row r="453">
          <cell r="A453" t="str">
            <v>Cây sung đường kính gốc 20cm ≤ Φ &lt; 25cm</v>
          </cell>
        </row>
        <row r="454">
          <cell r="A454" t="str">
            <v>Cây sung đường kính gốc 25cm ≤ Φ &lt; 30cm</v>
          </cell>
        </row>
        <row r="455">
          <cell r="A455" t="str">
            <v>Cây sung đường kính gốc 30cm ≤ Φ &lt; 35cm</v>
          </cell>
        </row>
        <row r="456">
          <cell r="A456" t="str">
            <v>Cây sung đường kính gốc 35cm ≤ Φ &lt; 50cm</v>
          </cell>
        </row>
        <row r="457">
          <cell r="A457" t="str">
            <v>Cây sung đường kính gốc Φ ≥ 50cm</v>
          </cell>
        </row>
        <row r="458">
          <cell r="A458" t="str">
            <v>Vối (tính theo đường kính gốc F)</v>
          </cell>
        </row>
        <row r="459">
          <cell r="A459" t="str">
            <v>Cây vối giống đủ tiêu chuẩn mới trồng, chiều cao cây H ≥ 40cm</v>
          </cell>
        </row>
        <row r="460">
          <cell r="A460" t="str">
            <v>Cây vối đường kính gốc 1cm ≤ Φ &lt; 5cm</v>
          </cell>
        </row>
        <row r="461">
          <cell r="A461" t="str">
            <v>Cây vối đường kính gốc 5cm ≤ Φ &lt; 10cm</v>
          </cell>
        </row>
        <row r="462">
          <cell r="A462" t="str">
            <v>Cây vối đường kính gốc 10cm ≤ Φ &lt; 15cm</v>
          </cell>
        </row>
        <row r="463">
          <cell r="A463" t="str">
            <v>Cây vối đường kính gốc 15cm ≤ Φ &lt; 20cm</v>
          </cell>
        </row>
        <row r="464">
          <cell r="A464" t="str">
            <v>Cây vối đường kính gốc 20cm ≤ Φ &lt; 25cm</v>
          </cell>
        </row>
        <row r="465">
          <cell r="A465" t="str">
            <v>Cây vối đường kính gốc 25cm ≤ Φ &lt; 30cm</v>
          </cell>
        </row>
        <row r="466">
          <cell r="A466" t="str">
            <v>Cây vối đường kính gốc 30cm ≤ Φ &lt; 35cm</v>
          </cell>
        </row>
        <row r="467">
          <cell r="A467" t="str">
            <v>Cây vối đường kính gốc 35cm ≤ Φ &lt; 50cm</v>
          </cell>
        </row>
        <row r="468">
          <cell r="A468" t="str">
            <v>Cây vối đường kính gốc F ³ 50cm</v>
          </cell>
        </row>
        <row r="469">
          <cell r="A469" t="str">
            <v>Cây Mãng cầu</v>
          </cell>
        </row>
        <row r="470">
          <cell r="A470" t="str">
            <v>Cây mãng cầu mới trồng &lt; 01 năm (cây từ hạt)</v>
          </cell>
        </row>
        <row r="471">
          <cell r="A471" t="str">
            <v>Cây mãng cầu mới trồng &lt; 01 năm (cây ghép)</v>
          </cell>
        </row>
        <row r="472">
          <cell r="A472" t="str">
            <v>Cây mãng cầu trồng ≥ 01 năm, chiều cao thân cây &lt; 1m chưa có quả</v>
          </cell>
        </row>
        <row r="473">
          <cell r="A473" t="str">
            <v>Cây mãng cầu có chiều cao thân cây ≥ 1m chưa có quả</v>
          </cell>
        </row>
        <row r="474">
          <cell r="A474" t="str">
            <v>Cây mãng cầu đã có quả</v>
          </cell>
        </row>
        <row r="475">
          <cell r="A475" t="str">
            <v>Cây mãng cầu có quả kém, già cỗi (hỗ trợ công chặt)</v>
          </cell>
        </row>
        <row r="476">
          <cell r="A476" t="str">
            <v>Cây Bơ </v>
          </cell>
        </row>
        <row r="477">
          <cell r="A477" t="str">
            <v>Cây bơ mới trồng &lt; 01 năm (cây từ hạt)</v>
          </cell>
        </row>
        <row r="478">
          <cell r="A478" t="str">
            <v>Cây bơ mới trồng &lt; 01 năm (cây ghép)</v>
          </cell>
        </row>
        <row r="479">
          <cell r="A479" t="str">
            <v>Cây bơ trồng ≥ 01 năm, chiều cao thân cây &lt; 1m chưa có quả</v>
          </cell>
        </row>
        <row r="480">
          <cell r="A480" t="str">
            <v>Cây bơ có chiều cao thân cây ≥ 1m chưa có quả</v>
          </cell>
        </row>
        <row r="481">
          <cell r="A481" t="str">
            <v>Cây bơ có quả đường kính gốc &lt; 20cm</v>
          </cell>
        </row>
        <row r="482">
          <cell r="A482" t="str">
            <v>Cây bơ có quả tốt đường kính gốc từ 20cm đến 40cm</v>
          </cell>
        </row>
        <row r="483">
          <cell r="A483" t="str">
            <v>Cây bơ có quả đường kính gốc &gt; 40cm</v>
          </cell>
        </row>
        <row r="484">
          <cell r="A484" t="str">
            <v>Cây bơ có quả kém, già cỗi (hỗ trợ công chặt)</v>
          </cell>
        </row>
        <row r="485">
          <cell r="A485" t="str">
            <v>Cây Sầu riêng</v>
          </cell>
        </row>
        <row r="486">
          <cell r="A486" t="str">
            <v>Cây sầu riêng mới trồng &lt; 01 năm (cây từ hạt)</v>
          </cell>
        </row>
        <row r="487">
          <cell r="A487" t="str">
            <v>Cây sầu riêng mới trồng &lt; 01 năm (cây ghép)</v>
          </cell>
        </row>
        <row r="488">
          <cell r="A488" t="str">
            <v>Cây sầu riêng trồng ≥ 01 năm, chiều cao thân cây &lt; 1m chưa có quả</v>
          </cell>
        </row>
        <row r="489">
          <cell r="A489" t="str">
            <v>Cây sầu riêng trồng có chiều cao thân cây từ ≥ 1m chưa có quả</v>
          </cell>
        </row>
        <row r="490">
          <cell r="A490" t="str">
            <v>Cây sầu riêng có quả đường kính gốc &lt; 20cm</v>
          </cell>
        </row>
        <row r="491">
          <cell r="A491" t="str">
            <v>Cây sầu riêng có quả tốt đường kính gốc ≥ 20cm đến &lt; 45cm</v>
          </cell>
        </row>
        <row r="492">
          <cell r="A492" t="str">
            <v>Cây sầu riêng có quả thu hoạch tốt đường kính gốc ≥ 45cm</v>
          </cell>
        </row>
        <row r="493">
          <cell r="A493" t="str">
            <v>Dứa ăn quả</v>
          </cell>
        </row>
        <row r="494">
          <cell r="A494" t="str">
            <v>Dứa quả cây giống</v>
          </cell>
        </row>
        <row r="495">
          <cell r="A495" t="str">
            <v>Dứa cây chưa ra quả</v>
          </cell>
        </row>
        <row r="496">
          <cell r="A496" t="str">
            <v xml:space="preserve">Dứa đang ra quả </v>
          </cell>
        </row>
        <row r="497">
          <cell r="A497" t="str">
            <v>Dứa khóm (tính theo khóm) có từ 4 cây trở lên</v>
          </cell>
        </row>
        <row r="498">
          <cell r="A498" t="str">
            <v>Chuối (tính theo đường kính gốc Φ)</v>
          </cell>
        </row>
        <row r="499">
          <cell r="A499" t="str">
            <v>Cây chuối có đường kính gốc Φ &lt; 15cm</v>
          </cell>
        </row>
        <row r="500">
          <cell r="A500" t="str">
            <v>Cây chuối có đường kính gốc Φ ≥ 15cm (chưa có buồng)</v>
          </cell>
        </row>
        <row r="501">
          <cell r="A501" t="str">
            <v>Chuối có buồng non chưa thu hoạch</v>
          </cell>
        </row>
        <row r="502">
          <cell r="A502" t="str">
            <v>Nhót, nho</v>
          </cell>
        </row>
        <row r="503">
          <cell r="A503" t="str">
            <v>Cây nhót, nho giống</v>
          </cell>
        </row>
        <row r="504">
          <cell r="A504" t="str">
            <v>Cây nhót, nho đã phát triển (tính theo diện tích giàn)</v>
          </cell>
        </row>
        <row r="505">
          <cell r="A505" t="str">
            <v>Gấc</v>
          </cell>
        </row>
        <row r="506">
          <cell r="A506" t="str">
            <v xml:space="preserve">Gấc tính theo m2 giàn </v>
          </cell>
        </row>
        <row r="507">
          <cell r="A507" t="str">
            <v>Gấc tính theo khóm gốc</v>
          </cell>
        </row>
        <row r="508">
          <cell r="A508" t="str">
            <v xml:space="preserve">Cây gấc chiều dài dây leo L &lt; 3m </v>
          </cell>
        </row>
        <row r="509">
          <cell r="A509" t="str">
            <v xml:space="preserve">Cây gấc chiều dài dây leo 3m ≤ L &lt; 10m </v>
          </cell>
        </row>
        <row r="510">
          <cell r="A510" t="str">
            <v xml:space="preserve">Cây gấc chiều dài dây leo L ≥ 10m </v>
          </cell>
        </row>
        <row r="511">
          <cell r="A511" t="str">
            <v xml:space="preserve">Lựu (tính theo đường kính gốc F) </v>
          </cell>
        </row>
        <row r="512">
          <cell r="A512" t="str">
            <v>Cây lựu mới trồng, chiều cao cây  H ≥ 40cm</v>
          </cell>
        </row>
        <row r="513">
          <cell r="A513" t="str">
            <v>Cây lựu đường kính gốc 1cm ≤ Φ &lt; 2cm</v>
          </cell>
        </row>
        <row r="514">
          <cell r="A514" t="str">
            <v>Cây lựu đường kính gốc 2cm ≤ Φ &lt; 5cm</v>
          </cell>
        </row>
        <row r="515">
          <cell r="A515" t="str">
            <v>Cây lựu đường kính gốc 5cm ≤ Φ &lt; 7cm</v>
          </cell>
        </row>
        <row r="516">
          <cell r="A516" t="str">
            <v>Cây lựu đường kính gốc 7cm ≤ Φ &lt; 9cm</v>
          </cell>
        </row>
        <row r="517">
          <cell r="A517" t="str">
            <v>Cây lựu đường kính gốc 9cm ≤ Φ &lt; 12cm</v>
          </cell>
        </row>
        <row r="518">
          <cell r="A518" t="str">
            <v xml:space="preserve">Cây lựu đường kính gốc 12cm ≤ Φ &lt; 15cm </v>
          </cell>
        </row>
        <row r="519">
          <cell r="A519" t="str">
            <v xml:space="preserve">Cây lựu đường kính gốc 15cm ≤ Φ &lt; 20cm </v>
          </cell>
        </row>
        <row r="520">
          <cell r="A520" t="str">
            <v xml:space="preserve">Cây lựu đường kính gốc Φ ≥ 20cm </v>
          </cell>
        </row>
        <row r="521">
          <cell r="A521" t="str">
            <v>CÂY LẤY GỖ</v>
          </cell>
        </row>
        <row r="522">
          <cell r="A522" t="str">
            <v>Bạch đàn, phi lao, keo (tính theo đường kính gốc F)</v>
          </cell>
        </row>
        <row r="523">
          <cell r="A523" t="str">
            <v>Cây keo giống đủ tiêu chuẩn mới trồng, chiều cao cây H ≥ 40cm</v>
          </cell>
        </row>
        <row r="524">
          <cell r="A524" t="str">
            <v>Cây keo đường kính gốc 1cm ≤ Φ &lt; 2cm</v>
          </cell>
        </row>
        <row r="525">
          <cell r="A525" t="str">
            <v>Cây keo đường kính gốc 2cm ≤ Φ &lt; 5cm</v>
          </cell>
        </row>
        <row r="526">
          <cell r="A526" t="str">
            <v>Cây keo đường kính gốc 5cm ≤ Φ &lt; 10cm</v>
          </cell>
        </row>
        <row r="527">
          <cell r="A527" t="str">
            <v>Cây keo đường kính gốc 10cm ≤ Φ &lt; 15cm</v>
          </cell>
        </row>
        <row r="528">
          <cell r="A528" t="str">
            <v>Cây keo đường kính gốc 15cm ≤ Φ &lt; 20cm</v>
          </cell>
        </row>
        <row r="529">
          <cell r="A529" t="str">
            <v>Cây keo đường kính gốc 20cm ≤ Φ &lt; 25cm</v>
          </cell>
        </row>
        <row r="530">
          <cell r="A530" t="str">
            <v>Cây keo đường kính gốc 25cm ≤ Φ &lt; 30cm</v>
          </cell>
        </row>
        <row r="531">
          <cell r="A531" t="str">
            <v>Cây keo đường kính gốc 30cm ≤ Φ &lt; 35cm</v>
          </cell>
        </row>
        <row r="532">
          <cell r="A532" t="str">
            <v>Cây keo đường kính gốc 35cm ≤ Φ &lt; 50cm</v>
          </cell>
        </row>
        <row r="533">
          <cell r="A533" t="str">
            <v>Cây keo đường kính gốc Φ ≥ 50cm (chi phí chặt hạ)</v>
          </cell>
        </row>
        <row r="534">
          <cell r="A534" t="str">
            <v>Cây bạch đàn giống đủ tiêu chuẩn mới trồng, chiều cao cây H ≥ 40cm</v>
          </cell>
        </row>
        <row r="535">
          <cell r="A535" t="str">
            <v>Cây bạch đàn đường kính gốc 1cm ≤ Φ &lt; 2cm</v>
          </cell>
        </row>
        <row r="536">
          <cell r="A536" t="str">
            <v>Cây bạch đàn đường kính gốc 2cm ≤ Φ &lt; 5cm</v>
          </cell>
        </row>
        <row r="537">
          <cell r="A537" t="str">
            <v>Cây bạch đàn đường kính gốc 5cm ≤ Φ &lt; 10cm</v>
          </cell>
        </row>
        <row r="538">
          <cell r="A538" t="str">
            <v>Cây bạch đàn đường kính gốc 10cm ≤ Φ &lt; 15cm</v>
          </cell>
        </row>
        <row r="539">
          <cell r="A539" t="str">
            <v>Cây bạch đàn đường kính gốc 15cm ≤ Φ &lt; 20cm</v>
          </cell>
        </row>
        <row r="540">
          <cell r="A540" t="str">
            <v>Cây bạch đàn đường kính gốc 20cm ≤ Φ &lt; 25cm</v>
          </cell>
        </row>
        <row r="541">
          <cell r="A541" t="str">
            <v>Cây bạch đàn đường kính gốc 25cm ≤ Φ &lt; 30cm</v>
          </cell>
        </row>
        <row r="542">
          <cell r="A542" t="str">
            <v>Cây bạch đàn đường kính gốc 30cm ≤ Φ &lt; 35cm</v>
          </cell>
        </row>
        <row r="543">
          <cell r="A543" t="str">
            <v>Cây bạch đàn đường kính gốc 35cm ≤ Φ &lt; 50cm</v>
          </cell>
        </row>
        <row r="544">
          <cell r="A544" t="str">
            <v>Cây bạch đàn đường kính gốc Φ ≥ 50cm (chi phí chặt hạ)</v>
          </cell>
        </row>
        <row r="545">
          <cell r="A545" t="str">
            <v>Cây phi lao giống đủ tiêu chuẩn mới trồng, chiều cao cây H ≥ 40cm</v>
          </cell>
        </row>
        <row r="546">
          <cell r="A546" t="str">
            <v>Cây phi lao đường kính gốc 1cm ≤ Φ &lt; 2cm</v>
          </cell>
        </row>
        <row r="547">
          <cell r="A547" t="str">
            <v>Cây phi lao đường kính gốc 2cm ≤ Φ &lt; 5cm</v>
          </cell>
        </row>
        <row r="548">
          <cell r="A548" t="str">
            <v>Cây phi lao đường kính gốc 5cm ≤ Φ &lt; 10cm</v>
          </cell>
        </row>
        <row r="549">
          <cell r="A549" t="str">
            <v>Cây phi lao đường kính gốc 10cm ≤ Φ &lt; 15cm</v>
          </cell>
        </row>
        <row r="550">
          <cell r="A550" t="str">
            <v>Cây phi lao đường kính gốc 15cm ≤ Φ &lt; 20cm</v>
          </cell>
        </row>
        <row r="551">
          <cell r="A551" t="str">
            <v>Cây phi lao đường kính gốc 20cm ≤ Φ &lt; 25cm</v>
          </cell>
        </row>
        <row r="552">
          <cell r="A552" t="str">
            <v>Cây phi lao đường kính gốc 25cm ≤ Φ &lt; 30cm</v>
          </cell>
        </row>
        <row r="553">
          <cell r="A553" t="str">
            <v>Cây phi lao đường kính gốc 30cm ≤ Φ &lt; 35cm</v>
          </cell>
        </row>
        <row r="554">
          <cell r="A554" t="str">
            <v>Cây phi lao đường kính gốc 35cm ≤ Φ &lt; 50cm</v>
          </cell>
        </row>
        <row r="555">
          <cell r="A555" t="str">
            <v>Cây phi lao đường kính gốc Φ ≥ 50cm (chi phí chặt hạ)</v>
          </cell>
        </row>
        <row r="556">
          <cell r="A556" t="str">
            <v xml:space="preserve">Xà cừ, thông (tính theo đường kính gốc F) </v>
          </cell>
        </row>
        <row r="557">
          <cell r="A557" t="str">
            <v>Cây xà cừ giống đủ tiêu chuẩn mới trồng, chiều cao cây H ≥ 40cm</v>
          </cell>
        </row>
        <row r="558">
          <cell r="A558" t="str">
            <v>Cây xà cừ đường kính gốc 1cm ≤ Φ &lt;  2cm</v>
          </cell>
        </row>
        <row r="559">
          <cell r="A559" t="str">
            <v>Cây xà cừ đường kính gốc 2cm ≤ Φ &lt;  5cm</v>
          </cell>
        </row>
        <row r="560">
          <cell r="A560" t="str">
            <v>Cây xà cừ đường kính gốc 5cm ≤ Φ &lt;  10cm</v>
          </cell>
        </row>
        <row r="561">
          <cell r="A561" t="str">
            <v>Cây xà cừ đường kính gốc 10cm ≤ Φ &lt; 15cm</v>
          </cell>
        </row>
        <row r="562">
          <cell r="A562" t="str">
            <v>Cây xà cừ đường kính gốc 15cm ≤ Φ &lt;  20cm</v>
          </cell>
        </row>
        <row r="563">
          <cell r="A563" t="str">
            <v>Cây xà cừ đường kính gốc 20cm ≤ Φ &lt;  25cm</v>
          </cell>
        </row>
        <row r="564">
          <cell r="A564" t="str">
            <v>Cây xà cừ đường kính gốc 25cm ≤ Φ &lt;  30cm</v>
          </cell>
        </row>
        <row r="565">
          <cell r="A565" t="str">
            <v xml:space="preserve">Cây xà cừ đường kính gốc 30cm ≤ Φ &lt;  35cm </v>
          </cell>
        </row>
        <row r="566">
          <cell r="A566" t="str">
            <v xml:space="preserve">Cây xà cừ đường kính gốc 35cm ≤ Φ &lt;  50cm </v>
          </cell>
        </row>
        <row r="567">
          <cell r="A567" t="str">
            <v>Cây xà cừ đường kính gốc Φ ≥ 50cm (chi phí chặt hạ)</v>
          </cell>
        </row>
        <row r="568">
          <cell r="A568" t="str">
            <v>Cây thông giống đủ tiêu chuẩn mới trồng, chiều cao cây H ≥ 40cm</v>
          </cell>
        </row>
        <row r="569">
          <cell r="A569" t="str">
            <v>Cây thông đường kính gốc 1cm ≤ Φ &lt;  2cm</v>
          </cell>
        </row>
        <row r="570">
          <cell r="A570" t="str">
            <v>Cây thông đường kính gốc 2cm ≤ Φ &lt;  5cm</v>
          </cell>
        </row>
        <row r="571">
          <cell r="A571" t="str">
            <v>Cây thông đường kính gốc 5cm ≤ Φ &lt;  10cm</v>
          </cell>
        </row>
        <row r="572">
          <cell r="A572" t="str">
            <v>Cây thông đường kính gốc 10cm ≤ Φ &lt; 15cm</v>
          </cell>
        </row>
        <row r="573">
          <cell r="A573" t="str">
            <v>Cây thông đường kính gốc 15cm ≤ Φ &lt;  20cm</v>
          </cell>
        </row>
        <row r="574">
          <cell r="A574" t="str">
            <v>Cây thông đường kính gốc 20cm ≤ Φ &lt;  25cm</v>
          </cell>
        </row>
        <row r="575">
          <cell r="A575" t="str">
            <v>Cây thông đường kính gốc 25cm ≤ Φ &lt;  30cm</v>
          </cell>
        </row>
        <row r="576">
          <cell r="A576" t="str">
            <v xml:space="preserve">Cây thông đường kính gốc 30cm ≤ Φ &lt;  35cm </v>
          </cell>
        </row>
        <row r="577">
          <cell r="A577" t="str">
            <v xml:space="preserve">Cây thông đường kính gốc 35cm ≤ Φ &lt;  50cm </v>
          </cell>
        </row>
        <row r="578">
          <cell r="A578" t="str">
            <v>Cây thông đường kính gốc Φ ≥ 50cm (chi phí chặt hạ)</v>
          </cell>
        </row>
        <row r="579">
          <cell r="A579" t="str">
            <v>Bàng, hoa sữa, bằng lăng, gạo, đa, phượng vĩ và các cây tương tự (tính theo đường kính gốc F)</v>
          </cell>
        </row>
        <row r="580">
          <cell r="A580" t="str">
            <v>Cây bàng giống đủ tiêu chuẩn mới trồng, chiều cao H ≥ 40cm</v>
          </cell>
        </row>
        <row r="581">
          <cell r="A581" t="str">
            <v>Cây bàng đường kính gốc 1cm ≤ Φ &lt; 3cm</v>
          </cell>
        </row>
        <row r="582">
          <cell r="A582" t="str">
            <v>Cây bàng đường kính gốc 3cm ≤ Φ &lt; 5cm</v>
          </cell>
        </row>
        <row r="583">
          <cell r="A583" t="str">
            <v>Cây bàng đường kính gốc 5cm ≤ Φ &lt; 10cm</v>
          </cell>
        </row>
        <row r="584">
          <cell r="A584" t="str">
            <v>Cây bàng đường kính gốc 10cm ≤ Φ &lt; 15cm</v>
          </cell>
        </row>
        <row r="585">
          <cell r="A585" t="str">
            <v>Cây bàng đường kính gốc 15cm ≤ Φ &lt; 20cm</v>
          </cell>
        </row>
        <row r="586">
          <cell r="A586" t="str">
            <v>Cây bàng đường kính gốc 20cm ≤ Φ &lt; 25cm</v>
          </cell>
        </row>
        <row r="587">
          <cell r="A587" t="str">
            <v>Cây bàng đường kính gốc 25cm ≤ Φ &lt; 30cm</v>
          </cell>
        </row>
        <row r="588">
          <cell r="A588" t="str">
            <v>Cây bàng đường kính gốc 30cm ≤ Φ &lt; 35cm</v>
          </cell>
        </row>
        <row r="589">
          <cell r="A589" t="str">
            <v>Cây bàng đường kính gốc 35cm ≤ Φ &lt; 50cm</v>
          </cell>
        </row>
        <row r="590">
          <cell r="A590" t="str">
            <v>Cây bàng đường kính gốc Φ ≥ 50cm (chi phí chặt hạ)</v>
          </cell>
        </row>
        <row r="591">
          <cell r="A591" t="str">
            <v>Cây hoa sữa giống đủ tiêu chuẩn mới trồng, chiều cao H ≥ 40cm</v>
          </cell>
        </row>
        <row r="592">
          <cell r="A592" t="str">
            <v>Cây hoa sữa đường kính gốc 1cm ≤ Φ &lt; 3cm</v>
          </cell>
        </row>
        <row r="593">
          <cell r="A593" t="str">
            <v>Cây hoa sữa đường kính gốc 3cm ≤ Φ &lt; 5cm</v>
          </cell>
        </row>
        <row r="594">
          <cell r="A594" t="str">
            <v>Cây hoa sữa đường kính gốc 5cm ≤ Φ &lt; 10cm</v>
          </cell>
        </row>
        <row r="595">
          <cell r="A595" t="str">
            <v>Cây hoa sữa đường kính gốc 10cm ≤ Φ &lt; 15cm</v>
          </cell>
        </row>
        <row r="596">
          <cell r="A596" t="str">
            <v>Cây hoa sữa đường kính gốc 15cm ≤ Φ &lt; 20cm</v>
          </cell>
        </row>
        <row r="597">
          <cell r="A597" t="str">
            <v>Cây hoa sữa đường kính gốc 20cm ≤ Φ &lt; 25cm</v>
          </cell>
        </row>
        <row r="598">
          <cell r="A598" t="str">
            <v>Cây hoa sữa đường kính gốc 25cm ≤ Φ &lt; 30cm</v>
          </cell>
        </row>
        <row r="599">
          <cell r="A599" t="str">
            <v>Cây hoa sữa đường kính gốc 30cm ≤ Φ &lt; 35cm</v>
          </cell>
        </row>
        <row r="600">
          <cell r="A600" t="str">
            <v>Cây hoa sữa đường kính gốc 35cm ≤ Φ &lt; 50cm</v>
          </cell>
        </row>
        <row r="601">
          <cell r="A601" t="str">
            <v>Cây hoa sữa đường kính gốc Φ ≥ 50cm (chi phí chặt hạ)</v>
          </cell>
        </row>
        <row r="602">
          <cell r="A602" t="str">
            <v>Cây bằng lăng giống đủ tiêu chuẩn mới trồng, chiều cao H ≥ 40cm</v>
          </cell>
        </row>
        <row r="603">
          <cell r="A603" t="str">
            <v>Cây bằng lăng đường kính gốc 1cm ≤ Φ &lt; 3cm</v>
          </cell>
        </row>
        <row r="604">
          <cell r="A604" t="str">
            <v>Cây bằng lăng đường kính gốc 3cm ≤ Φ &lt; 5cm</v>
          </cell>
        </row>
        <row r="605">
          <cell r="A605" t="str">
            <v>Cây bằng lăng đường kính gốc 5cm ≤ Φ &lt; 10cm</v>
          </cell>
        </row>
        <row r="606">
          <cell r="A606" t="str">
            <v>Cây bằng lăng đường kính gốc 10cm ≤ Φ &lt; 15cm</v>
          </cell>
        </row>
        <row r="607">
          <cell r="A607" t="str">
            <v>Cây bằng lăng đường kính gốc 15cm ≤ Φ &lt; 20cm</v>
          </cell>
        </row>
        <row r="608">
          <cell r="A608" t="str">
            <v>Cây bằng lăng đường kính gốc 20cm ≤ Φ &lt; 25cm</v>
          </cell>
        </row>
        <row r="609">
          <cell r="A609" t="str">
            <v>Cây bằng lăng đường kính gốc 25cm ≤ Φ &lt; 30cm</v>
          </cell>
        </row>
        <row r="610">
          <cell r="A610" t="str">
            <v>Cây bằng lăng đường kính gốc 30cm ≤ Φ &lt; 35cm</v>
          </cell>
        </row>
        <row r="611">
          <cell r="A611" t="str">
            <v>Cây bằng lăng đường kính gốc 35cm ≤ Φ &lt; 50cm</v>
          </cell>
        </row>
        <row r="612">
          <cell r="A612" t="str">
            <v>Cây bằng lăng đường kính gốc Φ ≥ 50cm (chi phí chặt hạ)</v>
          </cell>
        </row>
        <row r="613">
          <cell r="A613" t="str">
            <v>Cây gạo giống đủ tiêu chuẩn mới trồng, chiều cao H ≥ 40cm</v>
          </cell>
        </row>
        <row r="614">
          <cell r="A614" t="str">
            <v>Cây gạo đường kính gốc 1cm ≤ Φ &lt; 3cm</v>
          </cell>
        </row>
        <row r="615">
          <cell r="A615" t="str">
            <v>Cây gạo đường kính gốc 3cm ≤ Φ &lt; 5cm</v>
          </cell>
        </row>
        <row r="616">
          <cell r="A616" t="str">
            <v>Cây gạo đường kính gốc 5cm ≤ Φ &lt; 10cm</v>
          </cell>
        </row>
        <row r="617">
          <cell r="A617" t="str">
            <v>Cây gạo đường kính gốc 10cm ≤ Φ &lt; 15cm</v>
          </cell>
        </row>
        <row r="618">
          <cell r="A618" t="str">
            <v>Cây gạo đường kính gốc 15cm ≤ Φ &lt; 20cm</v>
          </cell>
        </row>
        <row r="619">
          <cell r="A619" t="str">
            <v>Cây gạo đường kính gốc 20cm ≤ Φ &lt; 25cm</v>
          </cell>
        </row>
        <row r="620">
          <cell r="A620" t="str">
            <v>Cây gạo đường kính gốc 25cm ≤ Φ &lt; 30cm</v>
          </cell>
        </row>
        <row r="621">
          <cell r="A621" t="str">
            <v>Cây gạo đường kính gốc 30cm ≤ Φ &lt; 35cm</v>
          </cell>
        </row>
        <row r="622">
          <cell r="A622" t="str">
            <v>Cây gạo đường kính gốc 35cm ≤ Φ &lt; 50cm</v>
          </cell>
        </row>
        <row r="623">
          <cell r="A623" t="str">
            <v>Cây gạo đường kính gốc Φ ≥ 50cm (chi phí chặt hạ)</v>
          </cell>
        </row>
        <row r="624">
          <cell r="A624" t="str">
            <v>Cây đa giống đủ tiêu chuẩn mới trồng, chiều cao H ≥ 40cm</v>
          </cell>
        </row>
        <row r="625">
          <cell r="A625" t="str">
            <v>Cây đa đường kính gốc 1cm ≤ Φ &lt; 3cm</v>
          </cell>
        </row>
        <row r="626">
          <cell r="A626" t="str">
            <v>Cây đa đường kính gốc 3cm ≤ Φ &lt; 5cm</v>
          </cell>
        </row>
        <row r="627">
          <cell r="A627" t="str">
            <v>Cây đa đường kính gốc 5cm ≤ Φ &lt; 10cm</v>
          </cell>
        </row>
        <row r="628">
          <cell r="A628" t="str">
            <v>Cây đa đường kính gốc 10cm ≤ Φ &lt; 15cm</v>
          </cell>
        </row>
        <row r="629">
          <cell r="A629" t="str">
            <v>Cây đa đường kính gốc 15cm ≤ Φ &lt; 20cm</v>
          </cell>
        </row>
        <row r="630">
          <cell r="A630" t="str">
            <v>Cây đa đường kính gốc 20cm≤ Φ &lt; 25cm</v>
          </cell>
        </row>
        <row r="631">
          <cell r="A631" t="str">
            <v>Cây đa đường kính gốc 25cm ≤ Φ &lt; 30cm</v>
          </cell>
        </row>
        <row r="632">
          <cell r="A632" t="str">
            <v>Cây đa đường kính gốc 30cm ≤ Φ &lt; 35cm</v>
          </cell>
        </row>
        <row r="633">
          <cell r="A633" t="str">
            <v>Cây đa đường kính gốc 35cm ≤ Φ &lt; 50cm</v>
          </cell>
        </row>
        <row r="634">
          <cell r="A634" t="str">
            <v>Cây đa đường kính gốc Φ ≥ 50cm (chi phí chặt hạ)</v>
          </cell>
        </row>
        <row r="635">
          <cell r="A635" t="str">
            <v>Cây phượng vĩ giống đủ tiêu chuẩn mới trồng, chiều cao H ≥ 40cm</v>
          </cell>
        </row>
        <row r="636">
          <cell r="A636" t="str">
            <v>Cây phượng vĩ đường kính gốc 1cm ≤ Φ &lt; 3cm</v>
          </cell>
        </row>
        <row r="637">
          <cell r="A637" t="str">
            <v>Cây phượng vĩ đường kính gốc 3cm ≤ Φ &lt; 5cm</v>
          </cell>
        </row>
        <row r="638">
          <cell r="A638" t="str">
            <v>Cây phượng vĩ đường kính gốc 5cm ≤ Φ &lt; 10cm</v>
          </cell>
        </row>
        <row r="639">
          <cell r="A639" t="str">
            <v>Cây phượng vĩ đường kính gốc 10cm ≤ Φ &lt; 15cm</v>
          </cell>
        </row>
        <row r="640">
          <cell r="A640" t="str">
            <v>Cây phượng vĩ đường kính gốc 15cm ≤ Φ &lt; 20cm</v>
          </cell>
        </row>
        <row r="641">
          <cell r="A641" t="str">
            <v>Cây phượng vĩ đường kính gốc 20cm≤ Φ &lt; 25cm</v>
          </cell>
        </row>
        <row r="642">
          <cell r="A642" t="str">
            <v>Cây phượng vĩ đường kính gốc 25cm ≤ Φ &lt; 30cm</v>
          </cell>
        </row>
        <row r="643">
          <cell r="A643" t="str">
            <v>Cây phượng vĩ đường kính gốc 30cm ≤ Φ &lt; 35cm</v>
          </cell>
        </row>
        <row r="644">
          <cell r="A644" t="str">
            <v>Cây phượng vĩ đường kính gốc 35cm ≤ Φ &lt; 50cm</v>
          </cell>
        </row>
        <row r="645">
          <cell r="A645" t="str">
            <v>Cây phượng vĩ đường kính gốc Φ ≥ 50cm (chi phí chặt hạ)</v>
          </cell>
        </row>
        <row r="646">
          <cell r="A646" t="str">
            <v>Xoan nâu, xoan đào (tính theo đường kính gốc F)</v>
          </cell>
        </row>
        <row r="647">
          <cell r="A647" t="str">
            <v xml:space="preserve">Cây xoan giống đủ tiêu chuẩn, mới trồng, chiều cao cây H ≥ 40cm     </v>
          </cell>
        </row>
        <row r="648">
          <cell r="A648" t="str">
            <v>Cây xoan đường kính gốc 1cm ≤ Φ &lt; 2cm</v>
          </cell>
        </row>
        <row r="649">
          <cell r="A649" t="str">
            <v>Cây xoan đường kính gốc 2cm ≤ Φ &lt; 5cm</v>
          </cell>
        </row>
        <row r="650">
          <cell r="A650" t="str">
            <v>Cây xoan đường kính gốc 5cm ≤ Φ &lt; 9cm</v>
          </cell>
        </row>
        <row r="651">
          <cell r="A651" t="str">
            <v>Cây xoan đường kính gốc 9cm ≤ Φ &lt; 12cm</v>
          </cell>
        </row>
        <row r="652">
          <cell r="A652" t="str">
            <v>Cây xoan đường kính gốc 12cm ≤ Φ &lt; 15cm</v>
          </cell>
        </row>
        <row r="653">
          <cell r="A653" t="str">
            <v>Cây xoan đường kính gốc 15cm ≤ Φ &lt; 20cm</v>
          </cell>
        </row>
        <row r="654">
          <cell r="A654" t="str">
            <v>Cây xoan đường kính gốc 20cm ≤ Φ &lt; 25cm</v>
          </cell>
        </row>
        <row r="655">
          <cell r="A655" t="str">
            <v>Cây xoan đường kính gốc 25cm ≤ Φ &lt; 30cm</v>
          </cell>
        </row>
        <row r="656">
          <cell r="A656" t="str">
            <v>Cây xoan đường kính gốc 30cm ≤ Φ &lt; 35cm</v>
          </cell>
        </row>
        <row r="657">
          <cell r="A657" t="str">
            <v>Cây xoan đường kính gốc Φ ≥ 35cm (chi phí chặt hạ)</v>
          </cell>
        </row>
        <row r="658">
          <cell r="A658" t="str">
            <v xml:space="preserve">Tre, mai (tính theo đường kính gốc F) </v>
          </cell>
        </row>
        <row r="659">
          <cell r="A659" t="str">
            <v>Cây tre giống đủ tiêu chuẩn mới trồng</v>
          </cell>
        </row>
        <row r="660">
          <cell r="A660" t="str">
            <v>Cây tre đường kính gốc 2cm ≤ Φ &lt; 5cm</v>
          </cell>
        </row>
        <row r="661">
          <cell r="A661" t="str">
            <v>Cây tre đường kính gốc 5cm ≤ Φ &lt; 7cm</v>
          </cell>
        </row>
        <row r="662">
          <cell r="A662" t="str">
            <v>Cây tre đường kính gốc 7cm ≤ Φ &lt; 10cm</v>
          </cell>
        </row>
        <row r="663">
          <cell r="A663" t="str">
            <v>Cây tre đường kính gốc 10cm ≤ Φ &lt; 12cm</v>
          </cell>
        </row>
        <row r="664">
          <cell r="A664" t="str">
            <v>Cây tre đường kính gốc Φ ≥ 12cm (chi phí chặt hạ)</v>
          </cell>
        </row>
        <row r="665">
          <cell r="A665" t="str">
            <v>Long não  (tính theo đường kính gốc)</v>
          </cell>
        </row>
        <row r="666">
          <cell r="A666" t="str">
            <v xml:space="preserve">Cây long não giống đủ tiêu chuẩn mới trồng, chiều cao cây  H ≤40cm  </v>
          </cell>
        </row>
        <row r="667">
          <cell r="A667" t="str">
            <v>Cây long não đường kính gốc 1cm ≤ Φ &lt; 3cm</v>
          </cell>
        </row>
        <row r="668">
          <cell r="A668" t="str">
            <v>Cây long não đường kính gốc 3cm ≤ Φ &lt; 5cm</v>
          </cell>
        </row>
        <row r="669">
          <cell r="A669" t="str">
            <v>Cây long não đường kính gốc 5cm ≤ Φ &lt; 10cm</v>
          </cell>
        </row>
        <row r="670">
          <cell r="A670" t="str">
            <v>Cây long não đường kính gốc 10cm ≤ Φ &lt; 15cm</v>
          </cell>
        </row>
        <row r="671">
          <cell r="A671" t="str">
            <v>Cây long não đường kính gốc 15cm ≤ Φ &lt; 20cm</v>
          </cell>
        </row>
        <row r="672">
          <cell r="A672" t="str">
            <v xml:space="preserve">Cây long não đường kính gốc 20cm ≤ Φ &lt; 30cm </v>
          </cell>
        </row>
        <row r="673">
          <cell r="A673" t="str">
            <v xml:space="preserve">Cây long não đường kính gốc 30cm ≤ Φ &lt; 40cm </v>
          </cell>
        </row>
        <row r="674">
          <cell r="A674" t="str">
            <v xml:space="preserve">Cây long não đường kính gốc Φ ≥ 40cm </v>
          </cell>
        </row>
        <row r="675">
          <cell r="A675" t="str">
            <v xml:space="preserve">Cây Dẻ lấy quả </v>
          </cell>
        </row>
        <row r="676">
          <cell r="A676" t="str">
            <v>Cây dẻ lấy quả mới trồng, đường kính gốc &lt;5 cm</v>
          </cell>
        </row>
        <row r="677">
          <cell r="A677" t="str">
            <v>Cây dẻ lấy quả đường kính gốc từ 5 cm đến 10cm</v>
          </cell>
        </row>
        <row r="678">
          <cell r="A678" t="str">
            <v>Cây dẻ lấy quả đường kính gốc &gt;10 cm đến 20cm</v>
          </cell>
        </row>
        <row r="679">
          <cell r="A679" t="str">
            <v>Cây dẻ lấy quả đường kính gốc &gt; 20 cm đến 30cm</v>
          </cell>
        </row>
        <row r="680">
          <cell r="A680" t="str">
            <v>Cây dẻ lấy quả đường kính gốc &gt; 30cm</v>
          </cell>
        </row>
        <row r="681">
          <cell r="A681" t="str">
            <v>Cây Trám</v>
          </cell>
        </row>
        <row r="682">
          <cell r="A682" t="str">
            <v>Cây trám mới trồng, đường kính gốc &lt;2cm</v>
          </cell>
        </row>
        <row r="683">
          <cell r="A683" t="str">
            <v>Cây trám đường kính gốc từ 2cm đến 5cm</v>
          </cell>
        </row>
        <row r="684">
          <cell r="A684" t="str">
            <v>Cây trám đường kính gốc từ 5cm đến 10cm</v>
          </cell>
        </row>
        <row r="685">
          <cell r="A685" t="str">
            <v>Cây trám đường kính gốc &gt;10cm đến 15cm</v>
          </cell>
        </row>
        <row r="686">
          <cell r="A686" t="str">
            <v>Cây trám đường kính gốc &gt;15cm đến 20cm</v>
          </cell>
        </row>
        <row r="687">
          <cell r="A687" t="str">
            <v>Cây trám đường kính gốc &gt;20cm đến 25cm</v>
          </cell>
        </row>
        <row r="688">
          <cell r="A688" t="str">
            <v>Cây trám đường kính gốc &gt;25cm đến 30cm</v>
          </cell>
        </row>
        <row r="689">
          <cell r="A689" t="str">
            <v>Cây trám đường kính gốc &gt; 30cm</v>
          </cell>
        </row>
        <row r="690">
          <cell r="A690" t="str">
            <v xml:space="preserve">Cây Lát </v>
          </cell>
        </row>
        <row r="691">
          <cell r="A691" t="str">
            <v>Cây lát mới trồng, đường kính gốc &lt; 5cm</v>
          </cell>
        </row>
        <row r="692">
          <cell r="A692" t="str">
            <v>Cây lát đường kính gốc từ 5 cm đến 10cm</v>
          </cell>
        </row>
        <row r="693">
          <cell r="A693" t="str">
            <v>Cây lát đường kính gốc &gt; 10 cm đến 20cm</v>
          </cell>
        </row>
        <row r="694">
          <cell r="A694" t="str">
            <v>Cây lát đường kính gốc &gt; 20 cm đến 30cm</v>
          </cell>
        </row>
        <row r="695">
          <cell r="A695" t="str">
            <v>Cây lát đường kính gốc &gt; 30 cm</v>
          </cell>
        </row>
        <row r="696">
          <cell r="A696" t="str">
            <v xml:space="preserve">Cây Vông </v>
          </cell>
        </row>
        <row r="697">
          <cell r="A697" t="str">
            <v>Cây vông mới trồng, đường kính gốc &lt; 5cm</v>
          </cell>
        </row>
        <row r="698">
          <cell r="A698" t="str">
            <v>Cây vông đường kính gốc từ 5cm đến 10cm</v>
          </cell>
        </row>
        <row r="699">
          <cell r="A699" t="str">
            <v>Cây vông đường kính gốc &gt;10 cm đến 20cm</v>
          </cell>
        </row>
        <row r="700">
          <cell r="A700" t="str">
            <v>Cây vông đường kính gốc &gt; 20 cm đến 30 cm</v>
          </cell>
        </row>
        <row r="701">
          <cell r="A701" t="str">
            <v>Cây vông đường kính gốc &gt; 30 cm</v>
          </cell>
        </row>
        <row r="702">
          <cell r="A702" t="str">
            <v>CÂY TRỒNG KHÁC</v>
          </cell>
        </row>
        <row r="703">
          <cell r="A703" t="str">
            <v>Dâu trồng lấy lá nuôi tằm (tính theo thời gian trồng)</v>
          </cell>
        </row>
        <row r="704">
          <cell r="A704" t="str">
            <v>Cây dâu trồng lấy lá nuôi tằm giống đủ tiêu chuẩn mới trồng &lt; 3 tháng</v>
          </cell>
        </row>
        <row r="705">
          <cell r="A705" t="str">
            <v xml:space="preserve"> Cây dâu trồng lấy lá nuôi tằm 3 tháng £ thời gian trồng &lt; 1 năm</v>
          </cell>
        </row>
        <row r="706">
          <cell r="A706" t="str">
            <v>Cây dâu trồng lấy lá nuôi tằm 1 năm £ thời gian trồng &lt; 2 năm</v>
          </cell>
        </row>
        <row r="707">
          <cell r="A707" t="str">
            <v>Cây dâu trồng lấy lá nuôi tằm thời gian trồng ³ 2 năm</v>
          </cell>
        </row>
        <row r="708">
          <cell r="A708" t="str">
            <v>Dâu ăn quả</v>
          </cell>
        </row>
        <row r="709">
          <cell r="A709" t="str">
            <v xml:space="preserve">Cây dâu ăn quả giống đủ tiêu chuẩn mới trồng </v>
          </cell>
        </row>
        <row r="710">
          <cell r="A710" t="str">
            <v>Cây dâu ăn quả có đường kính 1cm £ F &lt; 2cm</v>
          </cell>
        </row>
        <row r="711">
          <cell r="A711" t="str">
            <v>Cây dâu ăn quả có đường kính 2cm £ F &lt; 4cm</v>
          </cell>
        </row>
        <row r="712">
          <cell r="A712" t="str">
            <v>Cây dâu ăn quả có đường kính 4cm £ F &lt; 6cm</v>
          </cell>
        </row>
        <row r="713">
          <cell r="A713" t="str">
            <v>Cây dâu ăn quả có đường kính 6cm £ F &lt; 10cm</v>
          </cell>
        </row>
        <row r="714">
          <cell r="A714" t="str">
            <v>Cây dâu ăn quả có đường kính  F ³ 10cm</v>
          </cell>
        </row>
        <row r="715">
          <cell r="A715" t="str">
            <v xml:space="preserve">Chè </v>
          </cell>
        </row>
        <row r="716">
          <cell r="A716" t="str">
            <v xml:space="preserve">Cây chè giống đủ tiêu chuẩn mới trồng  </v>
          </cell>
        </row>
        <row r="717">
          <cell r="A717" t="str">
            <v>Cây chè trồng theo luống, dảnh có thời gian &lt; 6 tháng</v>
          </cell>
        </row>
        <row r="718">
          <cell r="A718" t="str">
            <v>Cây chè trồng theo luống, dảnh có thời gian ≥ 6 tháng</v>
          </cell>
        </row>
        <row r="719">
          <cell r="A719" t="str">
            <v>Cây chè trồng đơn lẻ có đường kính tán lá Φ  &lt; 0,5m</v>
          </cell>
        </row>
        <row r="720">
          <cell r="A720" t="str">
            <v xml:space="preserve">Cây chè trồng đơn lẻ có đường kính tán lá 0,5m ≤ Φ &lt; 1m </v>
          </cell>
        </row>
        <row r="721">
          <cell r="A721" t="str">
            <v>Cây chè trồng đơn lẻ có đường kính tán lá 1m ≤ Φ &lt; 1,5m</v>
          </cell>
        </row>
        <row r="722">
          <cell r="A722" t="str">
            <v>Cây chè trồng đơn lẻ có đường kính tán lá 1,5m ≤ Φ &lt; 2m</v>
          </cell>
        </row>
        <row r="723">
          <cell r="A723" t="str">
            <v>Cây chè trồng đơn lẻ có đường kính tán lá Φ ≥ 2m</v>
          </cell>
        </row>
        <row r="724">
          <cell r="A724" t="str">
            <v>Mây</v>
          </cell>
        </row>
        <row r="725">
          <cell r="A725" t="str">
            <v xml:space="preserve">Cây mây giống đủ tiêu chuẩn mới trồng </v>
          </cell>
        </row>
        <row r="726">
          <cell r="A726" t="str">
            <v>Cây mây chưa đến kỳ thu hoạch (tính theo khóm)</v>
          </cell>
        </row>
        <row r="727">
          <cell r="A727" t="str">
            <v>Dâm bụt, găng, tre gai... trồng hàng rào</v>
          </cell>
        </row>
        <row r="728">
          <cell r="A728" t="str">
            <v>Lộc vừng, sanh, si (ươm, trồng dưới đất, tính theo đường kính tán F)</v>
          </cell>
        </row>
        <row r="729">
          <cell r="A729" t="str">
            <v xml:space="preserve">Cây sanh có đường kính tán 0,5m  ≤ Φ &lt; 0,7m </v>
          </cell>
        </row>
        <row r="730">
          <cell r="A730" t="str">
            <v xml:space="preserve">Cây sanh có đường kính tán 0,7m  ≤ Φ &lt; 1,0m </v>
          </cell>
        </row>
        <row r="731">
          <cell r="A731" t="str">
            <v>Cây sanh có đường kính tán 1,0m  ≤ Φ &lt; 1,5m</v>
          </cell>
        </row>
        <row r="732">
          <cell r="A732" t="str">
            <v>Cây sanh có đường kính tán 1,5m ≤ Φ &lt; 2,0m</v>
          </cell>
        </row>
        <row r="733">
          <cell r="A733" t="str">
            <v>Cây sanh có đường kính tán 2,0m  ≤ Φ &lt; 3,0m</v>
          </cell>
        </row>
        <row r="734">
          <cell r="A734" t="str">
            <v>Cây sanh có đường kính tán 3,0m ≤ Φ &lt; 4,0m</v>
          </cell>
        </row>
        <row r="735">
          <cell r="A735" t="str">
            <v>Cây sanh có đường kính tán Φ ≥  4,0m</v>
          </cell>
        </row>
        <row r="736">
          <cell r="A736" t="str">
            <v xml:space="preserve">Cây lộc vừng có đường kính tán 0,5m  ≤ Φ &lt; 0,7m </v>
          </cell>
        </row>
        <row r="737">
          <cell r="A737" t="str">
            <v xml:space="preserve">Cây lộc vừng có đường kính tán 0,7m  ≤ Φ &lt; 1,0m </v>
          </cell>
        </row>
        <row r="738">
          <cell r="A738" t="str">
            <v>Cây lộc vừng có đường kính tán 1,0m  ≤ Φ &lt; 1,5m</v>
          </cell>
        </row>
        <row r="739">
          <cell r="A739" t="str">
            <v>Cây lộc vừng có đường kính tán 1,5m ≤ Φ &lt; 2,0m</v>
          </cell>
        </row>
        <row r="740">
          <cell r="A740" t="str">
            <v>Cây lộc vừng có đường kính tán 2,0m  ≤ Φ &lt; 3,0m</v>
          </cell>
        </row>
        <row r="741">
          <cell r="A741" t="str">
            <v>Cây lộc vừng có đường kính tán 3,0m ≤ Φ &lt; 4,0m</v>
          </cell>
        </row>
        <row r="742">
          <cell r="A742" t="str">
            <v>Cây lộc vừng có đường kính tán Φ ≥  4,0m</v>
          </cell>
        </row>
        <row r="743">
          <cell r="A743" t="str">
            <v xml:space="preserve">Cây si có đường kính tán 0,5m  ≤ Φ &lt; 0,7m </v>
          </cell>
        </row>
        <row r="744">
          <cell r="A744" t="str">
            <v xml:space="preserve">Cây si có đường kính tán 0,7m  ≤ Φ &lt; 1,0m </v>
          </cell>
        </row>
        <row r="745">
          <cell r="A745" t="str">
            <v>Cây si có đường kính tán 1,0m  ≤ Φ &lt; 1,5m</v>
          </cell>
        </row>
        <row r="746">
          <cell r="A746" t="str">
            <v>Cây si có đường kính tán 1,5m ≤ Φ &lt; 2,0m</v>
          </cell>
        </row>
        <row r="747">
          <cell r="A747" t="str">
            <v>Cây si có đường kính tán 2,0m  ≤ Φ &lt; 3,0m</v>
          </cell>
        </row>
        <row r="748">
          <cell r="A748" t="str">
            <v>Cây si có đường kính tán 3,0m ≤ Φ &lt; 4,0m</v>
          </cell>
        </row>
        <row r="749">
          <cell r="A749" t="str">
            <v>Cây si có đường kính tán Φ ≥  4,0m</v>
          </cell>
        </row>
        <row r="750">
          <cell r="A750" t="str">
            <v xml:space="preserve">Cau vua, thiết mộc lan, hoa giấy (ươm, trồng dưới đất, chiều cao cây H ³  50cm, tính theo đường kính gốc F) </v>
          </cell>
        </row>
        <row r="751">
          <cell r="A751" t="str">
            <v xml:space="preserve">Cây cau vua có đường kính gốc 0,03m  ≤ Φ &lt; 0,05m </v>
          </cell>
        </row>
        <row r="752">
          <cell r="A752" t="str">
            <v xml:space="preserve">Cây cau vua có đường kính gốc 0,05m  ≤ Φ &lt; 0,10m </v>
          </cell>
        </row>
        <row r="753">
          <cell r="A753" t="str">
            <v>Cây cau vua có đường kính gốc 0,10m  ≤ Φ &lt; 0,15m</v>
          </cell>
        </row>
        <row r="754">
          <cell r="A754" t="str">
            <v>Cây cau vua có đường kính gốc 0,15m ≤ Φ &lt; 0,20m</v>
          </cell>
        </row>
        <row r="755">
          <cell r="A755" t="str">
            <v>Cây cau vua có đường kính gốc 0,20m  ≤ Φ &lt; 0,25m</v>
          </cell>
        </row>
        <row r="756">
          <cell r="A756" t="str">
            <v>Cây cau vua có đường kính gốc 0,25m ≤ Φ &lt; 0,30m</v>
          </cell>
        </row>
        <row r="757">
          <cell r="A757" t="str">
            <v>Cây cau vua có đường kính gốc 0,30m  ≤ Φ &lt; 0,35m</v>
          </cell>
        </row>
        <row r="758">
          <cell r="A758" t="str">
            <v>Cây cau vua có đường kính gốc Φ ≥  0,35m</v>
          </cell>
        </row>
        <row r="759">
          <cell r="A759" t="str">
            <v xml:space="preserve">Cây thiết mộc lan có đường kính gốc 0,03m  ≤ Φ &lt; 0,05m </v>
          </cell>
        </row>
        <row r="760">
          <cell r="A760" t="str">
            <v xml:space="preserve">Cây thiết mộc lan có đường kính gốc 0,05m  ≤ Φ &lt; 0,10m </v>
          </cell>
        </row>
        <row r="761">
          <cell r="A761" t="str">
            <v>Cây thiết mộc lan có đường kính gốc 0,10m  ≤ Φ &lt; 0,15m</v>
          </cell>
        </row>
        <row r="762">
          <cell r="A762" t="str">
            <v>Cây thiết mộc lan có đường kính gốc 0,15m ≤ Φ &lt; 0,20m</v>
          </cell>
        </row>
        <row r="763">
          <cell r="A763" t="str">
            <v>Cây thiết mộc lan có đường kính gốc 0,20m  ≤ Φ &lt; 0,25m</v>
          </cell>
        </row>
        <row r="764">
          <cell r="A764" t="str">
            <v>Cây thiết mộc lan có đường kính gốc 0,25m ≤ Φ &lt; 0,30m</v>
          </cell>
        </row>
        <row r="765">
          <cell r="A765" t="str">
            <v>Cây thiết mộc lan có đường kính gốc 0,30m  ≤ Φ &lt; 0,35m</v>
          </cell>
        </row>
        <row r="766">
          <cell r="A766" t="str">
            <v>Cây thiết mộc lan có đường kính gốc Φ ≥  0,35m</v>
          </cell>
        </row>
        <row r="767">
          <cell r="A767" t="str">
            <v xml:space="preserve">Cây hoa giấy có đường kính gốc 0,03m  ≤ Φ &lt; 0,05m </v>
          </cell>
        </row>
        <row r="768">
          <cell r="A768" t="str">
            <v xml:space="preserve">Cây hoa giấy có đường kính gốc 0,05m  ≤ Φ &lt; 0,10m </v>
          </cell>
        </row>
        <row r="769">
          <cell r="A769" t="str">
            <v>Cây hoa giấy có đường kính gốc 0,10m  ≤ Φ &lt; 0,15m</v>
          </cell>
        </row>
        <row r="770">
          <cell r="A770" t="str">
            <v>Cây hoa giấy có đường kính gốc 0,15m ≤ Φ &lt; 0,20m</v>
          </cell>
        </row>
        <row r="771">
          <cell r="A771" t="str">
            <v>Cây hoa giấy có đường kính gốc 0,20m  ≤ Φ &lt; 0,25m</v>
          </cell>
        </row>
        <row r="772">
          <cell r="A772" t="str">
            <v>Cây hoa giấy có đường kính gốc 0,25m ≤ Φ &lt; 0,30m</v>
          </cell>
        </row>
        <row r="773">
          <cell r="A773" t="str">
            <v>Cây hoa giấy có đường kính gốc 0,30m  ≤ Φ &lt; 0,35m</v>
          </cell>
        </row>
        <row r="774">
          <cell r="A774" t="str">
            <v>Cây hoa giấy có đường kính gốc Φ ≥  0,35m</v>
          </cell>
        </row>
        <row r="775">
          <cell r="A775" t="str">
            <v>Cau trắng, cau sâm banh, cau lợn cọ, cau Nhật liên, tùng la hán (ươm, trồng dưới đất, chiều cao cây H ³  50cm, tính theo đường kính gốc F)</v>
          </cell>
        </row>
        <row r="776">
          <cell r="A776" t="str">
            <v xml:space="preserve">Cây cau trắng có đường kính gốc 0,03m  ≤ Φ &lt; 0,05m </v>
          </cell>
        </row>
        <row r="777">
          <cell r="A777" t="str">
            <v xml:space="preserve">Cây cau trắng có đường kính gốc 0,05m  ≤ Φ &lt; 0,10m </v>
          </cell>
        </row>
        <row r="778">
          <cell r="A778" t="str">
            <v>Cây cau trắng có đường kính gốc 0,10m  ≤ Φ &lt; 0,15m</v>
          </cell>
        </row>
        <row r="779">
          <cell r="A779" t="str">
            <v>Cây cau trắng có đường kính gốc 0,15m ≤ Φ &lt; 0,20m</v>
          </cell>
        </row>
        <row r="780">
          <cell r="A780" t="str">
            <v>Cây cau trắng có đường kính gốc 0,20m  ≤ Φ &lt; 0,25m</v>
          </cell>
        </row>
        <row r="781">
          <cell r="A781" t="str">
            <v>Cây cau trắng có đường kính gốc 0,25m ≤ Φ &lt; 0,30m</v>
          </cell>
        </row>
        <row r="782">
          <cell r="A782" t="str">
            <v>Cây cau trắng có đường kính gốc 0,30m  ≤ Φ &lt; 0,35m</v>
          </cell>
        </row>
        <row r="783">
          <cell r="A783" t="str">
            <v>Cây cau trắng có đường kính gốc Φ ≥  0,35m</v>
          </cell>
        </row>
        <row r="784">
          <cell r="A784" t="str">
            <v xml:space="preserve">Cây cau sâm banh có đường kính gốc 0,03m  ≤ Φ &lt; 0,05m </v>
          </cell>
        </row>
        <row r="785">
          <cell r="A785" t="str">
            <v xml:space="preserve">Cây cau sâm banh có đường kính gốc 0,05m  ≤ Φ &lt; 0,10m </v>
          </cell>
        </row>
        <row r="786">
          <cell r="A786" t="str">
            <v>Cây cau sâm banh có đường kính gốc 0,10m  ≤ Φ &lt; 0,15m</v>
          </cell>
        </row>
        <row r="787">
          <cell r="A787" t="str">
            <v>Cây cau sâm banh có đường kính gốc 0,15m ≤ Φ &lt; 0,20m</v>
          </cell>
        </row>
        <row r="788">
          <cell r="A788" t="str">
            <v>Cây cau sâm banh có đường kính gốc 0,20m  ≤ Φ &lt; 0,25m</v>
          </cell>
        </row>
        <row r="789">
          <cell r="A789" t="str">
            <v>Cây cau sâm banh có đường kính gốc 0,25m ≤ Φ &lt; 0,30m</v>
          </cell>
        </row>
        <row r="790">
          <cell r="A790" t="str">
            <v>Cây cau sâm banh có đường kính gốc 0,30m  ≤ Φ &lt; 0,35m</v>
          </cell>
        </row>
        <row r="791">
          <cell r="A791" t="str">
            <v>Cây cau sâm banh có đường kính gốc Φ ≥  0,35m</v>
          </cell>
        </row>
        <row r="792">
          <cell r="A792" t="str">
            <v xml:space="preserve">Cây cau lợn cọ có đường kính gốc 0,03m  ≤ Φ &lt; 0,05m </v>
          </cell>
        </row>
        <row r="793">
          <cell r="A793" t="str">
            <v xml:space="preserve">Cây cau lợn cọ có đường kính gốc 0,05m  ≤ Φ &lt; 0,10m </v>
          </cell>
        </row>
        <row r="794">
          <cell r="A794" t="str">
            <v>Cây cau lợn cọ có đường kính gốc 0,10m  ≤ Φ &lt; 0,15m</v>
          </cell>
        </row>
        <row r="795">
          <cell r="A795" t="str">
            <v>Cây cau lợn cọ có đường kính gốc 0,15m ≤ Φ &lt; 0,20m</v>
          </cell>
        </row>
        <row r="796">
          <cell r="A796" t="str">
            <v>Cây cau lợn cọ có đường kính gốc 0,20m  ≤ Φ &lt; 0,25m</v>
          </cell>
        </row>
        <row r="797">
          <cell r="A797" t="str">
            <v>Cây cau lợn cọ có đường kính gốc 0,25m ≤ Φ &lt; 0,30m</v>
          </cell>
        </row>
        <row r="798">
          <cell r="A798" t="str">
            <v>Cây cau lợn cọ có đường kính gốc 0,30m  ≤ Φ &lt; 0,35m</v>
          </cell>
        </row>
        <row r="799">
          <cell r="A799" t="str">
            <v>Cây cau lợn cọ có đường kính gốc Φ ≥  0,35m</v>
          </cell>
        </row>
        <row r="800">
          <cell r="A800" t="str">
            <v xml:space="preserve">Cây tùng la hán có đường kính gốc 0,03m  ≤ Φ &lt; 0,05m </v>
          </cell>
        </row>
        <row r="801">
          <cell r="A801" t="str">
            <v xml:space="preserve">Cây tùng la hán có đường kính gốc 0,05m  ≤ Φ &lt; 0,10m </v>
          </cell>
        </row>
        <row r="802">
          <cell r="A802" t="str">
            <v>Cây tùng la hán có đường kính gốc 0,10m  ≤ Φ &lt; 0,15m</v>
          </cell>
        </row>
        <row r="803">
          <cell r="A803" t="str">
            <v>Cây tùng la hán có đường kính gốc 0,15m ≤ Φ &lt; 0,20m</v>
          </cell>
        </row>
        <row r="804">
          <cell r="A804" t="str">
            <v>Cây tùng la hán có đường kính gốc 0,20m  ≤ Φ &lt; 0,25m</v>
          </cell>
        </row>
        <row r="805">
          <cell r="A805" t="str">
            <v>Cây tùng la hán có đường kính gốc 0,25m ≤ Φ &lt; 0,30m</v>
          </cell>
        </row>
        <row r="806">
          <cell r="A806" t="str">
            <v>Cây tùng la hán có đường kính gốc 0,30m  ≤ Φ &lt; 0,35m</v>
          </cell>
        </row>
        <row r="807">
          <cell r="A807" t="str">
            <v>Cây tùng la hán có đường kính gốc Φ ≥  0,35m</v>
          </cell>
        </row>
        <row r="808">
          <cell r="A808" t="str">
            <v>Cau bụi, cau kiểng vàng (trồng khóm dưới đất, khóm cách khóm &gt; 3m, chiều cao khóm H ³  50cm, tính theo đường kính khóm F)</v>
          </cell>
        </row>
        <row r="809">
          <cell r="A809" t="str">
            <v>Cau bụi, cau kiểng vàng có đường kính khóm Φ ≤ 1,0m</v>
          </cell>
        </row>
        <row r="810">
          <cell r="A810" t="str">
            <v xml:space="preserve">Cau bụi, cau kiểng vàng có đường kính khóm 1,0m ≤ Φ &lt; 1,5m </v>
          </cell>
        </row>
        <row r="811">
          <cell r="A811" t="str">
            <v xml:space="preserve">Cau bụi, cau kiểng vàng có đường kính khóm 1,5m ≤ Φ &lt; 2,0m </v>
          </cell>
        </row>
        <row r="812">
          <cell r="A812" t="str">
            <v>Cau bụi, cau kiểng vàng có đường kính khóm 2,0m ≤ Φ &lt; 2,5m</v>
          </cell>
        </row>
        <row r="813">
          <cell r="A813" t="str">
            <v>Cau bụi, cau kiểng vàng có đường kính khóm Φ ≥  2,5m</v>
          </cell>
        </row>
        <row r="814">
          <cell r="A814" t="str">
            <v>Hoa ngọc lan, ngâu, hoa sứ, mai tứ quý (đã chiết ghép, trồng dưới đất, tính theo đường kính tán F)</v>
          </cell>
        </row>
        <row r="815">
          <cell r="A815" t="str">
            <v>Cây hoa ngọc lan giống đủ tiêu chuẩn mới trồng, chưa ra hoa</v>
          </cell>
        </row>
        <row r="816">
          <cell r="A816" t="str">
            <v xml:space="preserve">Cây hoa ngọc lan có đường kính tán Φ  &lt; 1,0m (đã có hoa) </v>
          </cell>
        </row>
        <row r="817">
          <cell r="A817" t="str">
            <v xml:space="preserve">Cây hoa ngọc lan có đường kính tán 1,0m  ≤ Φ &lt;2,0m (đã có hoa) </v>
          </cell>
        </row>
        <row r="818">
          <cell r="A818" t="str">
            <v xml:space="preserve">Cây hoa ngọc lan có đường kính tán 2,0m  ≤ Φ &lt; 3,0m (đã có hoa) </v>
          </cell>
        </row>
        <row r="819">
          <cell r="A819" t="str">
            <v xml:space="preserve">Cây hoa ngọc lan có đường kính tán 3,0m  ≤ Φ &lt;4,0m (đã có hoa) </v>
          </cell>
        </row>
        <row r="820">
          <cell r="A820" t="str">
            <v xml:space="preserve">Cây hoa ngọc lan có đường kính tán Φ ≥  4,0m </v>
          </cell>
        </row>
        <row r="821">
          <cell r="A821" t="str">
            <v>Cây ngâu giống đủ tiêu chuẩn mới trồng, chưa ra hoa</v>
          </cell>
        </row>
        <row r="822">
          <cell r="A822" t="str">
            <v xml:space="preserve">Cây ngâu có đường kính tán Φ  &lt; 1,0m (đã có hoa) </v>
          </cell>
        </row>
        <row r="823">
          <cell r="A823" t="str">
            <v xml:space="preserve">Cây ngâu có đường kính tán 1,0m  ≤ Φ &lt;2,0m (đã có hoa) </v>
          </cell>
        </row>
        <row r="824">
          <cell r="A824" t="str">
            <v xml:space="preserve">Cây ngâu có đường kính tán 2,0m  ≤ Φ &lt; 3,0m (đã có hoa) </v>
          </cell>
        </row>
        <row r="825">
          <cell r="A825" t="str">
            <v xml:space="preserve">Cây ngâu có đường kính tán 3,0m  ≤ Φ &lt;4,0m (đã có hoa) </v>
          </cell>
        </row>
        <row r="826">
          <cell r="A826" t="str">
            <v xml:space="preserve">Cây ngâu có đường kính tán Φ ≥  4,0m </v>
          </cell>
        </row>
        <row r="827">
          <cell r="A827" t="str">
            <v>Cây hoa sứ giống đủ tiêu chuẩn mới trồng, chưa ra hoa</v>
          </cell>
        </row>
        <row r="828">
          <cell r="A828" t="str">
            <v xml:space="preserve">Cây hoa sứ có đường kính tán Φ  &lt; 1,0m (đã có hoa) </v>
          </cell>
        </row>
        <row r="829">
          <cell r="A829" t="str">
            <v xml:space="preserve">Cây hoa sứ có đường kính tán 1,0m  ≤ Φ &lt;2,0m (đã có hoa) </v>
          </cell>
        </row>
        <row r="830">
          <cell r="A830" t="str">
            <v xml:space="preserve">Cây hoa sứ có đường kính tán 2,0m  ≤ Φ &lt; 3,0m (đã có hoa) </v>
          </cell>
        </row>
        <row r="831">
          <cell r="A831" t="str">
            <v xml:space="preserve">Cây hoa sứ có đường kính tán 3,0m  ≤ Φ &lt;4,0m (đã có hoa) </v>
          </cell>
        </row>
        <row r="832">
          <cell r="A832" t="str">
            <v xml:space="preserve">Cây hoa sứ có đường kính tán Φ ≥  4,0m </v>
          </cell>
        </row>
        <row r="833">
          <cell r="A833" t="str">
            <v>Cây mai tứ quý giống đủ tiêu chuẩn mới trồng, chưa ra hoa</v>
          </cell>
        </row>
        <row r="834">
          <cell r="A834" t="str">
            <v xml:space="preserve">Cây mai tứ quý có đường kính tán Φ  &lt; 1,0m (đã có hoa) </v>
          </cell>
        </row>
        <row r="835">
          <cell r="A835" t="str">
            <v xml:space="preserve">Cây mai tứ quý có đường kính tán 1,0m  ≤ Φ &lt;2,0m (đã có hoa) </v>
          </cell>
        </row>
        <row r="836">
          <cell r="A836" t="str">
            <v xml:space="preserve">Cây mai tứ quý có đường kính tán 2,0m  ≤ Φ &lt; 3,0m (đã có hoa) </v>
          </cell>
        </row>
        <row r="837">
          <cell r="A837" t="str">
            <v xml:space="preserve">Cây mai tứ quý có đường kính tán 3,0m  ≤ Φ &lt;4,0m (đã có hoa) </v>
          </cell>
        </row>
        <row r="838">
          <cell r="A838" t="str">
            <v xml:space="preserve">Cây mai tứ quý có đường kính tán Φ ≥  4,0m </v>
          </cell>
        </row>
        <row r="839">
          <cell r="A839" t="str">
            <v xml:space="preserve">Sưa (ươm, trồng dưới đất, tính theo đường kính gốc F) </v>
          </cell>
        </row>
        <row r="840">
          <cell r="A840" t="str">
            <v>Cây sưa giống đủ tiêu chuẩn, mới trồng, chiều cao cây H ≥ 30cm</v>
          </cell>
        </row>
        <row r="841">
          <cell r="A841" t="str">
            <v>Cây sưa có đường kính gốc 0,01m  ≤ Φ &lt; 0,05m, chiều cao cây H ≥  50cm</v>
          </cell>
        </row>
        <row r="842">
          <cell r="A842" t="str">
            <v>Cây sưa có đường kính gốc 0,05m  ≤ Φ &lt; 0,10m, chiều cao cây H ≥  50cm</v>
          </cell>
        </row>
        <row r="843">
          <cell r="A843" t="str">
            <v>Cây sưa có đường kính gốc 0,10m  ≤ Φ &lt; 0,15m, chiều cao cây H ≥  50cm</v>
          </cell>
        </row>
        <row r="844">
          <cell r="A844" t="str">
            <v>Cây sưa có đường kính gốc 0,15m ≤ Φ &lt; 0,20m, chiều cao cây H ≥  50cm</v>
          </cell>
        </row>
        <row r="845">
          <cell r="A845" t="str">
            <v>Cây sưa có đường kính gốc 0,20m  ≤ Φ &lt; 0,25m, chiều cao cây H ≥  50cm</v>
          </cell>
        </row>
        <row r="846">
          <cell r="A846" t="str">
            <v>Cây sưa có đường kính gốc 0,25m ≤ Φ &lt; 0,30m, chiều cao cây H ≥ 50cm</v>
          </cell>
        </row>
        <row r="847">
          <cell r="A847" t="str">
            <v>Cây sưa có đường kính gốc 0,30m  ≤ Φ &lt; 0,35m, chiều cao cây H ≥  50cm</v>
          </cell>
        </row>
        <row r="848">
          <cell r="A848" t="str">
            <v>Cây sưa có đường kính gốc Φ ≥ 0,35m</v>
          </cell>
        </row>
        <row r="849">
          <cell r="A849" t="str">
            <v>Cọ trồng làm cảnh (tính theo đường kính tán F)</v>
          </cell>
        </row>
        <row r="850">
          <cell r="A850" t="str">
            <v>Cây cọ trồng làm cảnh có đường kính tán 0,5m ≤ Φ &lt;0,7m</v>
          </cell>
        </row>
        <row r="851">
          <cell r="A851" t="str">
            <v>Cây cọ trồng làm cảnh có đường kính tán 0,7m ≤ Φ &lt; 1,0m</v>
          </cell>
        </row>
        <row r="852">
          <cell r="A852" t="str">
            <v>Cây cọ trồng làm cảnh có đường kính tán 1,0m ≤ Φ &lt; 1,5m</v>
          </cell>
        </row>
        <row r="853">
          <cell r="A853" t="str">
            <v xml:space="preserve">Cây cọ trồng làm cảnh có đường kính tán 1,5m ≤ Φ &lt; 2,0m </v>
          </cell>
        </row>
        <row r="854">
          <cell r="A854" t="str">
            <v xml:space="preserve">Cây cọ trồng làm cảnh có đường kính tán 2,0m ≤ Φ &lt; 3,0m      </v>
          </cell>
        </row>
        <row r="855">
          <cell r="A855" t="str">
            <v>Cây cọ trồng làm cảnh có đường kính tán 3,0m ≤ Φ &lt; 4,0m</v>
          </cell>
        </row>
        <row r="856">
          <cell r="A856" t="str">
            <v>Cây cọ trồng làm cảnh có đường kính tán Φ ≥ 4,0m</v>
          </cell>
        </row>
        <row r="857">
          <cell r="A857" t="str">
            <v xml:space="preserve">Mai vàng (trồng dưới đất, tính theo đường kính gốc F) </v>
          </cell>
        </row>
        <row r="858">
          <cell r="A858" t="str">
            <v>Cây mai vàng có đường kính gốc 0,5cm ≤ Φ &lt; 1cm</v>
          </cell>
        </row>
        <row r="859">
          <cell r="A859" t="str">
            <v>Cây mai vàng có đường kính gốc 1cm ≤ Φ &lt; 2cm</v>
          </cell>
        </row>
        <row r="860">
          <cell r="A860" t="str">
            <v>Cây mai vàng có đường kính gốc 2cm ≤ Φ &lt; 4cm</v>
          </cell>
        </row>
        <row r="861">
          <cell r="A861" t="str">
            <v>Cây mai vàng có đường kính gốc 4cm ≤ Φ &lt; 6cm</v>
          </cell>
        </row>
        <row r="862">
          <cell r="A862" t="str">
            <v xml:space="preserve">Cây mai vàng có đường kính gốc 6cm ≤ Φ &lt; 10cm </v>
          </cell>
        </row>
        <row r="863">
          <cell r="A863" t="str">
            <v xml:space="preserve">Cây mai vàng có đường kính gốc Φ ≥ 10cm </v>
          </cell>
        </row>
        <row r="864">
          <cell r="A864" t="str">
            <v>Cây Móc Mật (Mác Mật)</v>
          </cell>
        </row>
        <row r="865">
          <cell r="A865" t="str">
            <v>Cây móc mật (mác mật) mới trồng, đường kính gốc &lt; 2cm</v>
          </cell>
        </row>
        <row r="866">
          <cell r="A866" t="str">
            <v>Cây móc mật (mác mật) đường kính gốc từ 2 đến 5cm.</v>
          </cell>
        </row>
        <row r="867">
          <cell r="A867" t="str">
            <v>Cây móc mật (mác mật) đường kính gốc &gt; 5 đến 10 cm</v>
          </cell>
        </row>
        <row r="868">
          <cell r="A868" t="str">
            <v>Cây móc mật (mác mật) đường kính gốc &gt; 10 đến 15 cm</v>
          </cell>
        </row>
        <row r="869">
          <cell r="A869" t="str">
            <v>Cây móc mật (mác mật) đường kính gốc &gt; 15 đến 20 cm</v>
          </cell>
        </row>
        <row r="870">
          <cell r="A870" t="str">
            <v>Cây móc mật (mác mật) đường kính gốc &gt; 20cm</v>
          </cell>
        </row>
        <row r="871">
          <cell r="A871" t="str">
            <v xml:space="preserve">Đào tiên (tính theo đường kính gốc F) </v>
          </cell>
        </row>
        <row r="872">
          <cell r="A872" t="str">
            <v>Đào tiên giống đủ tiêu chuẩn mới trồng</v>
          </cell>
        </row>
        <row r="873">
          <cell r="A873" t="str">
            <v>Đào tiên loại cây ghép có chiều cao cây 40cm ≤ Φ &lt; 1m</v>
          </cell>
        </row>
        <row r="874">
          <cell r="A874" t="str">
            <v>Đào tiên loại cây ghép có chiều cao cây H ≥ 1m</v>
          </cell>
        </row>
        <row r="875">
          <cell r="A875" t="str">
            <v>Đào tiên loại cây chiết cành có chiều cao cây 40cm ≤ Φ &lt; 1m</v>
          </cell>
        </row>
        <row r="876">
          <cell r="A876" t="str">
            <v>Đào tiên loại cây chiết cành có chiều cao cây H ≥ 1m</v>
          </cell>
        </row>
        <row r="877">
          <cell r="A877" t="str">
            <v>Cây đào tiên đường kính gốc 1cm ≤ Φ &lt; 2cm</v>
          </cell>
        </row>
        <row r="878">
          <cell r="A878" t="str">
            <v>Cây đào tiên đường kính gốc 2cm ≤ Φ &lt; 5cm</v>
          </cell>
        </row>
        <row r="879">
          <cell r="A879" t="str">
            <v xml:space="preserve">Cây đào tiên đường kính gốc 5cm ≤ Φ &lt; 7cm </v>
          </cell>
        </row>
        <row r="880">
          <cell r="A880" t="str">
            <v xml:space="preserve">Cây đào tiên đường kính gốc 7cm ≤ Φ &lt; 9cm </v>
          </cell>
        </row>
        <row r="881">
          <cell r="A881" t="str">
            <v xml:space="preserve">Cây đào tiên đường kính gốc 9cm ≤ Φ &lt; 12cm </v>
          </cell>
        </row>
        <row r="882">
          <cell r="A882" t="str">
            <v xml:space="preserve">Cây đào tiên đường kính gốc 12cm ≤ Φ &lt; 15cm </v>
          </cell>
        </row>
        <row r="883">
          <cell r="A883" t="str">
            <v xml:space="preserve">Cây đào tiên đường kính gốc 15cm ≤ Φ &lt; 20cm </v>
          </cell>
        </row>
        <row r="884">
          <cell r="A884" t="str">
            <v>Cây đào tiên đường kính gốc 20cm ≤ Φ &lt; 25cm</v>
          </cell>
        </row>
        <row r="885">
          <cell r="A885" t="str">
            <v xml:space="preserve">Cây đào tiên đường kính gốc Φ ≥ 25cm </v>
          </cell>
        </row>
        <row r="886">
          <cell r="A886" t="str">
            <v xml:space="preserve">Gáo (tính theo đường kính gốc F) </v>
          </cell>
        </row>
        <row r="887">
          <cell r="A887" t="str">
            <v>Cây gáo giống đủ tiêu chuẩn mới trồng, chiều cao cây  H ≥ 40cm</v>
          </cell>
        </row>
        <row r="888">
          <cell r="A888" t="str">
            <v>Cây gáo có đường kính gốc 1cm ≤ Φ &lt; 3cm</v>
          </cell>
        </row>
        <row r="889">
          <cell r="A889" t="str">
            <v>Cây gáo có đường kính gốc 3cm ≤ Φ &lt; 5cm</v>
          </cell>
        </row>
        <row r="890">
          <cell r="A890" t="str">
            <v>Cây gáo có đường kính gốc 5cm ≤ Φ &lt; 10cm</v>
          </cell>
        </row>
        <row r="891">
          <cell r="A891" t="str">
            <v>Cây gáo có đường kính gốc 10cm ≤ Φ &lt; 15cm</v>
          </cell>
        </row>
        <row r="892">
          <cell r="A892" t="str">
            <v>Cây gáo có đường kính gốc 15cm ≤ Φ &lt; 20cm</v>
          </cell>
        </row>
        <row r="893">
          <cell r="A893" t="str">
            <v xml:space="preserve">Cây gáo có đường kính gốc 20cm ≤ Φ &lt; 30cm </v>
          </cell>
        </row>
        <row r="894">
          <cell r="A894" t="str">
            <v xml:space="preserve">Cây gáo có đường kính gốc 30cm ≤ Φ &lt; 40cm </v>
          </cell>
        </row>
        <row r="895">
          <cell r="A895" t="str">
            <v>Cây gáo có đường kính gốc Φ ≥ 40cm</v>
          </cell>
        </row>
        <row r="896">
          <cell r="A896" t="str">
            <v>Đinh Lăng</v>
          </cell>
        </row>
        <row r="897">
          <cell r="A897" t="str">
            <v>Cây đinh lăng có chiều cao cây H &lt; 50cm</v>
          </cell>
        </row>
        <row r="898">
          <cell r="A898" t="str">
            <v>Cây đinh lăng có chiều cao cây 50cm ≤ H &lt; 100cm</v>
          </cell>
        </row>
        <row r="899">
          <cell r="A899" t="str">
            <v>Cây đinh lăng có chiều cao cây H ≥ 100cm</v>
          </cell>
        </row>
        <row r="900">
          <cell r="A900" t="str">
            <v>Thiên lý (tính theo m2 giàn, không bao gồm chi phí cọc bê tông cốt thép dựng giàn)</v>
          </cell>
        </row>
        <row r="901">
          <cell r="A901" t="str">
            <v>Đối với cây ươm, gieo hoặc cây trồng hàng năm xen dưới tán lá cây lâu năm (tính bình quân trên diện tích cây trồng chiếm chỗ)</v>
          </cell>
        </row>
        <row r="902">
          <cell r="A902" t="str">
            <v>Đối với lâm sản phụ trồng trên diện tích nông nghiệp do Nhà nước giao cho hộ đình, cá nhân để trồng, khoanh, nuôi, bảo vệ, tái sinh rừng, mà khi giao là đất trống, đồi núi trọc... hộ gia đình, cá nhân tự bỏ vốn đầu tư trồng rừng (tính bình quân trên diện tích cây trồng chiếm chỗ)</v>
          </cell>
        </row>
        <row r="903">
          <cell r="A903" t="str">
            <v>Muồng hoàng yến - Osaka vàng (tính theo đường kính gốc)</v>
          </cell>
        </row>
        <row r="904">
          <cell r="A904" t="str">
            <v>Cây muồng hoàng yến - Osaka vàng giống đủ tiêu chuẩn mới trồng, chiều cao cây  H ≤ 40cm</v>
          </cell>
        </row>
        <row r="905">
          <cell r="A905" t="str">
            <v>Cây muồng hoàng yến - Osaka vàng có đường kính gốc 1cm ≤ Φ &lt; 3cm</v>
          </cell>
        </row>
        <row r="906">
          <cell r="A906" t="str">
            <v>Cây muồng hoàng yến - Osaka vàng có đường kính gốc 3cm ≤ Φ &lt; 5cm</v>
          </cell>
        </row>
        <row r="907">
          <cell r="A907" t="str">
            <v>Cây muồng hoàng yến - Osaka vàng có đường kính gốc 5cm ≤ Φ &lt;10cm</v>
          </cell>
        </row>
        <row r="908">
          <cell r="A908" t="str">
            <v>Cây muồng hoàng yến - Osaka vàng có đường kính gốc 10cm ≤ Φ &lt; 15cm</v>
          </cell>
        </row>
        <row r="909">
          <cell r="A909" t="str">
            <v>Cây muồng hoàng yến - Osaka vàng có đường kính gốc 15cm ≤ Φ &lt; 20cm</v>
          </cell>
        </row>
        <row r="910">
          <cell r="A910" t="str">
            <v xml:space="preserve">Cây muồng hoàng yến - Osaka vàng có đường kính gốc 20cm ≤ Φ &lt; 30cm </v>
          </cell>
        </row>
        <row r="911">
          <cell r="A911" t="str">
            <v xml:space="preserve">Cây muồng hoàng yến - Osaka vàng có đường kính gốc 30cm ≤ Φ &lt; 40cm </v>
          </cell>
        </row>
        <row r="912">
          <cell r="A912" t="str">
            <v xml:space="preserve">Cây muồng hoàng yến - Osaka vàng có đường kính gốc Φ  ≥ 40cm </v>
          </cell>
        </row>
        <row r="913">
          <cell r="A913" t="str">
            <v>Bàng Đài Loan (tính theo đường kính gốc )</v>
          </cell>
        </row>
        <row r="914">
          <cell r="A914" t="str">
            <v>Cây bàng Đài Loan giống đủ tiêu chuẩn mới trồng, chiều cao cây  H ≤40cm</v>
          </cell>
        </row>
        <row r="915">
          <cell r="A915" t="str">
            <v>Cây bàng Đài Loan có đường kính gốc 1cm ≤ Φ &lt; 3cm</v>
          </cell>
        </row>
        <row r="916">
          <cell r="A916" t="str">
            <v xml:space="preserve">Cây bàng Đài Loan có đường kính gốc 3cm ≤ Φ &lt; 5cm </v>
          </cell>
        </row>
        <row r="917">
          <cell r="A917" t="str">
            <v>Cây bàng Đài Loan có đường kính gốc 5cm ≤ Φ &lt; 10cm</v>
          </cell>
        </row>
        <row r="918">
          <cell r="A918" t="str">
            <v>Cây bàng Đài Loan có đường kính gốc 10cm ≤ Φ &lt; 15cm</v>
          </cell>
        </row>
        <row r="919">
          <cell r="A919" t="str">
            <v>Cây bàng Đài Loan có đường kính gốc 15cm ≤ Φ &lt; 20cm</v>
          </cell>
        </row>
        <row r="920">
          <cell r="A920" t="str">
            <v xml:space="preserve">Cây bàng Đài Loan có đường kính gốc 20cm ≤ Φ &lt; 25cm </v>
          </cell>
        </row>
        <row r="921">
          <cell r="A921" t="str">
            <v xml:space="preserve">Cây bàng Đài Loan có đường kính gốc 25cm ≤ Φ &lt; 30cm </v>
          </cell>
        </row>
        <row r="922">
          <cell r="A922" t="str">
            <v xml:space="preserve">Cây bàng Đài Loan có đường kính gốc Φ ≥ 30cm </v>
          </cell>
        </row>
        <row r="923">
          <cell r="A923" t="str">
            <v xml:space="preserve">Hoa mẫu đơn ta  </v>
          </cell>
        </row>
        <row r="924">
          <cell r="A924" t="str">
            <v>Cây hoa mẫu đơn ta giống đủ tiêu chuẩn mới trồng, chiều cao cây  H &lt; 40cm</v>
          </cell>
        </row>
        <row r="925">
          <cell r="A925" t="str">
            <v xml:space="preserve">Cây hoa mẫu đơn ta giống đủ tiêu chuẩn mới trồng, chiều cao cây  40cm ≤ H &lt; 100cm </v>
          </cell>
        </row>
        <row r="926">
          <cell r="A926" t="str">
            <v xml:space="preserve">Cây hoa mẫu đơn ta giống đủ tiêu chuẩn mới trồng, chiều cao cây  H ≥ 100cm       </v>
          </cell>
        </row>
        <row r="927">
          <cell r="A927" t="str">
            <v>Cây hoa mẫu đơn ta có đường kính tán &lt;1m, gốc có 5-7 nhánh</v>
          </cell>
        </row>
        <row r="928">
          <cell r="A928" t="str">
            <v>Cây hoa mẫu đơn ta có đường kính tán từ 1,0m đến 1,2m gốc có 5-7 nhánh</v>
          </cell>
        </row>
        <row r="929">
          <cell r="A929" t="str">
            <v>Cây hoa mẫu đơn ta có đường kính tán  1,0m đến 1,2m, gốc có 8-10 nhánh</v>
          </cell>
        </row>
        <row r="930">
          <cell r="A930" t="str">
            <v>Cây hoa mẫu đơn ta có đường kính tán  1,3m đến 1,5 m, gốc có 8-10 nhánh</v>
          </cell>
        </row>
        <row r="931">
          <cell r="A931" t="str">
            <v>Cây hoa mẫu đơn ta có đường kính tán 1,6m đến 2m, gốc có trên 10 nhánh</v>
          </cell>
        </row>
        <row r="932">
          <cell r="A932" t="str">
            <v>Cây hoa mẫu đơn ta có đường kính tán 2,0m đến 2,2 m, gốc có trên 10 nhánh</v>
          </cell>
        </row>
        <row r="933">
          <cell r="A933" t="str">
            <v>Cây hoa mẫu đơn ta có đường kính tán &gt;2,2m đến 2,5m, gốc có trên 10 nhánh</v>
          </cell>
        </row>
        <row r="934">
          <cell r="A934" t="str">
            <v>Cây hoa mẫu đơn ta có đường kính tán &gt;2,5 m, gốc có trên 10 nhánh</v>
          </cell>
        </row>
        <row r="935">
          <cell r="A935" t="str">
            <v>Cây hoa hòe (tính theo đường kính tán)</v>
          </cell>
        </row>
        <row r="936">
          <cell r="A936" t="str">
            <v>Cây hoa hòe giống đủ tiêu chuẩn  mới trồng</v>
          </cell>
        </row>
        <row r="937">
          <cell r="A937" t="str">
            <v>Cây hoa hòe có đường kính tán 0,1m ≤ Φ &lt; 0,5m</v>
          </cell>
        </row>
        <row r="938">
          <cell r="A938" t="str">
            <v>Cây hoa hòe có đường kính tán 0,5m ≤ Φ &lt; 1m</v>
          </cell>
        </row>
        <row r="939">
          <cell r="A939" t="str">
            <v>Cây hoa hòe có đường kính tán 1m ≤ Φ &lt; 1,5m</v>
          </cell>
        </row>
        <row r="940">
          <cell r="A940" t="str">
            <v>Cây hoa hòe có đường kính tán 1,5m ≤ Φ &lt;2m</v>
          </cell>
        </row>
        <row r="941">
          <cell r="A941" t="str">
            <v>Cây hoa hòe có đường kính tán 2m ≤ Φ &lt; 3m</v>
          </cell>
        </row>
        <row r="942">
          <cell r="A942" t="str">
            <v>Cây hoa hòe có đường kính tán 3m ≤ Φ &lt; 4m</v>
          </cell>
        </row>
        <row r="943">
          <cell r="A943" t="str">
            <v>Cây hoa hòe có đường kính tán 4m ≤ Φ &lt; 5m</v>
          </cell>
        </row>
        <row r="944">
          <cell r="A944" t="str">
            <v>Cây hoa hòe có đường kính tán 5m ≤ Φ &lt; 6m</v>
          </cell>
        </row>
        <row r="945">
          <cell r="A945" t="str">
            <v>Cây hoa hòe có đường kính tán 6m ≤ Φ &lt; 7m</v>
          </cell>
        </row>
        <row r="946">
          <cell r="A946" t="str">
            <v>Cây hoa hòe có đường kính tán 7m ≤ Φ &lt; 8m</v>
          </cell>
        </row>
        <row r="947">
          <cell r="A947" t="str">
            <v>Cây hoa hòe có đường kính tán 8m ≤ Φ &lt; 9m</v>
          </cell>
        </row>
        <row r="948">
          <cell r="A948" t="str">
            <v>Cây hoa hòe có đường kính tán 9m ≤ Φ &lt; 12m</v>
          </cell>
        </row>
        <row r="949">
          <cell r="A949" t="str">
            <v>Cây hoa hòe có đường kính tán Φ ≥ 12m</v>
          </cell>
        </row>
        <row r="950">
          <cell r="A950" t="str">
            <v>Cây túc (tính theo đường kính gốc)</v>
          </cell>
        </row>
        <row r="951">
          <cell r="A951" t="str">
            <v>Cây túc giống đủ tiêu chuẩn mới trồng, chiều cao cây H &lt; 40cm</v>
          </cell>
        </row>
        <row r="952">
          <cell r="A952" t="str">
            <v>Cây túc đường kính gốc 1cm ≤ Φ &lt; 5cm</v>
          </cell>
        </row>
        <row r="953">
          <cell r="A953" t="str">
            <v>Cây túc đường kính gốc 5cm ≤ Φ &lt; 10cm</v>
          </cell>
        </row>
        <row r="954">
          <cell r="A954" t="str">
            <v xml:space="preserve">Cây túc đường kính gốc 10cm ≤ Φ &lt; 15cm  </v>
          </cell>
        </row>
        <row r="955">
          <cell r="A955" t="str">
            <v>Cây túc đường kính gốc 15cm ≤ Φ &lt; 20cm</v>
          </cell>
        </row>
        <row r="956">
          <cell r="A956" t="str">
            <v>Cây túc đường kính gốc 20cm ≤ Φ &lt; 25cm</v>
          </cell>
        </row>
        <row r="957">
          <cell r="A957" t="str">
            <v>Cây túc đường kính gốc 25cm ≤ Φ &lt; 30cm</v>
          </cell>
        </row>
        <row r="958">
          <cell r="A958" t="str">
            <v>Cây túc đường kính gốc 30cm ≤ Φ &lt; 35cm</v>
          </cell>
        </row>
        <row r="959">
          <cell r="A959" t="str">
            <v>Cây túc đường kính gốc Φ ≥ 35cm</v>
          </cell>
        </row>
        <row r="960">
          <cell r="A960" t="str">
            <v>Tùng ấn độ  (tính theo đường kính gốc)</v>
          </cell>
        </row>
        <row r="961">
          <cell r="A961" t="str">
            <v>Cây tùng ấn độ giống đủ tiêu chuẩn mới trồng, chiều cao cây H &lt; 40cm</v>
          </cell>
        </row>
        <row r="962">
          <cell r="A962" t="str">
            <v>Cây tùng ấn độ có đường kính gốc 1cm ≤ Φ &lt; 3cm</v>
          </cell>
        </row>
        <row r="963">
          <cell r="A963" t="str">
            <v>Cây tùng ấn độ có đường kính gốc 3cm ≤ Φ &lt; 5cm</v>
          </cell>
        </row>
        <row r="964">
          <cell r="A964" t="str">
            <v>Cây tùng ấn độ có đường kính gốc 5cm ≤ Φ &lt; 10cm</v>
          </cell>
        </row>
        <row r="965">
          <cell r="A965" t="str">
            <v>Cây tùng ấn độ có đường kính gốc 10cm ≤ Φ &lt; 15cm</v>
          </cell>
        </row>
        <row r="966">
          <cell r="A966" t="str">
            <v>Cây tùng ấn độ có đường kính gốc Φ ≥ 15cm</v>
          </cell>
        </row>
        <row r="967">
          <cell r="A967" t="str">
            <v>Cây Xạ đen (tính theo đường kính tán)</v>
          </cell>
        </row>
        <row r="968">
          <cell r="A968" t="str">
            <v>Cây xạ đen giống đủ tiêu chuẩn  mới trồng</v>
          </cell>
        </row>
        <row r="969">
          <cell r="A969" t="str">
            <v>Cây xạ đen có đường kính tán 0,1 ≤ Φ &lt; 0,5m</v>
          </cell>
        </row>
        <row r="970">
          <cell r="A970" t="str">
            <v>Cây xạ đen có đường kính tán 0,5m ≤ Φ &lt; 1m</v>
          </cell>
        </row>
        <row r="971">
          <cell r="A971" t="str">
            <v>Cây xạ đen có đường kính tán 1m ≤ Φ &lt; 1,5m</v>
          </cell>
        </row>
        <row r="972">
          <cell r="A972" t="str">
            <v>Cây xạ đen có đường kính tán 1,5m ≤ Φ &lt; 2m</v>
          </cell>
        </row>
        <row r="973">
          <cell r="A973" t="str">
            <v>Cây xạ đen có đường kính tán 2m ≤ Φ &lt; 3m</v>
          </cell>
        </row>
        <row r="974">
          <cell r="A974" t="str">
            <v>Cây xạ đen có đường kính tán 3m ≤ Φ &lt; 4m</v>
          </cell>
        </row>
        <row r="975">
          <cell r="A975" t="str">
            <v>Cây xạ đen có đường kính tán Φ ≥ 4m</v>
          </cell>
        </row>
        <row r="976">
          <cell r="A976" t="str">
            <v>Cây Hải đường (tính theo đường kính gốc)</v>
          </cell>
        </row>
        <row r="977">
          <cell r="A977" t="str">
            <v>Cây hải đường giống đủ tiêu chuẩn mới trồng</v>
          </cell>
        </row>
        <row r="978">
          <cell r="A978" t="str">
            <v>Cây hải đường có đường kính gốc 1cm ≤ Φ &lt; 3cm</v>
          </cell>
        </row>
        <row r="979">
          <cell r="A979" t="str">
            <v>Cây hải đường có đường kính gốc 3cm ≤ Φ &lt; 5cm</v>
          </cell>
        </row>
        <row r="980">
          <cell r="A980" t="str">
            <v>Cây hải đường có đường kính gốc 5cm ≤ Φ &lt; 7cm</v>
          </cell>
        </row>
        <row r="981">
          <cell r="A981" t="str">
            <v>Cây hải đường có đường kính gốc 7cm ≤ Φ &lt; 9cm</v>
          </cell>
        </row>
        <row r="982">
          <cell r="A982" t="str">
            <v>Cây hải đường có đường kính gốc Φ ≥ 9cm</v>
          </cell>
        </row>
        <row r="983">
          <cell r="A983" t="str">
            <v>Cây cóc (tính theo đường kính gốc)</v>
          </cell>
        </row>
        <row r="984">
          <cell r="A984" t="str">
            <v>Cây cóc có đường kính gốc 1cm ≤ Φ &lt; 2cm</v>
          </cell>
        </row>
        <row r="985">
          <cell r="A985" t="str">
            <v>Cây cóc có đường kính gốc 2cm ≤ Φ &lt; 5cm</v>
          </cell>
        </row>
        <row r="986">
          <cell r="A986" t="str">
            <v>Cây cóc có đường kính gốc 5cm ≤ Φ &lt; 7cm</v>
          </cell>
        </row>
        <row r="987">
          <cell r="A987" t="str">
            <v>Cây cóc có đường kính gốc Φ ≥ 7cm</v>
          </cell>
        </row>
        <row r="988">
          <cell r="A988" t="str">
            <v>Cây tùng cối (tính theo đường kính gốc)</v>
          </cell>
        </row>
        <row r="989">
          <cell r="A989" t="str">
            <v>Cây tùng cối có đường kính gốc 1cm ≤ Φ &lt; 2cm</v>
          </cell>
        </row>
        <row r="990">
          <cell r="A990" t="str">
            <v>Cây tùng cối có đường kính gốc 2cm ≤ Φ &lt; 5cm</v>
          </cell>
        </row>
        <row r="991">
          <cell r="A991" t="str">
            <v>Cây tùng cối có đường kính gốc 5cm ≤ Φ &lt; 7cm</v>
          </cell>
        </row>
        <row r="992">
          <cell r="A992" t="str">
            <v>Cây tùng cối có đường kính gốc Φ ≥ 7cm</v>
          </cell>
        </row>
        <row r="993">
          <cell r="A993" t="str">
            <v>Cây vạn tuế (tính theo đường kính gốc)</v>
          </cell>
        </row>
        <row r="994">
          <cell r="A994" t="str">
            <v>Cây vạn tuế có đường kính gốc  Φ &lt; 10cm</v>
          </cell>
        </row>
        <row r="995">
          <cell r="A995" t="str">
            <v>Cây vạn tuế có đường kính gốc 10cm ≤ Φ &lt; 20cm</v>
          </cell>
        </row>
        <row r="996">
          <cell r="A996" t="str">
            <v>Cây vạn tuế có đường kính gốc 20cm ≤ Φ &lt; 30cm</v>
          </cell>
        </row>
        <row r="997">
          <cell r="A997" t="str">
            <v>Cây vạn tuế có đường kính gốc Φ ≥ 30cm</v>
          </cell>
        </row>
        <row r="998">
          <cell r="A998" t="str">
            <v>Cây cảnh trồng trong chậu (tính chi phí di chuyển cả cây và chậu)</v>
          </cell>
        </row>
        <row r="999">
          <cell r="A999" t="str">
            <v>Di chuyển chậu có đường kính &lt; 0,5m</v>
          </cell>
        </row>
        <row r="1000">
          <cell r="A1000" t="str">
            <v xml:space="preserve">Di chuyển chậu có đường kính 0,5m ≤ Φ &lt; 0,7m </v>
          </cell>
        </row>
        <row r="1001">
          <cell r="A1001" t="str">
            <v xml:space="preserve">Di chuyển chậu có đường kính 0,7m ≤ Φ &lt; 1m </v>
          </cell>
        </row>
        <row r="1002">
          <cell r="A1002" t="str">
            <v xml:space="preserve">Di chuyển chậu có đường kính 1m ≤ Φ &lt; 1,5m </v>
          </cell>
        </row>
        <row r="1003">
          <cell r="A1003" t="str">
            <v xml:space="preserve">Di chuyển chậu có đường kính ≥ 1,5m </v>
          </cell>
        </row>
        <row r="1004">
          <cell r="A1004" t="str">
            <v>Quất cảnh (tính theo đường kính tán lá Φ)</v>
          </cell>
        </row>
        <row r="1005">
          <cell r="A1005" t="str">
            <v>Cây giống đủ tiêu chuẩn mới trồng</v>
          </cell>
        </row>
        <row r="1006">
          <cell r="A1006" t="str">
            <v>Cây có đường kính tán 0,7m ≤ Φ &lt; 1m</v>
          </cell>
        </row>
        <row r="1007">
          <cell r="A1007" t="str">
            <v>Cây có đường kính tán 1m ≤ Φ &lt; 1,5m</v>
          </cell>
        </row>
        <row r="1008">
          <cell r="A1008" t="str">
            <v>Cây có đường kính tán 1,5m ≤ Φ &lt; 2m</v>
          </cell>
        </row>
        <row r="1009">
          <cell r="A1009" t="str">
            <v>Cây có đường kính tán Φ ≥ 2m</v>
          </cell>
        </row>
        <row r="1010">
          <cell r="A1010" t="str">
            <v>Cây cảnh làm giống</v>
          </cell>
        </row>
        <row r="1011">
          <cell r="A1011" t="str">
            <v xml:space="preserve">Cây giống đào, hoa cảnh </v>
          </cell>
        </row>
        <row r="1012">
          <cell r="A1012" t="str">
            <v>Gieo, ươm hạt thành luống chưa ghép</v>
          </cell>
        </row>
        <row r="1013">
          <cell r="A1013" t="str">
            <v xml:space="preserve">Gieo, ươm hạt thành luống đã ghép </v>
          </cell>
        </row>
        <row r="1014">
          <cell r="A1014" t="str">
            <v>Cây giống đào hoa cảnh đã ghép đủ tiêu chuẩn</v>
          </cell>
        </row>
        <row r="1015">
          <cell r="A1015" t="str">
            <v xml:space="preserve">Cây giống trồng từ đào mạ, không ghép trồng thành luống </v>
          </cell>
        </row>
        <row r="1016">
          <cell r="A1016" t="str">
            <v>Cây giống lộc vừng, sanh, si</v>
          </cell>
        </row>
        <row r="1017">
          <cell r="A1017" t="str">
            <v>Cây gieo ươm từ hạt</v>
          </cell>
        </row>
        <row r="1018">
          <cell r="A1018" t="str">
            <v>Giống ươm gieo hạt chiều cao cây H &lt; 20cm</v>
          </cell>
        </row>
        <row r="1019">
          <cell r="A1019" t="str">
            <v xml:space="preserve">Giống ươm gieo hạt chiều cao cây H ≥ 20cm </v>
          </cell>
        </row>
        <row r="1020">
          <cell r="A1020" t="str">
            <v>Từ cây ươm gieo hạt tách ra đựng trong bầu nilong hoặc trồng thành luống</v>
          </cell>
        </row>
        <row r="1021">
          <cell r="A1021" t="str">
            <v xml:space="preserve">Chiều cao cây 20cm  ≤ H &lt; 50cm </v>
          </cell>
        </row>
        <row r="1022">
          <cell r="A1022" t="str">
            <v>Chiều cao cây 50cm  ≤ H &lt; 70cm</v>
          </cell>
        </row>
        <row r="1023">
          <cell r="A1023" t="str">
            <v xml:space="preserve">Chiều cao cây 70cm  ≤ H &lt;100cm </v>
          </cell>
        </row>
        <row r="1024">
          <cell r="A1024" t="str">
            <v>Cây giống cau cảnh</v>
          </cell>
        </row>
        <row r="1025">
          <cell r="A1025" t="str">
            <v>Cây gieo ươm từ hạt</v>
          </cell>
        </row>
        <row r="1026">
          <cell r="A1026" t="str">
            <v>Giống ươm gieo hạt thành luống, vạt chiều cao cây H &lt; 20cm</v>
          </cell>
        </row>
        <row r="1027">
          <cell r="A1027" t="str">
            <v xml:space="preserve">Giống ươm gieo hạt thành luống, vạt chiều cao cây H ≥ 20cm </v>
          </cell>
        </row>
        <row r="1028">
          <cell r="A1028" t="str">
            <v>Từ cây ươm gieo hạt tách ra đựng trong bầu nilong hoặc trồng thành luống</v>
          </cell>
        </row>
        <row r="1029">
          <cell r="A1029" t="str">
            <v>Chiều cao cây H &lt; 20cm</v>
          </cell>
        </row>
        <row r="1030">
          <cell r="A1030" t="str">
            <v>Chiều cao cây 20cm  ≤ H &lt; 50cm</v>
          </cell>
        </row>
        <row r="1031">
          <cell r="A1031" t="str">
            <v xml:space="preserve">Chiều cao cây H ≥ 50cm </v>
          </cell>
        </row>
        <row r="1032">
          <cell r="A1032" t="str">
            <v>Đào tán (đào hoa cảnh có đặc điểm tán lá hình tròn, hình tháp, thân chính không uốn tạo thế phát triển tự nhiên, chỉ cắt tỉa cành nhỏ; trồng trên đất đã được chuyển mục đích theo quy định, bao gồm: Đào cây, các loại cây khác trồng xen canh, bể chứa nước, bể chứa phân…tính trên diện tích 1 sào =360m2).</v>
          </cell>
        </row>
        <row r="1033">
          <cell r="A1033" t="str">
            <v xml:space="preserve">Đào tán loại 1 (số cây có đường kính tán từ 0,8m đến 1m, cao từ 1m đến 1,5m chiếm trên 50% diện tích; quy đổi 1 cây/1,8m2) </v>
          </cell>
        </row>
        <row r="1034">
          <cell r="A1034" t="str">
            <v xml:space="preserve">Đào tán loại 2 (số cây có đường kính tán từ 0,8m đến 1m, cao từ 1m đến 1,5m chiếm từ 40% đến 50% diện tích; quy đổi 1 cây/1,8m2) </v>
          </cell>
        </row>
        <row r="1035">
          <cell r="A1035" t="str">
            <v xml:space="preserve">Đào tán loại 3 (số cây có đường kính tán từ 0,8m đến 1m, cao từ 1m đến 1,5m chiếm từ 30% đến 40% diện tích; quy đổi 1 cây/1,8m2) </v>
          </cell>
        </row>
        <row r="1036">
          <cell r="A1036" t="str">
            <v xml:space="preserve">Đào tán loại 4 (số cây có đường kính tán từ 0,8m đến 1m, cao từ 1m đến 1,5m chiếm dưới 30% diện tích; quy đổi 1 cây/1,2m2) </v>
          </cell>
        </row>
        <row r="1037">
          <cell r="A1037" t="str">
            <v>Đào thế (đào trồng trên đất đã được chuyển mục đích theo quy định, bao gồm: Đào cây, các loại cây khác trồng xen canh, bể chứa nước, bể chứa phân…tính trên diện tích 1 sào =360m2)</v>
          </cell>
        </row>
        <row r="1038">
          <cell r="A1038" t="str">
            <v xml:space="preserve">Đào thế loại 1 (số cây có chiều cao từ 1m đến 1,5m chiếm trên 50% diện tích; quy đổi 1 cây/1,8m2) </v>
          </cell>
        </row>
        <row r="1039">
          <cell r="A1039" t="str">
            <v xml:space="preserve">Đào thế loại 2 (số cây có chiều cao từ 1m đến 1,5m chiếm từ 40% đến 50% diện tích; quy đổi 1 cây/1,8m2) </v>
          </cell>
        </row>
        <row r="1040">
          <cell r="A1040" t="str">
            <v xml:space="preserve">Đào thế loại 3 (số cây có chiều cao từ 1m đến 1,5m chiếm dưới 40% diện tích; quy đổi 1 cây/1,2m2) </v>
          </cell>
        </row>
        <row r="1041">
          <cell r="A1041" t="str">
            <v>Cỏ cảnh lá tre, cỏ nhung (trồng dày đặc)</v>
          </cell>
        </row>
        <row r="1042">
          <cell r="A1042" t="str">
            <v>Hương nhu, lá ngải, lá nếp, lưỡi hổ, láng tía, ngũ gia bì</v>
          </cell>
        </row>
        <row r="1043">
          <cell r="A1043" t="str">
            <v>Trầu không</v>
          </cell>
        </row>
        <row r="1044">
          <cell r="A1044" t="str">
            <v>Hương bài</v>
          </cell>
        </row>
        <row r="1045">
          <cell r="A1045" t="str">
            <v>GIỐNG CÂY ĂN QUẢ</v>
          </cell>
        </row>
        <row r="1046">
          <cell r="A1046" t="str">
            <v>Thanh long</v>
          </cell>
        </row>
        <row r="1047">
          <cell r="A1047" t="str">
            <v>Cành thanh long mới ươm chưa ra rễ</v>
          </cell>
        </row>
        <row r="1048">
          <cell r="A1048" t="str">
            <v>Cây thanh long ươm đã ra rễ và mầm, thời gian trồng &lt;  01 tháng</v>
          </cell>
        </row>
        <row r="1049">
          <cell r="A1049" t="str">
            <v>Cây thanh long ươm đã ra rễ và mầm, từ 01 tháng đến &lt; 02 tháng</v>
          </cell>
        </row>
        <row r="1050">
          <cell r="A1050" t="str">
            <v>Cây thanh long ươm đã ra rễ và mầm, thời gian trồng ≥ 02 tháng</v>
          </cell>
        </row>
        <row r="1051">
          <cell r="A1051" t="str">
            <v>Cây thanh long có chiều cao thân ≥ 0,7m (chưa ra quả)</v>
          </cell>
        </row>
        <row r="1052">
          <cell r="A1052" t="str">
            <v>Cây thanh long có chiều cao thân ≥ 0,7m (đã có quả)</v>
          </cell>
        </row>
        <row r="1053">
          <cell r="A1053" t="str">
            <v>Cây giống cây ăn quả</v>
          </cell>
        </row>
        <row r="1054">
          <cell r="A1054" t="str">
            <v>Loại ươm gieo hạt (thành luống, dảnh)</v>
          </cell>
        </row>
        <row r="1055">
          <cell r="A1055" t="str">
            <v xml:space="preserve">Chiều cao cây H &lt; 20cm </v>
          </cell>
        </row>
        <row r="1056">
          <cell r="A1056" t="str">
            <v>Chiều cao cây H ≥ 20cm</v>
          </cell>
        </row>
        <row r="1057">
          <cell r="A1057" t="str">
            <v>Cây giống vải, nhãn, doi, bưởi, thị, na, xoài, muỗm, quéo, trứng gà, sấu, táo, ổi, chay, me, khế, mận, mơ (từ cây ươm gieo hạt, đựng trong bầu nilon hoặc trồng thành luống chưa ghép)</v>
          </cell>
        </row>
        <row r="1058">
          <cell r="A1058" t="str">
            <v>Chiều cao cây H &lt; 40cm</v>
          </cell>
        </row>
        <row r="1059">
          <cell r="A1059" t="str">
            <v>Chiều cao cây 40cm ≤ H &lt; 100cm</v>
          </cell>
        </row>
        <row r="1060">
          <cell r="A1060" t="str">
            <v xml:space="preserve">Chiều cao cây H ≥ 100cm </v>
          </cell>
        </row>
        <row r="1061">
          <cell r="A1061" t="str">
            <v>Cây giống vải, nhãn, cam, bưởi, táo, ổi, khế (gieo hạt ươm thành luống đã ghép)</v>
          </cell>
        </row>
        <row r="1062">
          <cell r="A1062" t="str">
            <v>Chiều cao cây H &lt; 40cm</v>
          </cell>
        </row>
        <row r="1063">
          <cell r="A1063" t="str">
            <v>Chiều cao cây 40cm  ≤ H &lt; 100cm</v>
          </cell>
        </row>
        <row r="1064">
          <cell r="A1064" t="str">
            <v>Chiều cao cây H ≥ 100cm</v>
          </cell>
        </row>
        <row r="1065">
          <cell r="A1065" t="str">
            <v>Cây giống vải, nhãn, cam, bưởi, doi, hồng xiêm ... đang chiết cành (đã có rễ) chưa đem trồng</v>
          </cell>
        </row>
        <row r="1066">
          <cell r="A1066" t="str">
            <v>Giống Vải, Nhãn đã chiết cành, đã đem dâm ra vườn</v>
          </cell>
        </row>
        <row r="1067">
          <cell r="A1067" t="str">
            <v>Chiều cao cây H &lt; 40cm</v>
          </cell>
        </row>
        <row r="1068">
          <cell r="A1068" t="str">
            <v>Chiều cao cây 40cm  ≤ H &lt; 1,0m</v>
          </cell>
        </row>
        <row r="1069">
          <cell r="A1069" t="str">
            <v xml:space="preserve">Chiều cao cây H ≥ 1,0m </v>
          </cell>
        </row>
        <row r="1070">
          <cell r="A1070" t="str">
            <v>Cây giống cam, bưởi, doi, hồng xiêm đã chiết cành dâm ra vườn</v>
          </cell>
        </row>
        <row r="1071">
          <cell r="A1071" t="str">
            <v>Cây giống cây lấy gỗ, cây lấy lá…ươm gieo hạt thành luống, vạt</v>
          </cell>
        </row>
        <row r="1072">
          <cell r="A1072" t="str">
            <v xml:space="preserve">Chiều cao cây H &lt; 20cm </v>
          </cell>
        </row>
        <row r="1073">
          <cell r="A1073" t="str">
            <v xml:space="preserve">Chiều cao cây H ≥ 20cm </v>
          </cell>
        </row>
      </sheetData>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giá cây cối"/>
      <sheetName val="Hải-Phước"/>
    </sheetNames>
    <sheetDataSet>
      <sheetData sheetId="0" refreshError="1">
        <row r="2">
          <cell r="F2" t="str">
            <v>Lúa các loại</v>
          </cell>
        </row>
      </sheetData>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uni"/>
    </definedNames>
    <sheetDataSet>
      <sheetData sheetId="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octien"/>
    </sheetNames>
    <definedNames>
      <definedName name="vnd"/>
    </defined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NC10"/>
      <sheetName val="VL10"/>
      <sheetName val="CFmay10"/>
      <sheetName val="627(10)"/>
      <sheetName val="T1"/>
      <sheetName val="Sheet2"/>
      <sheetName val="Sheet3"/>
      <sheetName val="Cong cu dung cu"/>
      <sheetName val="Kiem ke Quy"/>
      <sheetName val="Kiem ke TSCD"/>
      <sheetName val="vat tu"/>
      <sheetName val="Cong trinh do dang 2002"/>
      <sheetName val="Sheet6"/>
      <sheetName val="Sheet7"/>
      <sheetName val="Sheet8"/>
      <sheetName val="Sheet9"/>
      <sheetName val="Sheet10"/>
      <sheetName val="Sheet1"/>
      <sheetName val="Sheet4"/>
      <sheetName val="Sheet5"/>
      <sheetName val="Gia VL"/>
      <sheetName val="Bang gia ca may"/>
      <sheetName val="Bang luong CB"/>
      <sheetName val="Bang P.tich CT"/>
      <sheetName val="D.toan chi tiet"/>
      <sheetName val="Bang TH Dtoan"/>
      <sheetName val="XXXXXXXX"/>
      <sheetName val="CN"/>
      <sheetName val="Capphoivua"/>
      <sheetName val="cau"/>
      <sheetName val="cong"/>
      <sheetName val="nhua"/>
      <sheetName val="chitiet"/>
      <sheetName val="DuThauSuaLoi"/>
      <sheetName val="TongHopSuaLoi"/>
      <sheetName val="GT"/>
      <sheetName val="TH"/>
      <sheetName val="tienluong"/>
      <sheetName val="0000000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op -T1"/>
      <sheetName val="T.Hop-T2"/>
      <sheetName val="T.Hop-T3"/>
      <sheetName val="SD1"/>
      <sheetName val="SD2"/>
      <sheetName val="SD7"/>
      <sheetName val="SD8"/>
      <sheetName val="SD9"/>
      <sheetName val="SD11"/>
      <sheetName val="SD12"/>
      <sheetName val="TVSD"/>
      <sheetName val="KM"/>
      <sheetName val="KHOANMUC"/>
      <sheetName val="QTNC"/>
      <sheetName val="CPQL"/>
      <sheetName val="SANLUONG"/>
      <sheetName val="SSCP-SL"/>
      <sheetName val="CPSX"/>
      <sheetName val="KQKD"/>
      <sheetName val="CDSL (2)"/>
      <sheetName val="tong hop"/>
      <sheetName val="phan tich DG"/>
      <sheetName val="gia vat lieu"/>
      <sheetName val="gia xe may"/>
      <sheetName val="gia nhan cong"/>
      <sheetName val="XL4Test5"/>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 DUONG DC L = 90m"/>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TH du toan "/>
      <sheetName val="Du toan "/>
      <sheetName val="C.Tinh"/>
      <sheetName val="TK_cap"/>
      <sheetName val="MTL__INTER"/>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T9-2004"/>
      <sheetName val="T9-MD1"/>
      <sheetName val="T10-2004"/>
      <sheetName val="T10-MD1"/>
      <sheetName val="T11-2004"/>
      <sheetName val="T11-MD1"/>
      <sheetName val="T12-2004"/>
      <sheetName val="T12-MD1"/>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PC"/>
      <sheetName val="Ph-Thu"/>
      <sheetName val="Ph-Thu (2)"/>
      <sheetName val="PC (2)"/>
      <sheetName val="Chart2"/>
      <sheetName val="Chart1"/>
      <sheetName val="PC (3)"/>
      <sheetName val="ptvl0-1"/>
      <sheetName val="0-1"/>
      <sheetName val="ptvl4-5"/>
      <sheetName val="4-5"/>
      <sheetName val="ptvl3-4"/>
      <sheetName val="3-4"/>
      <sheetName val="ptvl2-3"/>
      <sheetName val="2-3"/>
      <sheetName val="vlcong"/>
      <sheetName val="ptvl1-2"/>
      <sheetName val="1-2"/>
      <sheetName val="20% BHXH"/>
      <sheetName val="TrÝch 2%KPC§"/>
      <sheetName val="TrÝch 3% BHYT"/>
      <sheetName val="SD cac TK"/>
      <sheetName val="TK336"/>
      <sheetName val="chi tiet 131"/>
      <sheetName val="Ke chi"/>
      <sheetName val="Bang ke chi tiet "/>
      <sheetName val=""/>
      <sheetName val="Bang TH Dtman"/>
      <sheetName val="DTCT"/>
      <sheetName val="PTVT"/>
      <sheetName val="THDT"/>
      <sheetName val="THVT"/>
      <sheetName val="THGT"/>
      <sheetName val="thong bao"/>
      <sheetName val="duyet gia"/>
      <sheetName val="so do"/>
      <sheetName val="KTQT-AFC"/>
      <sheetName val="KTQT-KH"/>
      <sheetName val="CLDG"/>
      <sheetName val="CLKL"/>
      <sheetName val="Bang du toan"/>
      <sheetName val="Tonghop"/>
      <sheetName val="Bu gia"/>
      <sheetName val="PT vat tu"/>
      <sheetName val="Du toan"/>
      <sheetName val="Phan tich vat tu"/>
      <sheetName val="Tong hop vat tu"/>
      <sheetName val="Tong hop gia"/>
      <sheetName val="Tro giup"/>
      <sheetName val="Nhan cong"/>
      <sheetName val="May thi cong"/>
      <sheetName val="Chi phi chung"/>
      <sheetName val="Config"/>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ongHopSuaLoé"/>
      <sheetName val="DT"/>
      <sheetName val="CP"/>
      <sheetName val="BCT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Phieu cao do K95"/>
      <sheetName val="Lop 1 K98"/>
      <sheetName val="MTO REV.2(ARMOR)"/>
      <sheetName val="km345+400-km345+500 (6'-"/>
      <sheetName val="mau c47"/>
      <sheetName val="Thang 1"/>
      <sheetName val="Thang 10"/>
      <sheetName val="tuၡn"/>
      <sheetName val="T9"/>
      <sheetName val="T6"/>
      <sheetName val="T3"/>
      <sheetName val="T10"/>
      <sheetName val="T2"/>
      <sheetName val="km337+136-ki337-350"/>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345+661-kms45+000 (2)"/>
      <sheetName val="km338+1w6-km338+230"/>
      <sheetName val="km338+439-km388+571.x9"/>
      <sheetName val="km337+u33.60-km338 (2)"/>
      <sheetName val="km345+400-km345+5 0 (3) (2)"/>
      <sheetName val="km342+500-km342+690 (2)"/>
      <sheetName val="Thong so chinh"/>
      <sheetName val="44"/>
      <sheetName val="43"/>
      <sheetName val="42"/>
      <sheetName val="41"/>
      <sheetName val="40"/>
      <sheetName val="39"/>
      <sheetName val="38"/>
      <sheetName val="37"/>
      <sheetName val="36"/>
      <sheetName val="35"/>
      <sheetName val="34"/>
      <sheetName val="33"/>
      <sheetName val="32"/>
      <sheetName val="31"/>
      <sheetName val="30"/>
      <sheetName val="29"/>
      <sheetName val="28"/>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4"/>
      <sheetName val="3"/>
      <sheetName val="2"/>
      <sheetName val="1"/>
      <sheetName val="SD0"/>
      <sheetName val="km346+00-k_x000d_346+240 (2)"/>
      <sheetName val="k_x000d_338+60-km338+130"/>
      <sheetName val="km342+376.41- km342+52_x0010_.29"/>
      <sheetName val="km33_x0018_+571.89-km338+652"/>
      <sheetName val="km341+275-km341+35_x0010_"/>
      <sheetName val="km341+612-_x0013_41+682"/>
      <sheetName val="THChi"/>
      <sheetName val="THthu"/>
      <sheetName val="BCD"/>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NGQUAT-6"/>
      <sheetName val="DP NOI"/>
      <sheetName val="DP NGOAI"/>
      <sheetName val="YCU-HC"/>
      <sheetName val="KHO 21ST"/>
      <sheetName val="KHO 49 TN"/>
      <sheetName val="KHO 82 TN"/>
      <sheetName val="KHO 28 TN"/>
      <sheetName val="TTBLII-58 NGT"/>
      <sheetName val="4 VT SAU"/>
      <sheetName val="74TN"/>
      <sheetName val="108 NG TRAI"/>
      <sheetName val="68A QTRUNG"/>
      <sheetName val="HT QUAY"/>
      <sheetName val="BTK TKHO"/>
      <sheetName val="Duong con' vu hcm (6)"/>
      <sheetName val="Macro1"/>
      <sheetName val="Macro2"/>
      <sheetName val="Macro3"/>
      <sheetName val="T3-99"/>
      <sheetName val="T4-99"/>
      <sheetName val="T5-99"/>
      <sheetName val="T6-99"/>
      <sheetName val="T7-99"/>
      <sheetName val="T8-99"/>
      <sheetName val="T9-99"/>
      <sheetName val="T10-99"/>
      <sheetName val="T11-99"/>
      <sheetName val="T12-99"/>
      <sheetName val="KHo152"/>
      <sheetName val="Truot_nen"/>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00000001"/>
      <sheetName val="00000002"/>
      <sheetName val="00000003"/>
      <sheetName val="00000004"/>
      <sheetName val="1380"/>
      <sheetName val="1381"/>
      <sheetName val="1382"/>
      <sheetName val="1383"/>
      <sheetName val="1384"/>
      <sheetName val="1385"/>
      <sheetName val="1387"/>
      <sheetName val="138"/>
      <sheetName val="141"/>
      <sheetName val="311-1"/>
      <sheetName val="3112"/>
      <sheetName val="3113"/>
      <sheetName val="3881-dl"/>
      <sheetName val="3882"/>
      <sheetName val="3881"/>
      <sheetName val="131-2"/>
      <sheetName val="1386"/>
      <sheetName val="131-1"/>
      <sheetName val="3882-l"/>
      <sheetName val="Giao"/>
      <sheetName val="CHIET TINH"/>
      <sheetName val="Bang Gia VL"/>
      <sheetName val="Tong Hop KP"/>
      <sheetName val=" DON GIA"/>
      <sheetName val="CHIET TINH THEO KH.SAT"/>
      <sheetName val="143"/>
      <sheetName val="161"/>
      <sheetName val="162"/>
      <sheetName val="163"/>
      <sheetName val="164"/>
      <sheetName val="171"/>
      <sheetName val="172"/>
      <sheetName val="310"/>
      <sheetName val="320"/>
      <sheetName val="330"/>
      <sheetName val="360"/>
      <sheetName val="410"/>
      <sheetName val="420"/>
      <sheetName val="500"/>
      <sheetName val="GIAO TBI"/>
      <sheetName val="20000000"/>
      <sheetName val="BKmua vao"/>
      <sheetName val="BKBan ra"/>
      <sheetName val="BCsudunghd"/>
      <sheetName val="TOkhaithue"/>
      <sheetName val="5 nam (tach)"/>
      <sheetName val="5 nam (tach) (2)"/>
      <sheetName val="KH 2003"/>
      <sheetName val="MV06"/>
      <sheetName val="BR06"/>
      <sheetName val="TH06"/>
      <sheetName val="Vinhi-Cbi"/>
      <sheetName val="Binh-R6"/>
      <sheetName val="Binh-CBi"/>
      <sheetName val="Thu-R6"/>
      <sheetName val="To4-Thang"/>
      <sheetName val="CB,DCTN"/>
      <sheetName val="CBCNV"/>
      <sheetName val="LamThemCBCNV "/>
      <sheetName val="UL"/>
      <sheetName val="MTL$-JDTTY"/>
      <sheetName val="A6"/>
      <sheetName val="BKNHAP"/>
      <sheetName val="BKX"/>
      <sheetName val="MSVT"/>
      <sheetName val="MSSP"/>
      <sheetName val="§V"/>
      <sheetName val="N-X -T"/>
      <sheetName val="6 T-2003"/>
      <sheetName val="T1-04"/>
      <sheetName val="T2-04 "/>
      <sheetName val="T3-04"/>
      <sheetName val="T4-04 "/>
      <sheetName val="T5-04  "/>
      <sheetName val="T6-04  "/>
      <sheetName val="QUY II"/>
      <sheetName val="QUY III"/>
      <sheetName val="kinhphi"/>
      <sheetName val="CPXL-DIEN"/>
      <sheetName val="THCPXAYLAP-XL"/>
      <sheetName val="chikhac"/>
      <sheetName val="CHENH LECH-XL"/>
      <sheetName val="KHOI LUONG-XL"/>
      <sheetName val="VLNCM-DIEN"/>
      <sheetName val="VLNCM-XL"/>
      <sheetName val="XXXXXXX0"/>
      <sheetName val="XXXXXXX1"/>
      <sheetName val="KL nen"/>
      <sheetName val="Gia TH"/>
      <sheetName val="TH DG giao nen"/>
      <sheetName val="Nhu cau von"/>
      <sheetName val="Gia de nghi cuoi"/>
      <sheetName val="BC QTam"/>
      <sheetName val="So sanh"/>
      <sheetName val="CP Gian tiep"/>
      <sheetName val="PT DG nen"/>
      <sheetName val="Gia may"/>
      <sheetName val="PL KH"/>
      <sheetName val="DM M theo KH, Luong"/>
      <sheetName val="Tinh M theo DM"/>
      <sheetName val="KL Tong"/>
      <sheetName val="TL10PH"/>
      <sheetName val="bth "/>
      <sheetName val="Khoan"/>
      <sheetName val="cvc"/>
      <sheetName val="bcl "/>
      <sheetName val="ctkhac"/>
      <sheetName val="ctday"/>
      <sheetName val="thday"/>
      <sheetName val="dtday"/>
      <sheetName val="ctram"/>
      <sheetName val="thtram"/>
      <sheetName val="dtram"/>
      <sheetName val="DTchung"/>
      <sheetName val="ctvlieu"/>
      <sheetName val="dmxay"/>
      <sheetName val="DGVT"/>
      <sheetName val="BThaut"/>
      <sheetName val="KLT"/>
      <sheetName val="QT"/>
      <sheetName val="KL tt"/>
      <sheetName val="Gi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refreshError="1"/>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refreshError="1"/>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refreshError="1"/>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refreshError="1"/>
      <sheetData sheetId="860"/>
      <sheetData sheetId="861"/>
      <sheetData sheetId="862"/>
      <sheetData sheetId="863"/>
      <sheetData sheetId="86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foxz"/>
      <sheetName val="foxz_2"/>
      <sheetName val="Đơn giá cây cối"/>
      <sheetName val="1.Tơi Tuấn"/>
      <sheetName val="XXXXXXXX"/>
    </sheetNames>
    <sheetDataSet>
      <sheetData sheetId="0" refreshError="1"/>
      <sheetData sheetId="1" refreshError="1"/>
      <sheetData sheetId="2" refreshError="1"/>
      <sheetData sheetId="3" refreshError="1">
        <row r="2">
          <cell r="A2" t="str">
            <v>Nhóm cây lương thực</v>
          </cell>
        </row>
        <row r="3">
          <cell r="A3" t="str">
            <v>Lúa</v>
          </cell>
          <cell r="B3" t="str">
            <v>đồng/m2</v>
          </cell>
          <cell r="C3">
            <v>10000</v>
          </cell>
        </row>
        <row r="4">
          <cell r="A4" t="str">
            <v>Ngô (bắp)</v>
          </cell>
          <cell r="B4" t="str">
            <v>đồng/m2</v>
          </cell>
          <cell r="C4">
            <v>8000</v>
          </cell>
        </row>
        <row r="5">
          <cell r="A5" t="str">
            <v>Khoai lang</v>
          </cell>
          <cell r="B5" t="str">
            <v>đồng/m2</v>
          </cell>
          <cell r="C5">
            <v>13000</v>
          </cell>
        </row>
        <row r="6">
          <cell r="A6" t="str">
            <v>Sắn (mỳ)</v>
          </cell>
          <cell r="B6" t="str">
            <v>đồng/m2</v>
          </cell>
          <cell r="C6">
            <v>7900</v>
          </cell>
        </row>
        <row r="7">
          <cell r="A7" t="str">
            <v>Nhóm cây rau, màu</v>
          </cell>
        </row>
        <row r="8">
          <cell r="A8" t="str">
            <v>Khoai sọ</v>
          </cell>
          <cell r="B8" t="str">
            <v>đồng/m2</v>
          </cell>
          <cell r="C8">
            <v>11800</v>
          </cell>
        </row>
        <row r="9">
          <cell r="A9" t="str">
            <v>Khoai mỡ, củ canh</v>
          </cell>
          <cell r="B9" t="str">
            <v>đồng/m2</v>
          </cell>
          <cell r="C9">
            <v>12800</v>
          </cell>
        </row>
        <row r="10">
          <cell r="A10" t="str">
            <v>Khoai môn</v>
          </cell>
          <cell r="B10" t="str">
            <v>đồng/m2</v>
          </cell>
          <cell r="C10">
            <v>11000</v>
          </cell>
        </row>
        <row r="11">
          <cell r="A11" t="str">
            <v>Khoai tây</v>
          </cell>
          <cell r="B11" t="str">
            <v>đồng/m2</v>
          </cell>
          <cell r="C11">
            <v>22900</v>
          </cell>
        </row>
        <row r="12">
          <cell r="A12" t="str">
            <v>Dong riềng</v>
          </cell>
          <cell r="B12" t="str">
            <v>đồng/m2</v>
          </cell>
          <cell r="C12">
            <v>10600</v>
          </cell>
        </row>
        <row r="13">
          <cell r="A13" t="str">
            <v>Sắn dây</v>
          </cell>
          <cell r="B13" t="str">
            <v>đồng/m2</v>
          </cell>
          <cell r="C13">
            <v>22000</v>
          </cell>
        </row>
        <row r="14">
          <cell r="A14" t="str">
            <v>Củ từ</v>
          </cell>
          <cell r="B14" t="str">
            <v>đồng/m2</v>
          </cell>
          <cell r="C14">
            <v>21500</v>
          </cell>
        </row>
        <row r="15">
          <cell r="A15" t="str">
            <v>Mía</v>
          </cell>
          <cell r="B15" t="str">
            <v>đồng/m2</v>
          </cell>
          <cell r="C15">
            <v>14700</v>
          </cell>
        </row>
        <row r="16">
          <cell r="A16" t="str">
            <v>Thuốc lào</v>
          </cell>
          <cell r="B16" t="str">
            <v>đồng/m2</v>
          </cell>
          <cell r="C16">
            <v>38700</v>
          </cell>
        </row>
        <row r="17">
          <cell r="A17" t="str">
            <v>Cói</v>
          </cell>
          <cell r="B17" t="str">
            <v>đồng/m2</v>
          </cell>
          <cell r="C17">
            <v>6700</v>
          </cell>
        </row>
        <row r="18">
          <cell r="A18" t="str">
            <v xml:space="preserve"> Đậu tương (đậu nành) lấy hạt</v>
          </cell>
          <cell r="B18" t="str">
            <v>đồng/m2</v>
          </cell>
          <cell r="C18">
            <v>6000</v>
          </cell>
        </row>
        <row r="19">
          <cell r="A19" t="str">
            <v>Lạc (đậu phộng)</v>
          </cell>
          <cell r="B19" t="str">
            <v>đồng/m2</v>
          </cell>
          <cell r="C19">
            <v>8100</v>
          </cell>
        </row>
        <row r="20">
          <cell r="A20" t="str">
            <v>Vừng (mè)</v>
          </cell>
          <cell r="B20" t="str">
            <v>đồng/m2</v>
          </cell>
          <cell r="C20">
            <v>7000</v>
          </cell>
        </row>
        <row r="21">
          <cell r="A21" t="str">
            <v>Rau muống</v>
          </cell>
          <cell r="B21" t="str">
            <v>đồng/m2</v>
          </cell>
          <cell r="C21">
            <v>13000</v>
          </cell>
        </row>
        <row r="22">
          <cell r="A22" t="str">
            <v>Cải canh</v>
          </cell>
          <cell r="B22" t="str">
            <v>đồng/m2</v>
          </cell>
          <cell r="C22">
            <v>15600</v>
          </cell>
        </row>
        <row r="23">
          <cell r="A23" t="str">
            <v>Cải chíp</v>
          </cell>
          <cell r="B23" t="str">
            <v>đồng/m2</v>
          </cell>
          <cell r="C23">
            <v>13200</v>
          </cell>
        </row>
        <row r="24">
          <cell r="A24" t="str">
            <v>Cải ngồng</v>
          </cell>
          <cell r="B24" t="str">
            <v>đồng/m2</v>
          </cell>
          <cell r="C24">
            <v>14000</v>
          </cell>
        </row>
        <row r="25">
          <cell r="A25" t="str">
            <v>Cải bẹ</v>
          </cell>
          <cell r="B25" t="str">
            <v>đồng/m2</v>
          </cell>
          <cell r="C25">
            <v>13300</v>
          </cell>
        </row>
        <row r="26">
          <cell r="A26" t="str">
            <v>Cải làn</v>
          </cell>
          <cell r="B26" t="str">
            <v>đồng/m2</v>
          </cell>
          <cell r="C26">
            <v>13400</v>
          </cell>
        </row>
        <row r="27">
          <cell r="A27" t="str">
            <v>Cải bó xôi</v>
          </cell>
          <cell r="B27" t="str">
            <v>đồng/m2</v>
          </cell>
          <cell r="C27">
            <v>13500</v>
          </cell>
        </row>
        <row r="28">
          <cell r="A28" t="str">
            <v>Cải ngọt</v>
          </cell>
          <cell r="B28" t="str">
            <v>đồng/m2</v>
          </cell>
          <cell r="C28">
            <v>11600</v>
          </cell>
        </row>
        <row r="29">
          <cell r="A29" t="str">
            <v>Cải xoong</v>
          </cell>
          <cell r="B29" t="str">
            <v>đồng/m2</v>
          </cell>
          <cell r="C29">
            <v>11000</v>
          </cell>
        </row>
        <row r="30">
          <cell r="A30" t="str">
            <v>Cải thảo</v>
          </cell>
          <cell r="B30" t="str">
            <v>đồng/m2</v>
          </cell>
          <cell r="C30">
            <v>18000</v>
          </cell>
        </row>
        <row r="31">
          <cell r="A31" t="str">
            <v>Cải cúc</v>
          </cell>
          <cell r="B31" t="str">
            <v>đồng/m2</v>
          </cell>
          <cell r="C31">
            <v>11500</v>
          </cell>
        </row>
        <row r="32">
          <cell r="A32" t="str">
            <v>Cải kale</v>
          </cell>
          <cell r="B32" t="str">
            <v>đồng/m2</v>
          </cell>
          <cell r="C32">
            <v>42700</v>
          </cell>
        </row>
        <row r="33">
          <cell r="A33" t="str">
            <v>Cải bắp</v>
          </cell>
          <cell r="B33" t="str">
            <v>đồng/m2</v>
          </cell>
          <cell r="C33">
            <v>18000</v>
          </cell>
        </row>
        <row r="34">
          <cell r="A34" t="str">
            <v>Rau mùng tơi</v>
          </cell>
          <cell r="B34" t="str">
            <v>đồng/m2</v>
          </cell>
          <cell r="C34">
            <v>15300</v>
          </cell>
        </row>
        <row r="35">
          <cell r="A35" t="str">
            <v>Rau đay</v>
          </cell>
          <cell r="B35" t="str">
            <v>đồng/m2</v>
          </cell>
          <cell r="C35">
            <v>13200</v>
          </cell>
        </row>
        <row r="36">
          <cell r="A36" t="str">
            <v>Rau ngót</v>
          </cell>
          <cell r="B36" t="str">
            <v>đồng/m2</v>
          </cell>
          <cell r="C36">
            <v>16300</v>
          </cell>
        </row>
        <row r="37">
          <cell r="A37" t="str">
            <v>Rau má</v>
          </cell>
          <cell r="B37" t="str">
            <v>đồng/m2</v>
          </cell>
          <cell r="C37">
            <v>16800</v>
          </cell>
        </row>
        <row r="38">
          <cell r="A38" t="str">
            <v>Rau diếp/xà lách</v>
          </cell>
          <cell r="B38" t="str">
            <v>đồng/m2</v>
          </cell>
          <cell r="C38">
            <v>15100</v>
          </cell>
        </row>
        <row r="39">
          <cell r="A39" t="str">
            <v>Rau dền</v>
          </cell>
          <cell r="B39" t="str">
            <v>đồng/m2</v>
          </cell>
          <cell r="C39">
            <v>12200</v>
          </cell>
        </row>
        <row r="40">
          <cell r="A40" t="str">
            <v>Súp lơ</v>
          </cell>
          <cell r="B40" t="str">
            <v>đồng/m2</v>
          </cell>
          <cell r="C40">
            <v>18500</v>
          </cell>
        </row>
        <row r="41">
          <cell r="A41" t="str">
            <v>Su su (lấy ngọn)</v>
          </cell>
          <cell r="B41" t="str">
            <v>đồng/m2</v>
          </cell>
          <cell r="C41">
            <v>23500</v>
          </cell>
        </row>
        <row r="42">
          <cell r="A42" t="str">
            <v>Ngô rau</v>
          </cell>
          <cell r="B42" t="str">
            <v>đồng/m2</v>
          </cell>
          <cell r="C42">
            <v>5900</v>
          </cell>
        </row>
        <row r="43">
          <cell r="A43" t="str">
            <v>Dưa hấu</v>
          </cell>
          <cell r="B43" t="str">
            <v>đồng/m2</v>
          </cell>
          <cell r="C43">
            <v>22200</v>
          </cell>
        </row>
        <row r="44">
          <cell r="A44" t="str">
            <v>Dưa lê</v>
          </cell>
          <cell r="B44" t="str">
            <v>đồng/m2</v>
          </cell>
          <cell r="C44">
            <v>24000</v>
          </cell>
        </row>
        <row r="45">
          <cell r="A45" t="str">
            <v>Dưa vàng</v>
          </cell>
          <cell r="B45" t="str">
            <v>đồng/m2</v>
          </cell>
          <cell r="C45">
            <v>29700</v>
          </cell>
        </row>
        <row r="46">
          <cell r="A46" t="str">
            <v>Dưa lưới</v>
          </cell>
          <cell r="B46" t="str">
            <v>đồng/m2</v>
          </cell>
          <cell r="C46">
            <v>39000</v>
          </cell>
        </row>
        <row r="47">
          <cell r="A47" t="str">
            <v>Dưa bở</v>
          </cell>
          <cell r="B47" t="str">
            <v>đồng/m2</v>
          </cell>
          <cell r="C47">
            <v>32900</v>
          </cell>
        </row>
        <row r="48">
          <cell r="A48" t="str">
            <v>Dưa gang</v>
          </cell>
          <cell r="B48" t="str">
            <v>đồng/m2</v>
          </cell>
          <cell r="C48">
            <v>27100</v>
          </cell>
        </row>
        <row r="49">
          <cell r="A49" t="str">
            <v>Dưa chuột/ dưa leo</v>
          </cell>
          <cell r="B49" t="str">
            <v>đồng/m2</v>
          </cell>
          <cell r="C49">
            <v>23200</v>
          </cell>
        </row>
        <row r="50">
          <cell r="A50" t="str">
            <v>Đậu tương rau</v>
          </cell>
          <cell r="B50" t="str">
            <v>đồng/m2</v>
          </cell>
          <cell r="C50">
            <v>9800</v>
          </cell>
        </row>
        <row r="51">
          <cell r="A51" t="str">
            <v>Đậu/ đỗ đũa</v>
          </cell>
          <cell r="B51" t="str">
            <v>đồng/m2</v>
          </cell>
          <cell r="C51">
            <v>11800</v>
          </cell>
        </row>
        <row r="52">
          <cell r="A52" t="str">
            <v>Đậu/ đỗ cove</v>
          </cell>
          <cell r="B52" t="str">
            <v>đồng/m2</v>
          </cell>
          <cell r="C52">
            <v>17100</v>
          </cell>
        </row>
        <row r="53">
          <cell r="A53" t="str">
            <v>Đậu/ đỗ Hà Lan</v>
          </cell>
          <cell r="B53" t="str">
            <v>đồng/m2</v>
          </cell>
          <cell r="C53">
            <v>22500</v>
          </cell>
        </row>
        <row r="54">
          <cell r="A54" t="str">
            <v>Đậu/ đỗ rồng</v>
          </cell>
          <cell r="B54" t="str">
            <v>đồng/m2</v>
          </cell>
          <cell r="C54">
            <v>15200</v>
          </cell>
        </row>
        <row r="55">
          <cell r="A55" t="str">
            <v xml:space="preserve"> Đậu/ đỗ ván</v>
          </cell>
          <cell r="B55" t="str">
            <v>đồng/m2</v>
          </cell>
          <cell r="C55">
            <v>15200</v>
          </cell>
        </row>
        <row r="56">
          <cell r="A56" t="str">
            <v>Đậu bắp</v>
          </cell>
          <cell r="B56" t="str">
            <v>đồng/m2</v>
          </cell>
          <cell r="C56">
            <v>12300</v>
          </cell>
        </row>
        <row r="57">
          <cell r="A57" t="str">
            <v>Cà chua</v>
          </cell>
          <cell r="B57" t="str">
            <v>đồng/m2</v>
          </cell>
          <cell r="C57">
            <v>19400</v>
          </cell>
        </row>
        <row r="58">
          <cell r="A58" t="str">
            <v>Cà tím</v>
          </cell>
          <cell r="B58" t="str">
            <v>đồng/m2</v>
          </cell>
          <cell r="C58">
            <v>25500</v>
          </cell>
        </row>
        <row r="59">
          <cell r="A59" t="str">
            <v>Cà bát</v>
          </cell>
          <cell r="B59" t="str">
            <v>đồng/m2</v>
          </cell>
          <cell r="C59">
            <v>24900</v>
          </cell>
        </row>
        <row r="60">
          <cell r="A60" t="str">
            <v>Cà pháo</v>
          </cell>
          <cell r="B60" t="str">
            <v>đồng/m2</v>
          </cell>
          <cell r="C60">
            <v>26000</v>
          </cell>
        </row>
        <row r="61">
          <cell r="A61" t="str">
            <v>Bí ngô</v>
          </cell>
          <cell r="B61" t="str">
            <v>đồng/m2</v>
          </cell>
          <cell r="C61">
            <v>12500</v>
          </cell>
        </row>
        <row r="62">
          <cell r="A62" t="str">
            <v>Bí xanh</v>
          </cell>
          <cell r="B62" t="str">
            <v>đồng/m2</v>
          </cell>
          <cell r="C62">
            <v>12400</v>
          </cell>
        </row>
        <row r="63">
          <cell r="A63" t="str">
            <v>Bí ngòi</v>
          </cell>
          <cell r="B63" t="str">
            <v>đồng/m2</v>
          </cell>
          <cell r="C63">
            <v>18600</v>
          </cell>
        </row>
        <row r="64">
          <cell r="A64" t="str">
            <v>Bầu</v>
          </cell>
          <cell r="B64" t="str">
            <v>đồng/m2</v>
          </cell>
          <cell r="C64">
            <v>11100</v>
          </cell>
        </row>
        <row r="65">
          <cell r="A65" t="str">
            <v>Mướp</v>
          </cell>
          <cell r="B65" t="str">
            <v>đồng/m2</v>
          </cell>
          <cell r="C65">
            <v>10800</v>
          </cell>
        </row>
        <row r="66">
          <cell r="A66" t="str">
            <v>Mướp đắng</v>
          </cell>
          <cell r="B66" t="str">
            <v>đồng/m2</v>
          </cell>
          <cell r="C66">
            <v>8300</v>
          </cell>
        </row>
        <row r="67">
          <cell r="A67" t="str">
            <v>Su su (lấy quả)</v>
          </cell>
          <cell r="B67" t="str">
            <v>đồng/m2</v>
          </cell>
          <cell r="C67">
            <v>20500</v>
          </cell>
        </row>
        <row r="68">
          <cell r="A68" t="str">
            <v>Ớt ngọt</v>
          </cell>
          <cell r="B68" t="str">
            <v>đồng/m2</v>
          </cell>
          <cell r="C68">
            <v>42600</v>
          </cell>
        </row>
        <row r="69">
          <cell r="A69" t="str">
            <v>Su hào</v>
          </cell>
          <cell r="B69" t="str">
            <v>đồng/m2</v>
          </cell>
          <cell r="C69">
            <v>16100</v>
          </cell>
        </row>
        <row r="70">
          <cell r="A70" t="str">
            <v>Cà rốt</v>
          </cell>
          <cell r="B70" t="str">
            <v>đồng/m2</v>
          </cell>
          <cell r="C70">
            <v>17900</v>
          </cell>
        </row>
        <row r="71">
          <cell r="A71" t="str">
            <v xml:space="preserve"> Củ cải trắng</v>
          </cell>
          <cell r="B71" t="str">
            <v>đồng/m2</v>
          </cell>
          <cell r="C71">
            <v>17000</v>
          </cell>
        </row>
        <row r="72">
          <cell r="A72" t="str">
            <v>Củ dền</v>
          </cell>
          <cell r="B72" t="str">
            <v>đồng/m2</v>
          </cell>
          <cell r="C72">
            <v>16500</v>
          </cell>
        </row>
        <row r="73">
          <cell r="A73" t="str">
            <v>Củ đậu</v>
          </cell>
          <cell r="B73" t="str">
            <v>đồng/m2</v>
          </cell>
          <cell r="C73">
            <v>15000</v>
          </cell>
        </row>
        <row r="74">
          <cell r="A74" t="str">
            <v>Tỏi lấy củ</v>
          </cell>
          <cell r="B74" t="str">
            <v>đồng/m2</v>
          </cell>
          <cell r="C74">
            <v>37100</v>
          </cell>
        </row>
        <row r="75">
          <cell r="A75" t="str">
            <v>Tỏi tây</v>
          </cell>
          <cell r="B75" t="str">
            <v>đồng/m2</v>
          </cell>
          <cell r="C75">
            <v>27700</v>
          </cell>
        </row>
        <row r="76">
          <cell r="A76" t="str">
            <v>Hành tây</v>
          </cell>
          <cell r="B76" t="str">
            <v>đồng/m2</v>
          </cell>
          <cell r="C76">
            <v>29400</v>
          </cell>
        </row>
        <row r="77">
          <cell r="A77" t="str">
            <v>Hành hoa</v>
          </cell>
          <cell r="B77" t="str">
            <v>đồng/m2</v>
          </cell>
          <cell r="C77">
            <v>22000</v>
          </cell>
        </row>
        <row r="78">
          <cell r="A78" t="str">
            <v>Hành củ</v>
          </cell>
          <cell r="B78" t="str">
            <v>đồng/m2</v>
          </cell>
          <cell r="C78">
            <v>24300</v>
          </cell>
        </row>
        <row r="79">
          <cell r="A79" t="str">
            <v>Hành paro</v>
          </cell>
          <cell r="B79" t="str">
            <v>đồng/m2</v>
          </cell>
          <cell r="C79">
            <v>25300</v>
          </cell>
        </row>
        <row r="80">
          <cell r="A80" t="str">
            <v>Sen lấy củ</v>
          </cell>
          <cell r="B80" t="str">
            <v>đồng/m2</v>
          </cell>
          <cell r="C80">
            <v>18700</v>
          </cell>
        </row>
        <row r="81">
          <cell r="A81" t="str">
            <v>Sen lấy ngó</v>
          </cell>
          <cell r="B81" t="str">
            <v>đồng/m2</v>
          </cell>
          <cell r="C81">
            <v>9400</v>
          </cell>
        </row>
        <row r="82">
          <cell r="A82" t="str">
            <v>Rau cần ta</v>
          </cell>
          <cell r="B82" t="str">
            <v>đồng/m2</v>
          </cell>
          <cell r="C82">
            <v>16000</v>
          </cell>
        </row>
        <row r="83">
          <cell r="A83" t="str">
            <v>Rau cần tây</v>
          </cell>
          <cell r="B83" t="str">
            <v>đồng/m2</v>
          </cell>
          <cell r="C83">
            <v>22900</v>
          </cell>
        </row>
        <row r="84">
          <cell r="A84" t="str">
            <v>Dọc mùng</v>
          </cell>
          <cell r="B84" t="str">
            <v>đồng/m2</v>
          </cell>
          <cell r="C84">
            <v>11500</v>
          </cell>
        </row>
        <row r="85">
          <cell r="A85" t="str">
            <v>Rau rút</v>
          </cell>
          <cell r="B85" t="str">
            <v>đồng/m2</v>
          </cell>
          <cell r="C85">
            <v>10700</v>
          </cell>
        </row>
        <row r="86">
          <cell r="A86" t="str">
            <v>Rau dớn</v>
          </cell>
          <cell r="B86" t="str">
            <v>đồng/m2</v>
          </cell>
          <cell r="C86">
            <v>10200</v>
          </cell>
        </row>
        <row r="87">
          <cell r="A87" t="str">
            <v>Khoai nước (lấy mầm)</v>
          </cell>
          <cell r="B87" t="str">
            <v>đồng/m2</v>
          </cell>
          <cell r="C87">
            <v>14200</v>
          </cell>
        </row>
        <row r="88">
          <cell r="A88" t="str">
            <v>Đậu/đỗ đen</v>
          </cell>
          <cell r="B88" t="str">
            <v>đồng/m2</v>
          </cell>
          <cell r="C88">
            <v>7100</v>
          </cell>
        </row>
        <row r="89">
          <cell r="A89" t="str">
            <v>Đậu/đỗ xanh</v>
          </cell>
          <cell r="B89" t="str">
            <v>đồng/m2</v>
          </cell>
          <cell r="C89">
            <v>7100</v>
          </cell>
        </row>
        <row r="90">
          <cell r="A90" t="str">
            <v xml:space="preserve"> Đậu/đỗ đỏ</v>
          </cell>
          <cell r="B90" t="str">
            <v>đồng/m2</v>
          </cell>
          <cell r="C90">
            <v>7100</v>
          </cell>
        </row>
        <row r="91">
          <cell r="A91" t="str">
            <v>Nhóm cây hoa</v>
          </cell>
        </row>
        <row r="92">
          <cell r="A92" t="str">
            <v>Hoa cúc</v>
          </cell>
          <cell r="B92" t="str">
            <v>đồng/m2</v>
          </cell>
          <cell r="C92">
            <v>57200</v>
          </cell>
        </row>
        <row r="93">
          <cell r="A93" t="str">
            <v>Hoa lay ơn</v>
          </cell>
          <cell r="B93" t="str">
            <v>đồng/m2</v>
          </cell>
          <cell r="C93">
            <v>89300</v>
          </cell>
        </row>
        <row r="94">
          <cell r="A94" t="str">
            <v>Hoa cẩm chướng</v>
          </cell>
          <cell r="B94" t="str">
            <v>đồng/m2</v>
          </cell>
          <cell r="C94">
            <v>139300</v>
          </cell>
        </row>
        <row r="95">
          <cell r="A95" t="str">
            <v>Hoa lily</v>
          </cell>
          <cell r="B95" t="str">
            <v>đồng/m2</v>
          </cell>
          <cell r="C95">
            <v>362000</v>
          </cell>
        </row>
        <row r="96">
          <cell r="A96" t="str">
            <v>Hoa loa kèn</v>
          </cell>
          <cell r="B96" t="str">
            <v>đồng/m2</v>
          </cell>
          <cell r="C96">
            <v>98500</v>
          </cell>
        </row>
        <row r="97">
          <cell r="A97" t="str">
            <v>Hoa đồng tiền</v>
          </cell>
          <cell r="B97" t="str">
            <v>đồng/m2</v>
          </cell>
          <cell r="C97">
            <v>75000</v>
          </cell>
        </row>
        <row r="98">
          <cell r="A98" t="str">
            <v>Hoa thạch thảo</v>
          </cell>
          <cell r="B98" t="str">
            <v>đồng/m2</v>
          </cell>
          <cell r="C98">
            <v>94100</v>
          </cell>
        </row>
        <row r="99">
          <cell r="A99" t="str">
            <v>Hoa cát tường</v>
          </cell>
          <cell r="B99" t="str">
            <v>đồng/m2</v>
          </cell>
          <cell r="C99">
            <v>167600</v>
          </cell>
        </row>
        <row r="100">
          <cell r="A100" t="str">
            <v>Hoa hướng dương</v>
          </cell>
          <cell r="B100" t="str">
            <v>đồng/m2</v>
          </cell>
          <cell r="C100">
            <v>17800</v>
          </cell>
        </row>
        <row r="101">
          <cell r="A101" t="str">
            <v>Hoa huệ</v>
          </cell>
          <cell r="B101" t="str">
            <v>đồng/m2</v>
          </cell>
          <cell r="C101">
            <v>73300</v>
          </cell>
        </row>
        <row r="102">
          <cell r="A102" t="str">
            <v>Hoa cánh bướm</v>
          </cell>
          <cell r="B102" t="str">
            <v>đồng/m2</v>
          </cell>
          <cell r="C102">
            <v>9800</v>
          </cell>
        </row>
        <row r="103">
          <cell r="A103" t="str">
            <v>Hoa phi yến</v>
          </cell>
          <cell r="B103" t="str">
            <v>đồng/m2</v>
          </cell>
          <cell r="C103">
            <v>90000</v>
          </cell>
        </row>
        <row r="104">
          <cell r="A104" t="str">
            <v>Hoa sen lấy hoa</v>
          </cell>
          <cell r="B104" t="str">
            <v>đồng/m2</v>
          </cell>
          <cell r="C104">
            <v>9300</v>
          </cell>
        </row>
        <row r="105">
          <cell r="A105" t="str">
            <v>Hoa súng</v>
          </cell>
          <cell r="B105" t="str">
            <v>đồng/m2</v>
          </cell>
          <cell r="C105">
            <v>6800</v>
          </cell>
        </row>
        <row r="106">
          <cell r="A106" t="str">
            <v>Violet, cosmot</v>
          </cell>
          <cell r="B106" t="str">
            <v>đồng/m2</v>
          </cell>
        </row>
        <row r="107">
          <cell r="A107" t="str">
            <v>Violet, cosmot cây chưa có hoa</v>
          </cell>
          <cell r="B107" t="str">
            <v>đồng/m2</v>
          </cell>
          <cell r="C107">
            <v>35000</v>
          </cell>
        </row>
        <row r="108">
          <cell r="A108" t="str">
            <v>Violet, cosmot cây có hoa</v>
          </cell>
          <cell r="B108" t="str">
            <v>đồng/m2</v>
          </cell>
          <cell r="C108">
            <v>95000</v>
          </cell>
        </row>
        <row r="109">
          <cell r="A109" t="str">
            <v>Cây hoa mười giờ, cây hoa sam, tóc tiên</v>
          </cell>
          <cell r="B109" t="str">
            <v>đồng/m2</v>
          </cell>
          <cell r="C109">
            <v>25000</v>
          </cell>
        </row>
        <row r="110">
          <cell r="A110" t="str">
            <v>Cây dạ yến thảo, cây ngọc thảo</v>
          </cell>
          <cell r="B110" t="str">
            <v>đồng/m2</v>
          </cell>
          <cell r="C110">
            <v>55000</v>
          </cell>
        </row>
        <row r="111">
          <cell r="A111" t="str">
            <v>Cây salem</v>
          </cell>
          <cell r="B111" t="str">
            <v>đồng/m2</v>
          </cell>
        </row>
        <row r="112">
          <cell r="A112" t="str">
            <v>Cây salem chưa có hoa</v>
          </cell>
          <cell r="B112" t="str">
            <v>đồng/m2</v>
          </cell>
          <cell r="C112">
            <v>20000</v>
          </cell>
        </row>
        <row r="113">
          <cell r="A113" t="str">
            <v>Cây salem có hoa</v>
          </cell>
          <cell r="B113" t="str">
            <v>đồng/m2</v>
          </cell>
          <cell r="C113">
            <v>40000</v>
          </cell>
        </row>
        <row r="114">
          <cell r="A114" t="str">
            <v>Nhóm cây gia vị</v>
          </cell>
        </row>
        <row r="115">
          <cell r="A115" t="str">
            <v>Ớt cay</v>
          </cell>
          <cell r="B115" t="str">
            <v>đồng/m2</v>
          </cell>
          <cell r="C115">
            <v>23300</v>
          </cell>
        </row>
        <row r="116">
          <cell r="A116" t="str">
            <v>Gừng</v>
          </cell>
          <cell r="B116" t="str">
            <v>đồng/m2</v>
          </cell>
          <cell r="C116">
            <v>19000</v>
          </cell>
        </row>
        <row r="117">
          <cell r="A117" t="str">
            <v>Nghệ</v>
          </cell>
          <cell r="B117" t="str">
            <v>đồng/m2</v>
          </cell>
          <cell r="C117">
            <v>18700</v>
          </cell>
        </row>
        <row r="118">
          <cell r="A118" t="str">
            <v>Riềng</v>
          </cell>
          <cell r="B118" t="str">
            <v>đồng/m2</v>
          </cell>
          <cell r="C118">
            <v>24600</v>
          </cell>
        </row>
        <row r="119">
          <cell r="A119" t="str">
            <v>Sả</v>
          </cell>
          <cell r="B119" t="str">
            <v>đồng/m2</v>
          </cell>
          <cell r="C119">
            <v>11000</v>
          </cell>
        </row>
        <row r="120">
          <cell r="A120" t="str">
            <v>Tía tô</v>
          </cell>
          <cell r="B120" t="str">
            <v>đồng/m2</v>
          </cell>
          <cell r="C120">
            <v>16200</v>
          </cell>
        </row>
        <row r="121">
          <cell r="A121" t="str">
            <v>Kinh giới, húng tép</v>
          </cell>
          <cell r="B121" t="str">
            <v>đồng/m2</v>
          </cell>
          <cell r="C121">
            <v>12100</v>
          </cell>
        </row>
        <row r="122">
          <cell r="A122" t="str">
            <v>Húng bąc hà, húng Hà Nội</v>
          </cell>
          <cell r="B122" t="str">
            <v>đồng/m2</v>
          </cell>
          <cell r="C122">
            <v>11200</v>
          </cell>
        </row>
        <row r="123">
          <cell r="A123" t="str">
            <v>Húng quế (húng chó)</v>
          </cell>
          <cell r="B123" t="str">
            <v>đồng/m2</v>
          </cell>
          <cell r="C123">
            <v>21700</v>
          </cell>
        </row>
        <row r="124">
          <cell r="A124" t="str">
            <v>Rau mùi</v>
          </cell>
          <cell r="B124" t="str">
            <v>đồng/m2</v>
          </cell>
          <cell r="C124">
            <v>12800</v>
          </cell>
        </row>
        <row r="125">
          <cell r="A125" t="str">
            <v>Mùi tàu (răng cua, ngò gai)</v>
          </cell>
          <cell r="B125" t="str">
            <v>đồng/m2</v>
          </cell>
          <cell r="C125">
            <v>18200</v>
          </cell>
        </row>
        <row r="126">
          <cell r="A126" t="str">
            <v>Ngải cứu</v>
          </cell>
          <cell r="B126" t="str">
            <v>đồng/m2</v>
          </cell>
          <cell r="C126">
            <v>11000</v>
          </cell>
        </row>
        <row r="127">
          <cell r="A127" t="str">
            <v>Thì là</v>
          </cell>
          <cell r="B127" t="str">
            <v>đồng/m2</v>
          </cell>
          <cell r="C127">
            <v>16500</v>
          </cell>
        </row>
        <row r="128">
          <cell r="A128" t="str">
            <v>Rau rám</v>
          </cell>
          <cell r="B128" t="str">
            <v>đồng/m2</v>
          </cell>
          <cell r="C128">
            <v>12300</v>
          </cell>
        </row>
        <row r="129">
          <cell r="A129" t="str">
            <v>Lá nốt</v>
          </cell>
          <cell r="B129" t="str">
            <v>đồng/m2</v>
          </cell>
          <cell r="C129">
            <v>16800</v>
          </cell>
        </row>
        <row r="130">
          <cell r="A130" t="str">
            <v>Nhóm cây dược liệu</v>
          </cell>
        </row>
        <row r="131">
          <cell r="A131" t="str">
            <v>Hương nhu</v>
          </cell>
          <cell r="B131" t="str">
            <v>đồng/m2</v>
          </cell>
          <cell r="C131">
            <v>23900</v>
          </cell>
        </row>
        <row r="132">
          <cell r="A132" t="str">
            <v>Cúc dược liệu (Cúc chi)</v>
          </cell>
          <cell r="B132" t="str">
            <v>đồng/m2</v>
          </cell>
          <cell r="C132">
            <v>21500</v>
          </cell>
        </row>
        <row r="133">
          <cell r="A133" t="str">
            <v>Húng chanh</v>
          </cell>
          <cell r="B133" t="str">
            <v>đồng/m2</v>
          </cell>
          <cell r="C133">
            <v>18500</v>
          </cell>
        </row>
        <row r="134">
          <cell r="A134" t="str">
            <v>Lá nếp</v>
          </cell>
          <cell r="B134" t="str">
            <v>đồng/m2</v>
          </cell>
          <cell r="C134">
            <v>17100</v>
          </cell>
        </row>
        <row r="135">
          <cell r="A135" t="str">
            <v>Xương sông</v>
          </cell>
          <cell r="B135" t="str">
            <v>đồng/m2</v>
          </cell>
          <cell r="C135">
            <v>17400</v>
          </cell>
        </row>
        <row r="136">
          <cell r="A136" t="str">
            <v>Hoàn ngọc (cây lá khỉ)</v>
          </cell>
          <cell r="B136" t="str">
            <v>đồng/m2</v>
          </cell>
          <cell r="C136">
            <v>16000</v>
          </cell>
        </row>
        <row r="137">
          <cell r="A137" t="str">
            <v>Atiso đỏ</v>
          </cell>
          <cell r="B137" t="str">
            <v>đồng/m2</v>
          </cell>
          <cell r="C137">
            <v>22000</v>
          </cell>
        </row>
        <row r="138">
          <cell r="A138" t="str">
            <v>Nhóm cây hàng năm khác</v>
          </cell>
        </row>
        <row r="139">
          <cell r="A139" t="str">
            <v xml:space="preserve"> Ấu</v>
          </cell>
          <cell r="B139" t="str">
            <v>đồng/m2</v>
          </cell>
          <cell r="C139">
            <v>20000</v>
          </cell>
        </row>
        <row r="140">
          <cell r="A140" t="str">
            <v>Thạch đen</v>
          </cell>
          <cell r="B140" t="str">
            <v>đồng/m2</v>
          </cell>
          <cell r="C140">
            <v>14700</v>
          </cell>
        </row>
        <row r="141">
          <cell r="A141" t="str">
            <v>Hương bài</v>
          </cell>
          <cell r="B141" t="str">
            <v>đồng/m2</v>
          </cell>
          <cell r="C141">
            <v>17500</v>
          </cell>
        </row>
        <row r="142">
          <cell r="A142" t="str">
            <v>Cỏ voi</v>
          </cell>
          <cell r="B142" t="str">
            <v>đồng/m2</v>
          </cell>
          <cell r="C142">
            <v>4700</v>
          </cell>
        </row>
        <row r="143">
          <cell r="A143" t="str">
            <v>Cỏ nhung</v>
          </cell>
          <cell r="B143" t="str">
            <v>đồng/m2</v>
          </cell>
          <cell r="C143">
            <v>40000</v>
          </cell>
        </row>
        <row r="144">
          <cell r="A144" t="str">
            <v>Ngô sinh khối</v>
          </cell>
          <cell r="B144" t="str">
            <v>đồng/m2</v>
          </cell>
          <cell r="C144">
            <v>8000</v>
          </cell>
        </row>
        <row r="145">
          <cell r="A145" t="str">
            <v>Nấm rơm</v>
          </cell>
          <cell r="B145" t="str">
            <v>đồng/m2</v>
          </cell>
          <cell r="C145">
            <v>92100</v>
          </cell>
        </row>
        <row r="146">
          <cell r="A146" t="str">
            <v>Nấm mỡ</v>
          </cell>
          <cell r="B146" t="str">
            <v>đồng/m2</v>
          </cell>
          <cell r="C146">
            <v>106700</v>
          </cell>
        </row>
        <row r="147">
          <cell r="A147" t="str">
            <v>Đay</v>
          </cell>
          <cell r="B147" t="str">
            <v>đồng/m2</v>
          </cell>
          <cell r="C147">
            <v>9000</v>
          </cell>
        </row>
        <row r="148">
          <cell r="A148" t="str">
            <v>Gai</v>
          </cell>
          <cell r="B148" t="str">
            <v>đồng/m2</v>
          </cell>
          <cell r="C148">
            <v>7000</v>
          </cell>
        </row>
        <row r="149">
          <cell r="A149" t="str">
            <v>Dứa sợi</v>
          </cell>
          <cell r="B149" t="str">
            <v>đồng/m2</v>
          </cell>
          <cell r="C149">
            <v>7000</v>
          </cell>
        </row>
        <row r="150">
          <cell r="A150" t="str">
            <v>NHÓM CÂY TÍNH THEO CHIỀU CAO THÂN</v>
          </cell>
        </row>
        <row r="151">
          <cell r="A151" t="str">
            <v>Cây na xiêm</v>
          </cell>
        </row>
        <row r="152">
          <cell r="A152" t="str">
            <v>Cây na xiêm chiều cao cây H ≤ 1,5 m</v>
          </cell>
          <cell r="B152" t="str">
            <v>Đồng/cây</v>
          </cell>
          <cell r="C152">
            <v>9000</v>
          </cell>
        </row>
        <row r="153">
          <cell r="A153" t="str">
            <v>Cây na xiêm chiều cao cây 1,5 m &lt; H ≤ 3 m</v>
          </cell>
          <cell r="B153" t="str">
            <v>Đồng/cây</v>
          </cell>
          <cell r="C153">
            <v>22000</v>
          </cell>
        </row>
        <row r="154">
          <cell r="A154" t="str">
            <v>Cây na xiêm chiều cao cây H &gt; 3 m</v>
          </cell>
          <cell r="B154" t="str">
            <v>Đồng/cây</v>
          </cell>
          <cell r="C154">
            <v>56000</v>
          </cell>
        </row>
        <row r="155">
          <cell r="A155" t="str">
            <v>Cây sắn thuyền</v>
          </cell>
        </row>
        <row r="156">
          <cell r="A156" t="str">
            <v>Cây sắn thuyền chiều cao cây H ≤ 1,5 m</v>
          </cell>
          <cell r="B156" t="str">
            <v>Đồng/cây</v>
          </cell>
          <cell r="C156">
            <v>25000</v>
          </cell>
        </row>
        <row r="157">
          <cell r="A157" t="str">
            <v>Cây sắn thuyền chiều cao cây 1,5 m &lt; H ≤ 3 m</v>
          </cell>
          <cell r="B157" t="str">
            <v>Đồng/cây</v>
          </cell>
          <cell r="C157">
            <v>149000</v>
          </cell>
        </row>
        <row r="158">
          <cell r="A158" t="str">
            <v>Cây sắn thuyền chiều cao cây H &gt; 3 m</v>
          </cell>
          <cell r="B158" t="str">
            <v>Đồng/cây</v>
          </cell>
          <cell r="C158">
            <v>373000</v>
          </cell>
        </row>
        <row r="159">
          <cell r="A159" t="str">
            <v>Cau ta ăn quả</v>
          </cell>
        </row>
        <row r="160">
          <cell r="A160" t="str">
            <v>Cau ta ăn quả giống đủ tiêu chuẩn mới trồng, chiều cao cây H ≥ 40cm</v>
          </cell>
          <cell r="B160" t="str">
            <v>Đồng/cây</v>
          </cell>
          <cell r="C160">
            <v>25000</v>
          </cell>
        </row>
        <row r="161">
          <cell r="A161" t="str">
            <v>Cau ta ăn quả chiều cao cây H &lt; 1,5 m</v>
          </cell>
          <cell r="B161" t="str">
            <v>Đồng/cây</v>
          </cell>
          <cell r="C161">
            <v>75000</v>
          </cell>
        </row>
        <row r="162">
          <cell r="A162" t="str">
            <v>Cau ta ăn quả chiều cao cây 1,5 m ≤  H &lt; 3 m</v>
          </cell>
          <cell r="B162" t="str">
            <v>Đồng/cây</v>
          </cell>
          <cell r="C162">
            <v>249000</v>
          </cell>
        </row>
        <row r="163">
          <cell r="A163" t="str">
            <v>Cau ta ăn quả chiều cao cây 3 m ≤  H &lt; 4 m</v>
          </cell>
          <cell r="B163" t="str">
            <v>Đồng/cây</v>
          </cell>
          <cell r="C163">
            <v>560000</v>
          </cell>
        </row>
        <row r="164">
          <cell r="A164" t="str">
            <v>Cau ta ăn quả chiều cao cây H ≥ 4 m</v>
          </cell>
          <cell r="B164" t="str">
            <v>Đồng/cây</v>
          </cell>
          <cell r="C164">
            <v>1120000</v>
          </cell>
        </row>
        <row r="165">
          <cell r="A165" t="str">
            <v>Cây cau lợn cọ (độ cao bóc bẹ)</v>
          </cell>
        </row>
        <row r="166">
          <cell r="A166" t="str">
            <v>Cây cau lợn cọ (độ cao bóc bẹ) Cây giống mới trồng</v>
          </cell>
          <cell r="B166" t="str">
            <v>Đồng/cây</v>
          </cell>
          <cell r="C166">
            <v>150000</v>
          </cell>
        </row>
        <row r="167">
          <cell r="A167" t="str">
            <v>Cây cau lợn cọ (độ cao bóc bẹ)  H &lt; 15 cm</v>
          </cell>
          <cell r="B167" t="str">
            <v>Đồng/cây</v>
          </cell>
          <cell r="C167">
            <v>300000</v>
          </cell>
        </row>
        <row r="168">
          <cell r="A168" t="str">
            <v>Cây cau lợn cọ (độ cao bóc bẹ) 15 cm &lt; H ≤ 30 cm</v>
          </cell>
          <cell r="B168" t="str">
            <v>Đồng/cây</v>
          </cell>
          <cell r="C168">
            <v>580000</v>
          </cell>
        </row>
        <row r="169">
          <cell r="A169" t="str">
            <v>Cây cau lợn cọ (độ cao bóc bẹ) 30 cm &lt; H ≤ 45 cm</v>
          </cell>
          <cell r="B169" t="str">
            <v>Đồng/cây</v>
          </cell>
          <cell r="C169">
            <v>760000</v>
          </cell>
        </row>
        <row r="170">
          <cell r="A170" t="str">
            <v>Cây cau lợn cọ (độ cao bóc bẹ)  45 cm &lt; H ≤ 60 cm</v>
          </cell>
          <cell r="B170" t="str">
            <v>Đồng/cây</v>
          </cell>
          <cell r="C170">
            <v>810000</v>
          </cell>
        </row>
        <row r="171">
          <cell r="A171" t="str">
            <v>Cây cau lợn cọ (độ cao bóc bẹ)  60 cm &lt; H ≤ 75 cm</v>
          </cell>
          <cell r="B171" t="str">
            <v>Đồng/cây</v>
          </cell>
          <cell r="C171">
            <v>850000</v>
          </cell>
        </row>
        <row r="172">
          <cell r="A172" t="str">
            <v>Cây cau lợn cọ (độ cao bóc bẹ) 75 cm &lt; H ≤ 90 cm</v>
          </cell>
          <cell r="B172" t="str">
            <v>Đồng/cây</v>
          </cell>
          <cell r="C172">
            <v>900000</v>
          </cell>
        </row>
        <row r="173">
          <cell r="A173" t="str">
            <v>Cây cau lợn cọ (độ cao bóc bẹ) H &gt; 90 cm</v>
          </cell>
          <cell r="B173" t="str">
            <v>Đồng/cây</v>
          </cell>
          <cell r="C173">
            <v>950000</v>
          </cell>
        </row>
        <row r="174">
          <cell r="A174" t="str">
            <v>Cây cau trắng (độ cao bóc bẹ)</v>
          </cell>
          <cell r="C174">
            <v>0</v>
          </cell>
        </row>
        <row r="175">
          <cell r="A175" t="str">
            <v>Cây cau trắng (độ cao bóc bẹ) Cây giống mới trồng</v>
          </cell>
          <cell r="B175" t="str">
            <v>Đồng/cây</v>
          </cell>
          <cell r="C175">
            <v>15000</v>
          </cell>
        </row>
        <row r="176">
          <cell r="A176" t="str">
            <v>Cây cau trắng (độ cao bóc bẹ) chiều cao cây H ≤ 15 cm</v>
          </cell>
          <cell r="B176" t="str">
            <v>Đồng/cây</v>
          </cell>
          <cell r="C176">
            <v>50000</v>
          </cell>
        </row>
        <row r="177">
          <cell r="A177" t="str">
            <v>Cây cau trắng (độ cao bóc bẹ) chiều cao cây 15 cm &lt; H ≤ 30 cm</v>
          </cell>
          <cell r="B177" t="str">
            <v>Đồng/cây</v>
          </cell>
          <cell r="C177">
            <v>100000</v>
          </cell>
        </row>
        <row r="178">
          <cell r="A178" t="str">
            <v>Cây cau trắng (độ cao bóc bẹ) chiều cao cây 30 cm &lt; H ≤ 45 cm</v>
          </cell>
          <cell r="B178" t="str">
            <v>Đồng/cây</v>
          </cell>
          <cell r="C178">
            <v>150000</v>
          </cell>
        </row>
        <row r="179">
          <cell r="A179" t="str">
            <v>Cây cau trắng (độ cao bóc bẹ) chiều cao cây 45 cm &lt; H ≤ 60 cm</v>
          </cell>
          <cell r="B179" t="str">
            <v>Đồng/cây</v>
          </cell>
          <cell r="C179">
            <v>200000</v>
          </cell>
        </row>
        <row r="180">
          <cell r="A180" t="str">
            <v>Cây cau trắng (độ cao bóc bẹ) chiều cao cây 60 cm &lt; H ≤ 75 cm</v>
          </cell>
          <cell r="B180" t="str">
            <v>Đồng/cây</v>
          </cell>
          <cell r="C180">
            <v>250000</v>
          </cell>
        </row>
        <row r="181">
          <cell r="A181" t="str">
            <v>Cây cau trắng (độ cao bóc bẹ) chiều cao cây 75 cm &lt; H ≤ 90 cm</v>
          </cell>
          <cell r="B181" t="str">
            <v>Đồng/cây</v>
          </cell>
          <cell r="C181">
            <v>300000</v>
          </cell>
        </row>
        <row r="182">
          <cell r="A182" t="str">
            <v>Cây cau trắng (độ cao bóc bẹ) chiều cao cây 90 cm &lt; H ≤ 150 cm</v>
          </cell>
          <cell r="B182" t="str">
            <v>Đồng/cây</v>
          </cell>
          <cell r="C182">
            <v>350000</v>
          </cell>
        </row>
        <row r="183">
          <cell r="A183" t="str">
            <v>Cây cau trắng (độ cao bóc bẹ) chiều cao cây 150 cm &lt; H ≤ 250 cm</v>
          </cell>
          <cell r="B183" t="str">
            <v>Đồng/cây</v>
          </cell>
          <cell r="C183">
            <v>450000</v>
          </cell>
        </row>
        <row r="184">
          <cell r="A184" t="str">
            <v>Cây cau trắng (độ cao bóc bẹ) chiều cao cây H &gt; 250 cm</v>
          </cell>
          <cell r="B184" t="str">
            <v>Đồng/cây</v>
          </cell>
          <cell r="C184">
            <v>600000</v>
          </cell>
        </row>
        <row r="185">
          <cell r="A185" t="str">
            <v>Cây cau đẻ (độ cao bóc bẹ)</v>
          </cell>
          <cell r="C185">
            <v>0</v>
          </cell>
        </row>
        <row r="186">
          <cell r="A186" t="str">
            <v>Cây cau đẻ (độ cao bóc bẹ) Cây giống mới trồng</v>
          </cell>
          <cell r="B186" t="str">
            <v>Đồng/cây</v>
          </cell>
          <cell r="C186">
            <v>9000</v>
          </cell>
        </row>
        <row r="187">
          <cell r="A187" t="str">
            <v>Cây cau đẻ (độ cao bóc bẹ) chiều cao cây H ≤ 15 cm</v>
          </cell>
          <cell r="B187" t="str">
            <v>Đồng/cây</v>
          </cell>
          <cell r="C187">
            <v>25000</v>
          </cell>
        </row>
        <row r="188">
          <cell r="A188" t="str">
            <v>Cây cau đẻ (độ cao bóc bẹ) chiều cao cây 15 cm &lt; H ≤ 30 cm</v>
          </cell>
          <cell r="B188" t="str">
            <v>Đồng/cây</v>
          </cell>
          <cell r="C188">
            <v>45000</v>
          </cell>
        </row>
        <row r="189">
          <cell r="A189" t="str">
            <v>Cây cau đẻ (độ cao bóc bẹ) chiều cao cây 30 cm &lt; H ≤ 45 cm</v>
          </cell>
          <cell r="B189" t="str">
            <v>Đồng/cây</v>
          </cell>
          <cell r="C189">
            <v>75000</v>
          </cell>
        </row>
        <row r="190">
          <cell r="A190" t="str">
            <v>Cây cau đẻ (độ cao bóc bẹ) chiều cao cây 45 cm &lt; H ≤ 60 cm</v>
          </cell>
          <cell r="B190" t="str">
            <v>Đồng/cây</v>
          </cell>
          <cell r="C190">
            <v>100000</v>
          </cell>
        </row>
        <row r="191">
          <cell r="A191" t="str">
            <v>Cây cau đẻ (độ cao bóc bẹ) chiều cao cây 60 cm &lt; H ≤ 75 cm</v>
          </cell>
          <cell r="B191" t="str">
            <v>Đồng/cây</v>
          </cell>
          <cell r="C191">
            <v>150000</v>
          </cell>
        </row>
        <row r="192">
          <cell r="A192" t="str">
            <v>Cây cau đẻ (độ cao bóc bẹ) chiều cao cây 75 cm &lt; H ≤ 90 cm</v>
          </cell>
          <cell r="B192" t="str">
            <v>Đồng/cây</v>
          </cell>
          <cell r="C192">
            <v>200000</v>
          </cell>
        </row>
        <row r="193">
          <cell r="A193" t="str">
            <v>Cây cau đẻ (độ cao bóc bẹ) chiều cao cây 90 cm &lt; H ≤ 150 cm</v>
          </cell>
          <cell r="B193" t="str">
            <v>Đồng/cây</v>
          </cell>
          <cell r="C193">
            <v>250000</v>
          </cell>
        </row>
        <row r="194">
          <cell r="A194" t="str">
            <v>Cây cau đẻ (độ cao bóc bẹ) chiều cao cây 150 cm &lt; H ≤ 250 cm</v>
          </cell>
          <cell r="B194" t="str">
            <v>Đồng/cây</v>
          </cell>
          <cell r="C194">
            <v>300000</v>
          </cell>
        </row>
        <row r="195">
          <cell r="A195" t="str">
            <v>Cây cau đẻ (độ cao bóc bẹ) chiều cao cây H &gt; 250 cm</v>
          </cell>
          <cell r="B195" t="str">
            <v>Đồng/cây</v>
          </cell>
          <cell r="C195">
            <v>400000</v>
          </cell>
        </row>
        <row r="196">
          <cell r="A196" t="str">
            <v>Cây thiên tuế</v>
          </cell>
          <cell r="C196">
            <v>0</v>
          </cell>
        </row>
        <row r="197">
          <cell r="A197" t="str">
            <v>Cây thiên tuế Cây giống mới trồng</v>
          </cell>
          <cell r="B197" t="str">
            <v>Đồng/cây</v>
          </cell>
          <cell r="C197">
            <v>15000</v>
          </cell>
        </row>
        <row r="198">
          <cell r="A198" t="str">
            <v>Cây thiên tuế chiều cao cây H &lt; 15 cm</v>
          </cell>
          <cell r="B198" t="str">
            <v>Đồng/cây</v>
          </cell>
          <cell r="C198">
            <v>60000</v>
          </cell>
        </row>
        <row r="199">
          <cell r="A199" t="str">
            <v>Cây thiên tuế chiều cao cây 15 cm &lt; H ≤ 30 cm</v>
          </cell>
          <cell r="B199" t="str">
            <v>Đồng/cây</v>
          </cell>
          <cell r="C199">
            <v>120000</v>
          </cell>
        </row>
        <row r="200">
          <cell r="A200" t="str">
            <v>Cây thiên tuế chiều cao cây 30 cm &lt; H ≤ 45 cm</v>
          </cell>
          <cell r="B200" t="str">
            <v>Đồng/cây</v>
          </cell>
          <cell r="C200">
            <v>250000</v>
          </cell>
        </row>
        <row r="201">
          <cell r="A201" t="str">
            <v>Cây thiên tuế chiều cao cây 45 cm &lt; H ≤ 60 cm</v>
          </cell>
          <cell r="B201" t="str">
            <v>Đồng/cây</v>
          </cell>
          <cell r="C201">
            <v>340000</v>
          </cell>
        </row>
        <row r="202">
          <cell r="A202" t="str">
            <v>Cây thiên tuế chiều cao cây 60 cm &lt; H ≤ 75 cm</v>
          </cell>
          <cell r="B202" t="str">
            <v>Đồng/cây</v>
          </cell>
          <cell r="C202">
            <v>780000</v>
          </cell>
        </row>
        <row r="203">
          <cell r="A203" t="str">
            <v>Cây thiên tuế chiều cao cây H &gt; 75 cm</v>
          </cell>
          <cell r="B203" t="str">
            <v>Đồng/cây</v>
          </cell>
          <cell r="C203">
            <v>1200000</v>
          </cell>
        </row>
        <row r="204">
          <cell r="A204" t="str">
            <v>Cây thiết mộc lan</v>
          </cell>
          <cell r="C204">
            <v>0</v>
          </cell>
        </row>
        <row r="205">
          <cell r="A205" t="str">
            <v>Cây thiết mộc lan Cây giống mới trồng</v>
          </cell>
          <cell r="B205" t="str">
            <v>Đồng/cây</v>
          </cell>
          <cell r="C205">
            <v>8000</v>
          </cell>
        </row>
        <row r="206">
          <cell r="A206" t="str">
            <v>Cây thiết mộc lan chiều cao cây H ≤ 15 cm</v>
          </cell>
          <cell r="B206" t="str">
            <v>Đồng/cây</v>
          </cell>
          <cell r="C206">
            <v>35000</v>
          </cell>
        </row>
        <row r="207">
          <cell r="A207" t="str">
            <v>Cây thiết mộc lan chiều cao cây 15 cm &lt; H ≤ 70 cm</v>
          </cell>
          <cell r="B207" t="str">
            <v>Đồng/cây</v>
          </cell>
          <cell r="C207">
            <v>65000</v>
          </cell>
        </row>
        <row r="208">
          <cell r="A208" t="str">
            <v>Cây thiết mộc lan chiều cao cây 70 cm &lt; H ≤ 100 cm</v>
          </cell>
          <cell r="B208" t="str">
            <v>Đồng/cây</v>
          </cell>
          <cell r="C208">
            <v>150000</v>
          </cell>
        </row>
        <row r="209">
          <cell r="A209" t="str">
            <v>Cây thiết mộc lan chiều cao cây H &gt; 100 cm</v>
          </cell>
          <cell r="B209" t="str">
            <v>Đồng/cây</v>
          </cell>
          <cell r="C209">
            <v>300000</v>
          </cell>
        </row>
        <row r="210">
          <cell r="A210" t="str">
            <v>Cây trúc anh đào</v>
          </cell>
          <cell r="C210">
            <v>0</v>
          </cell>
        </row>
        <row r="211">
          <cell r="A211" t="str">
            <v>Cây trúc anh đào Cây giống mới trồng</v>
          </cell>
          <cell r="B211" t="str">
            <v>Đồng/cây</v>
          </cell>
          <cell r="C211">
            <v>12000</v>
          </cell>
        </row>
        <row r="212">
          <cell r="A212" t="str">
            <v>Cây trúc anh đào chiều cao cây H &lt; 15 cm</v>
          </cell>
          <cell r="B212" t="str">
            <v>Đồng/cây</v>
          </cell>
          <cell r="C212">
            <v>40000</v>
          </cell>
        </row>
        <row r="213">
          <cell r="A213" t="str">
            <v>Cây trúc anh đào chiều cao cây 15 cm ≤ H &lt;  30 cm</v>
          </cell>
          <cell r="B213" t="str">
            <v>Đồng/cây</v>
          </cell>
          <cell r="C213">
            <v>100000</v>
          </cell>
        </row>
        <row r="214">
          <cell r="A214" t="str">
            <v>Cây trúc anh đào chiều cao cây 30 cm ≤ H &lt; 70 cm</v>
          </cell>
          <cell r="B214" t="str">
            <v>Đồng/cây</v>
          </cell>
          <cell r="C214">
            <v>200000</v>
          </cell>
        </row>
        <row r="215">
          <cell r="A215" t="str">
            <v>Cây trúc anh đào chiều cao cây 70 cm ≤ H &lt; 100 cm</v>
          </cell>
          <cell r="B215" t="str">
            <v>Đồng/cây</v>
          </cell>
          <cell r="C215">
            <v>300000</v>
          </cell>
        </row>
        <row r="216">
          <cell r="A216" t="str">
            <v>Cây trúc anh đào chiều cao cây H ≥ 100 cm</v>
          </cell>
          <cell r="B216" t="str">
            <v>Đồng/cây</v>
          </cell>
          <cell r="C216">
            <v>400000</v>
          </cell>
        </row>
        <row r="217">
          <cell r="A217" t="str">
            <v>Cây lá màu</v>
          </cell>
          <cell r="C217">
            <v>0</v>
          </cell>
        </row>
        <row r="218">
          <cell r="A218" t="str">
            <v>Cây lá màu Cây giống mới trồng</v>
          </cell>
          <cell r="B218" t="str">
            <v>Đồng/cây</v>
          </cell>
          <cell r="C218">
            <v>5000</v>
          </cell>
        </row>
        <row r="219">
          <cell r="A219" t="str">
            <v>Cây lá màu chiều cao cây H &lt; 15 cm</v>
          </cell>
          <cell r="B219" t="str">
            <v>Đồng/cây</v>
          </cell>
          <cell r="C219">
            <v>10000</v>
          </cell>
        </row>
        <row r="220">
          <cell r="A220" t="str">
            <v>Cây lá màu chiều cao cây 15 cm &lt; H ≤ 30 cm</v>
          </cell>
          <cell r="B220" t="str">
            <v>Đồng/cây</v>
          </cell>
          <cell r="C220">
            <v>15000</v>
          </cell>
        </row>
        <row r="221">
          <cell r="A221" t="str">
            <v>Cây lá màu chiều cao cây 30 cm &lt; H ≤ 45 cm</v>
          </cell>
          <cell r="B221" t="str">
            <v>Đồng/cây</v>
          </cell>
          <cell r="C221">
            <v>17000</v>
          </cell>
        </row>
        <row r="222">
          <cell r="A222" t="str">
            <v>Cây lá màu chiều cao cây 45 cm &lt; H ≤ 60 cm</v>
          </cell>
          <cell r="B222" t="str">
            <v>Đồng/cây</v>
          </cell>
          <cell r="C222">
            <v>22000</v>
          </cell>
        </row>
        <row r="223">
          <cell r="A223" t="str">
            <v>Cây lá màu chiều cao cây 60 cm &lt; H ≤ 75 cm</v>
          </cell>
          <cell r="B223" t="str">
            <v>Đồng/cây</v>
          </cell>
          <cell r="C223">
            <v>27000</v>
          </cell>
        </row>
        <row r="224">
          <cell r="A224" t="str">
            <v>Cây lá màu chiều cao cây 75 cm &lt; H ≤ 90 cm</v>
          </cell>
          <cell r="B224" t="str">
            <v>Đồng/cây</v>
          </cell>
          <cell r="C224">
            <v>32000</v>
          </cell>
        </row>
        <row r="225">
          <cell r="A225" t="str">
            <v>Cây lá màu chiều cao cây 90 cm &lt; H ≤ 150 cm</v>
          </cell>
          <cell r="B225" t="str">
            <v>Đồng/cây</v>
          </cell>
          <cell r="C225">
            <v>45000</v>
          </cell>
        </row>
        <row r="226">
          <cell r="A226" t="str">
            <v>Cây lá màu chiều cao cây H &gt; 150 cm</v>
          </cell>
          <cell r="B226" t="str">
            <v>Đồng/cây</v>
          </cell>
          <cell r="C226">
            <v>75000</v>
          </cell>
        </row>
        <row r="227">
          <cell r="A227" t="str">
            <v>Cây đinh lăng</v>
          </cell>
          <cell r="C227">
            <v>0</v>
          </cell>
        </row>
        <row r="228">
          <cell r="A228" t="str">
            <v>Cây đinh lăng Cây giống mới trồng</v>
          </cell>
          <cell r="B228" t="str">
            <v>Đồng/cây</v>
          </cell>
          <cell r="C228">
            <v>7000</v>
          </cell>
        </row>
        <row r="229">
          <cell r="A229" t="str">
            <v>Cây đinh lăng chiều cao cây H ≤ 15 cm</v>
          </cell>
          <cell r="B229" t="str">
            <v>Đồng/cây</v>
          </cell>
          <cell r="C229">
            <v>20000</v>
          </cell>
        </row>
        <row r="230">
          <cell r="A230" t="str">
            <v>Cây đinh lăng chiều cao cây 15 cm &lt; H ≤ 30 cm</v>
          </cell>
          <cell r="B230" t="str">
            <v>Đồng/cây</v>
          </cell>
          <cell r="C230">
            <v>40000</v>
          </cell>
        </row>
        <row r="231">
          <cell r="A231" t="str">
            <v>Cây đinh lăng chiều cao cây 30 cm &lt; H ≤ 60 cm</v>
          </cell>
          <cell r="B231" t="str">
            <v>Đồng/cây</v>
          </cell>
          <cell r="C231">
            <v>70000</v>
          </cell>
        </row>
        <row r="232">
          <cell r="A232" t="str">
            <v>Cây đinh lăng chiều cao cây H &gt; 60 cm</v>
          </cell>
          <cell r="B232" t="str">
            <v>Đồng/cây</v>
          </cell>
          <cell r="C232">
            <v>100000</v>
          </cell>
        </row>
        <row r="233">
          <cell r="A233" t="str">
            <v>Cây đào cảnh</v>
          </cell>
          <cell r="C233">
            <v>0</v>
          </cell>
        </row>
        <row r="234">
          <cell r="A234" t="str">
            <v>Cây đào cảnh Cây giống mới trồng</v>
          </cell>
          <cell r="B234" t="str">
            <v>Đồng/cây</v>
          </cell>
          <cell r="C234">
            <v>20000</v>
          </cell>
        </row>
        <row r="235">
          <cell r="A235" t="str">
            <v>Cây đào cảnh chiều cao cây H ≤ 150 cm</v>
          </cell>
          <cell r="B235" t="str">
            <v>Đồng/cây</v>
          </cell>
          <cell r="C235">
            <v>100000</v>
          </cell>
        </row>
        <row r="236">
          <cell r="A236" t="str">
            <v>Cây đào cảnh chiều cao cây 150 cm &lt; H ≤ 200 cm</v>
          </cell>
          <cell r="B236" t="str">
            <v>Đồng/cây</v>
          </cell>
          <cell r="C236">
            <v>200000</v>
          </cell>
        </row>
        <row r="237">
          <cell r="A237" t="str">
            <v>Cây đào cảnh chiều cao cây H &gt; 200 cm</v>
          </cell>
          <cell r="B237" t="str">
            <v>Đồng/cây</v>
          </cell>
          <cell r="C237">
            <v>350000</v>
          </cell>
        </row>
        <row r="238">
          <cell r="A238" t="str">
            <v>Cây mai trắng</v>
          </cell>
          <cell r="C238">
            <v>0</v>
          </cell>
        </row>
        <row r="239">
          <cell r="A239" t="str">
            <v>Cây mai trắng chiều cao cây H ≤ 70 cm</v>
          </cell>
          <cell r="B239" t="str">
            <v>Đồng/cây</v>
          </cell>
          <cell r="C239">
            <v>30000</v>
          </cell>
        </row>
        <row r="240">
          <cell r="A240" t="str">
            <v>Cây mai trắng chiều cao cây 70 cm &lt; H ≤ 100 cm</v>
          </cell>
          <cell r="B240" t="str">
            <v>Đồng/cây</v>
          </cell>
          <cell r="C240">
            <v>65000</v>
          </cell>
        </row>
        <row r="241">
          <cell r="A241" t="str">
            <v>Cây mai trắng chiều cao cây 100 cm &lt; H ≤ 150 cm</v>
          </cell>
          <cell r="B241" t="str">
            <v>Đồng/cây</v>
          </cell>
          <cell r="C241">
            <v>100000</v>
          </cell>
        </row>
        <row r="242">
          <cell r="A242" t="str">
            <v>Cây mai trắng chiều cao cây H &gt; 150 cm</v>
          </cell>
          <cell r="B242" t="str">
            <v>Đồng/cây</v>
          </cell>
          <cell r="C242">
            <v>250000</v>
          </cell>
        </row>
        <row r="243">
          <cell r="A243" t="str">
            <v>Cây bạch thiên hương, bạch ngọc anh</v>
          </cell>
          <cell r="C243">
            <v>0</v>
          </cell>
        </row>
        <row r="244">
          <cell r="A244" t="str">
            <v>Cây bạch thiên hương, bạch ngọc anh chiều cao cây H ≤ 100 cm</v>
          </cell>
          <cell r="B244" t="str">
            <v>Đồng/cây</v>
          </cell>
          <cell r="C244">
            <v>30000</v>
          </cell>
        </row>
        <row r="245">
          <cell r="A245" t="str">
            <v>Cây bạch thiên hương, bạch ngọc anh chiều cao cây H &gt; 100 cm</v>
          </cell>
          <cell r="B245" t="str">
            <v>Đồng/cây</v>
          </cell>
          <cell r="C245">
            <v>40000</v>
          </cell>
        </row>
        <row r="246">
          <cell r="A246" t="str">
            <v>Cây trạng nguyên</v>
          </cell>
          <cell r="C246">
            <v>0</v>
          </cell>
        </row>
        <row r="247">
          <cell r="A247" t="str">
            <v>Cây trạng nguyên chiều cao cây H ≤ 100 cm</v>
          </cell>
          <cell r="B247" t="str">
            <v>Đồng/cây</v>
          </cell>
          <cell r="C247">
            <v>30000</v>
          </cell>
        </row>
        <row r="248">
          <cell r="A248" t="str">
            <v>Cây trạng nguyên chiều cao cây H &gt; 100 cm</v>
          </cell>
          <cell r="B248" t="str">
            <v>Đồng/cây</v>
          </cell>
          <cell r="C248">
            <v>45000</v>
          </cell>
        </row>
        <row r="249">
          <cell r="A249" t="str">
            <v>Cây ngô đồng cảnh</v>
          </cell>
          <cell r="C249">
            <v>0</v>
          </cell>
        </row>
        <row r="250">
          <cell r="A250" t="str">
            <v>Cây ngô đồng cảnh chiều cao cây H ≤ 50 cm</v>
          </cell>
          <cell r="B250" t="str">
            <v>Đồng/cây</v>
          </cell>
          <cell r="C250">
            <v>7000</v>
          </cell>
        </row>
        <row r="251">
          <cell r="A251" t="str">
            <v>Cây ngô đồng cảnh chiều cao cây H &gt; 50 cm</v>
          </cell>
          <cell r="B251" t="str">
            <v>Đồng/cây</v>
          </cell>
          <cell r="C251">
            <v>12000</v>
          </cell>
        </row>
        <row r="252">
          <cell r="A252" t="str">
            <v>Cây agao sọc</v>
          </cell>
          <cell r="C252">
            <v>0</v>
          </cell>
        </row>
        <row r="253">
          <cell r="A253" t="str">
            <v>Cây agao sọc chiều cao cây H ≤ 50 cm</v>
          </cell>
          <cell r="B253" t="str">
            <v>Đồng/cây</v>
          </cell>
          <cell r="C253">
            <v>42000</v>
          </cell>
        </row>
        <row r="254">
          <cell r="A254" t="str">
            <v>Cây agao sọc chiều cao cây H &gt; 50 cm</v>
          </cell>
          <cell r="B254" t="str">
            <v>Đồng/cây</v>
          </cell>
          <cell r="C254">
            <v>70000</v>
          </cell>
        </row>
        <row r="255">
          <cell r="A255" t="str">
            <v>Cây nguyệt quế</v>
          </cell>
          <cell r="C255">
            <v>0</v>
          </cell>
        </row>
        <row r="256">
          <cell r="A256" t="str">
            <v>Cây nguyệt quế chiều cao cây H ≤ 100 cm</v>
          </cell>
          <cell r="B256" t="str">
            <v>Đồng/cây</v>
          </cell>
          <cell r="C256">
            <v>60000</v>
          </cell>
        </row>
        <row r="257">
          <cell r="A257" t="str">
            <v>Cây nguyệt quế chiều cao cây 100 cm &lt; H ≤ 200 cm</v>
          </cell>
          <cell r="B257" t="str">
            <v>Đồng/cây</v>
          </cell>
          <cell r="C257">
            <v>100000</v>
          </cell>
        </row>
        <row r="258">
          <cell r="A258" t="str">
            <v>Cây nguyệt quế chiều cao cây H &gt; 200 cm</v>
          </cell>
          <cell r="B258" t="str">
            <v>Đồng/cây</v>
          </cell>
          <cell r="C258">
            <v>150000</v>
          </cell>
        </row>
        <row r="259">
          <cell r="A259" t="str">
            <v>Cây huyết dụ</v>
          </cell>
          <cell r="C259">
            <v>0</v>
          </cell>
        </row>
        <row r="260">
          <cell r="A260" t="str">
            <v>Cây huyết dụ Cây giống mới trồng</v>
          </cell>
          <cell r="B260" t="str">
            <v>Đồng/cây</v>
          </cell>
          <cell r="C260">
            <v>6000</v>
          </cell>
        </row>
        <row r="261">
          <cell r="A261" t="str">
            <v>Cây huyết dụ chiều cao cây H ≤ 60 cm</v>
          </cell>
          <cell r="B261" t="str">
            <v>Đồng/cây</v>
          </cell>
          <cell r="C261">
            <v>10000</v>
          </cell>
        </row>
        <row r="262">
          <cell r="A262" t="str">
            <v>Cây huyết dụ chiều cao cây H &gt; 60 cm</v>
          </cell>
          <cell r="B262" t="str">
            <v>Đồng/cây</v>
          </cell>
          <cell r="C262">
            <v>25000</v>
          </cell>
        </row>
        <row r="263">
          <cell r="A263" t="str">
            <v>Cây măng cảnh</v>
          </cell>
          <cell r="C263">
            <v>0</v>
          </cell>
        </row>
        <row r="264">
          <cell r="A264" t="str">
            <v>Cây măng cảnh chiều cao cây H ≤ 50 cm</v>
          </cell>
          <cell r="B264" t="str">
            <v>Đồng/khóm</v>
          </cell>
          <cell r="C264">
            <v>8000</v>
          </cell>
        </row>
        <row r="265">
          <cell r="A265" t="str">
            <v>Cây măng cảnh chiều cao cây H &gt; 50 cm</v>
          </cell>
          <cell r="B265" t="str">
            <v>Đồng/khóm</v>
          </cell>
          <cell r="C265">
            <v>10000</v>
          </cell>
        </row>
        <row r="266">
          <cell r="A266" t="str">
            <v>Cây chuối</v>
          </cell>
          <cell r="C266">
            <v>0</v>
          </cell>
        </row>
        <row r="267">
          <cell r="A267" t="str">
            <v>Cây chuối Cây giống mới trồng</v>
          </cell>
          <cell r="B267" t="str">
            <v>Đồng/cây</v>
          </cell>
          <cell r="C267">
            <v>20000</v>
          </cell>
        </row>
        <row r="268">
          <cell r="A268" t="str">
            <v>Cây chuối chiều cao cây H ≤ 120cm</v>
          </cell>
          <cell r="B268" t="str">
            <v>Đồng/cây</v>
          </cell>
          <cell r="C268">
            <v>40000</v>
          </cell>
        </row>
        <row r="269">
          <cell r="A269" t="str">
            <v>Cây chuối chiều cao cây H &gt; 120cm</v>
          </cell>
          <cell r="B269" t="str">
            <v>Đồng/cây</v>
          </cell>
          <cell r="C269">
            <v>70000</v>
          </cell>
        </row>
        <row r="270">
          <cell r="A270" t="str">
            <v>Cây chuối có quả</v>
          </cell>
          <cell r="B270" t="str">
            <v>Đồng/cây</v>
          </cell>
          <cell r="C270">
            <v>200000</v>
          </cell>
        </row>
        <row r="271">
          <cell r="A271" t="str">
            <v>Cây khổ sâm</v>
          </cell>
          <cell r="C271">
            <v>0</v>
          </cell>
        </row>
        <row r="272">
          <cell r="A272" t="str">
            <v>Cây khổ sâm Cây giống</v>
          </cell>
          <cell r="B272" t="str">
            <v>Đồng/cây</v>
          </cell>
          <cell r="C272">
            <v>8000</v>
          </cell>
        </row>
        <row r="273">
          <cell r="A273" t="str">
            <v>Cây khổ sâm chiều cao cây H ≤ 100 cm</v>
          </cell>
          <cell r="B273" t="str">
            <v>Đồng/cây</v>
          </cell>
          <cell r="C273">
            <v>45000</v>
          </cell>
        </row>
        <row r="274">
          <cell r="A274" t="str">
            <v>Cây khổ sâm chiều cao cây H &gt; 100 cm</v>
          </cell>
          <cell r="B274" t="str">
            <v>Đồng/cây</v>
          </cell>
          <cell r="C274">
            <v>85000</v>
          </cell>
        </row>
        <row r="275">
          <cell r="A275" t="str">
            <v>Cây hoa phù dung, dã quỳ</v>
          </cell>
          <cell r="C275">
            <v>0</v>
          </cell>
        </row>
        <row r="276">
          <cell r="A276" t="str">
            <v>Cây hoa phù dung, dã quỳ Cây giống mới trồng</v>
          </cell>
          <cell r="B276" t="str">
            <v>Đồng/cây</v>
          </cell>
          <cell r="C276">
            <v>10000</v>
          </cell>
        </row>
        <row r="277">
          <cell r="A277" t="str">
            <v>Cây hoa phù dung, dã quỳ chiều cao cây H ≤ 100 cm</v>
          </cell>
          <cell r="B277" t="str">
            <v>Đồng/cây</v>
          </cell>
          <cell r="C277">
            <v>50000</v>
          </cell>
        </row>
        <row r="278">
          <cell r="A278" t="str">
            <v>Cây hoa phù dung, dã quỳ chiều cao cây H &gt; 100 cm</v>
          </cell>
          <cell r="B278" t="str">
            <v>Đồng/cây</v>
          </cell>
          <cell r="C278">
            <v>80000</v>
          </cell>
        </row>
        <row r="279">
          <cell r="A279" t="str">
            <v>Cây lam tiền (lan tuyết)</v>
          </cell>
          <cell r="C279">
            <v>0</v>
          </cell>
        </row>
        <row r="280">
          <cell r="A280" t="str">
            <v>Cây lam tiền (lan tuyết) Cây giống mới trồng</v>
          </cell>
          <cell r="B280" t="str">
            <v>Đồng/cây</v>
          </cell>
          <cell r="C280">
            <v>8000</v>
          </cell>
        </row>
        <row r="281">
          <cell r="A281" t="str">
            <v>Cây lam tiền (lan tuyết) chiều cao cây H ≤ 50 cm</v>
          </cell>
          <cell r="B281" t="str">
            <v>Đồng/cây</v>
          </cell>
          <cell r="C281">
            <v>35000</v>
          </cell>
        </row>
        <row r="282">
          <cell r="A282" t="str">
            <v>Cây lam tiền (lan tuyết) chiều cao cây H &gt; 50 cm</v>
          </cell>
          <cell r="B282" t="str">
            <v>Đồng/cây</v>
          </cell>
          <cell r="C282">
            <v>75000</v>
          </cell>
        </row>
        <row r="283">
          <cell r="A283" t="str">
            <v>Cây ngọc lan</v>
          </cell>
          <cell r="C283">
            <v>0</v>
          </cell>
        </row>
        <row r="284">
          <cell r="A284" t="str">
            <v>Cây ngọc lan Cây giống mới trồng</v>
          </cell>
          <cell r="B284" t="str">
            <v>Đồng/cây</v>
          </cell>
          <cell r="C284">
            <v>10000</v>
          </cell>
        </row>
        <row r="285">
          <cell r="A285" t="str">
            <v>Cây ngọc lan chiều cao cây H &lt; 15 cm</v>
          </cell>
          <cell r="B285" t="str">
            <v>Đồng/cây</v>
          </cell>
          <cell r="C285">
            <v>20000</v>
          </cell>
        </row>
        <row r="286">
          <cell r="A286" t="str">
            <v>Cây ngọc lan chiều cao cây 15 cm ≤ H &lt; 30 cm</v>
          </cell>
          <cell r="B286" t="str">
            <v>Đồng/cây</v>
          </cell>
          <cell r="C286">
            <v>30000</v>
          </cell>
        </row>
        <row r="287">
          <cell r="A287" t="str">
            <v>Cây ngọc lan chiều cao cây 30 cm ≤ H &lt; 45 cm</v>
          </cell>
          <cell r="B287" t="str">
            <v>Đồng/cây</v>
          </cell>
          <cell r="C287">
            <v>40000</v>
          </cell>
        </row>
        <row r="288">
          <cell r="A288" t="str">
            <v>Cây ngọc lan chiều cao cây 45 cm ≤ H &lt; 60 cm</v>
          </cell>
          <cell r="B288" t="str">
            <v>Đồng/cây</v>
          </cell>
          <cell r="C288">
            <v>60000</v>
          </cell>
        </row>
        <row r="289">
          <cell r="A289" t="str">
            <v>Cây ngọc lan chiều cao cây 60 cm ≤ H &lt; 75 cm</v>
          </cell>
          <cell r="B289" t="str">
            <v>Đồng/cây</v>
          </cell>
          <cell r="C289">
            <v>90000</v>
          </cell>
        </row>
        <row r="290">
          <cell r="A290" t="str">
            <v>Cây ngọc lan chiều cao cây 75 cm ≤ H &lt; 90 cm</v>
          </cell>
          <cell r="B290" t="str">
            <v>Đồng/cây</v>
          </cell>
          <cell r="C290">
            <v>120000</v>
          </cell>
        </row>
        <row r="291">
          <cell r="A291" t="str">
            <v>Cây ngọc lan chiều cao cây 90 cm ≤ H &lt; 150 cm</v>
          </cell>
          <cell r="B291" t="str">
            <v>Đồng/cây</v>
          </cell>
          <cell r="C291">
            <v>200000</v>
          </cell>
        </row>
        <row r="292">
          <cell r="A292" t="str">
            <v>Cây ngọc lan chiều cao cây 150 cm ≤ H &lt; 250 cm</v>
          </cell>
          <cell r="B292" t="str">
            <v>Đồng/cây</v>
          </cell>
          <cell r="C292">
            <v>400000</v>
          </cell>
        </row>
        <row r="293">
          <cell r="A293" t="str">
            <v>Cây ngọc lan chiều cao cây H ≥ 250 cm</v>
          </cell>
          <cell r="B293" t="str">
            <v>Đồng/cây</v>
          </cell>
          <cell r="C293">
            <v>850000</v>
          </cell>
        </row>
        <row r="294">
          <cell r="A294" t="str">
            <v>Cây hoàng lan</v>
          </cell>
          <cell r="C294">
            <v>0</v>
          </cell>
        </row>
        <row r="295">
          <cell r="A295" t="str">
            <v>Cây hoàng lan Cây giống mới trồng</v>
          </cell>
          <cell r="B295" t="str">
            <v>Đồng/cây</v>
          </cell>
          <cell r="C295">
            <v>10000</v>
          </cell>
        </row>
        <row r="296">
          <cell r="A296" t="str">
            <v>Cây hoàng lan chiều cao cây H &lt; 15 cm</v>
          </cell>
          <cell r="B296" t="str">
            <v>Đồng/cây</v>
          </cell>
          <cell r="C296">
            <v>20000</v>
          </cell>
        </row>
        <row r="297">
          <cell r="A297" t="str">
            <v>Cây hoàng lan chiều cao cây 15 cm ≤ H &lt; 30 cm</v>
          </cell>
          <cell r="B297" t="str">
            <v>Đồng/cây</v>
          </cell>
          <cell r="C297">
            <v>30000</v>
          </cell>
        </row>
        <row r="298">
          <cell r="A298" t="str">
            <v>Cây hoàng lan chiều cao cây 30 cm ≤ H &lt; 45 cm</v>
          </cell>
          <cell r="B298" t="str">
            <v>Đồng/cây</v>
          </cell>
          <cell r="C298">
            <v>40000</v>
          </cell>
        </row>
        <row r="299">
          <cell r="A299" t="str">
            <v>Cây hoàng lan chiều cao cây 45 cm ≤ H &lt; 60 cm</v>
          </cell>
          <cell r="B299" t="str">
            <v>Đồng/cây</v>
          </cell>
          <cell r="C299">
            <v>60000</v>
          </cell>
        </row>
        <row r="300">
          <cell r="A300" t="str">
            <v>Cây hoàng lan chiều cao cây 60 cm ≤ H &lt; 75 cm</v>
          </cell>
          <cell r="B300" t="str">
            <v>Đồng/cây</v>
          </cell>
          <cell r="C300">
            <v>90000</v>
          </cell>
        </row>
        <row r="301">
          <cell r="A301" t="str">
            <v>Cây hoàng lan chiều cao cây 75 cm ≤ H &lt; 90 cm</v>
          </cell>
          <cell r="B301" t="str">
            <v>Đồng/cây</v>
          </cell>
          <cell r="C301">
            <v>120000</v>
          </cell>
        </row>
        <row r="302">
          <cell r="A302" t="str">
            <v>Cây hoàng lan chiều cao cây 90 cm ≤ H &lt; 150 cm</v>
          </cell>
          <cell r="B302" t="str">
            <v>Đồng/cây</v>
          </cell>
          <cell r="C302">
            <v>200000</v>
          </cell>
        </row>
        <row r="303">
          <cell r="A303" t="str">
            <v>Cây hoàng lan chiều cao cây 150 cm ≤ H &lt; 250 cm</v>
          </cell>
          <cell r="B303" t="str">
            <v>Đồng/cây</v>
          </cell>
          <cell r="C303">
            <v>400000</v>
          </cell>
        </row>
        <row r="304">
          <cell r="A304" t="str">
            <v>Cây hoàng lan chiều cao cây H ≥ 250 cm</v>
          </cell>
          <cell r="B304" t="str">
            <v>Đồng/cây</v>
          </cell>
          <cell r="C304">
            <v>850000</v>
          </cell>
        </row>
        <row r="305">
          <cell r="A305" t="str">
            <v>Cây Chùm ngây</v>
          </cell>
          <cell r="C305">
            <v>0</v>
          </cell>
        </row>
        <row r="306">
          <cell r="A306" t="str">
            <v>Cây Chùm ngây Cây giống mới trồng</v>
          </cell>
          <cell r="B306" t="str">
            <v>Đồng/cây</v>
          </cell>
          <cell r="C306">
            <v>10000</v>
          </cell>
        </row>
        <row r="307">
          <cell r="A307" t="str">
            <v>Cây Chùm ngây chiều cao cây H ≤ 100 cm</v>
          </cell>
          <cell r="B307" t="str">
            <v>Đồng/cây</v>
          </cell>
          <cell r="C307">
            <v>35000</v>
          </cell>
        </row>
        <row r="308">
          <cell r="A308" t="str">
            <v>Cây Chùm ngây chiều cao cây 100 &lt; H ≤ 150 cm</v>
          </cell>
          <cell r="B308" t="str">
            <v>Đồng/cây</v>
          </cell>
          <cell r="C308">
            <v>55000</v>
          </cell>
        </row>
        <row r="309">
          <cell r="A309" t="str">
            <v>Cây Chùm ngây chiều cao cây H &gt; 150 cm</v>
          </cell>
          <cell r="B309" t="str">
            <v>Đồng/cây</v>
          </cell>
          <cell r="C309">
            <v>95000</v>
          </cell>
        </row>
        <row r="310">
          <cell r="A310" t="str">
            <v>NHÓM CÂY TÍNH THEO ĐƯỜNG KÍNH THÂN, GÔC</v>
          </cell>
        </row>
        <row r="311">
          <cell r="A311" t="str">
            <v>Cây bưởi, bòng</v>
          </cell>
        </row>
        <row r="312">
          <cell r="A312" t="str">
            <v>Cây giống đủ tiêu chuẩn mới trồng</v>
          </cell>
        </row>
        <row r="313">
          <cell r="A313" t="str">
            <v>Cây bưởi, bòng giống Loại cây ghép có chiều cao cây 40cm ≤ H &lt; 1m</v>
          </cell>
          <cell r="B313" t="str">
            <v>Đồng/cây</v>
          </cell>
          <cell r="C313" t="str">
            <v>25.000</v>
          </cell>
        </row>
        <row r="314">
          <cell r="A314" t="str">
            <v>Cây bưởi, bòng giống Loại cây ghép có chiều cao cây H ≥ 1m</v>
          </cell>
          <cell r="B314" t="str">
            <v>Đồng/cây</v>
          </cell>
          <cell r="C314" t="str">
            <v>30.000</v>
          </cell>
        </row>
        <row r="315">
          <cell r="A315" t="str">
            <v>Cây bưởi, bòng giống Loại cây chiết cành có chiều cao 40cm ≤ H &lt; 1m</v>
          </cell>
          <cell r="B315" t="str">
            <v>Đồng/cây</v>
          </cell>
          <cell r="C315" t="str">
            <v>40.000</v>
          </cell>
        </row>
        <row r="316">
          <cell r="A316" t="str">
            <v>Cây bưởi, bòng giống Loại cây chiết cành có chiều cao cây H ≥ 1m</v>
          </cell>
          <cell r="B316" t="str">
            <v>Đồng/cây</v>
          </cell>
          <cell r="C316" t="str">
            <v>40.000</v>
          </cell>
        </row>
        <row r="317">
          <cell r="A317" t="str">
            <v>Cây bưởi, bòng ĐK thân ≤ 5 cm</v>
          </cell>
          <cell r="B317" t="str">
            <v>Đông/cây</v>
          </cell>
          <cell r="C317" t="str">
            <v>87.000</v>
          </cell>
        </row>
        <row r="318">
          <cell r="A318" t="str">
            <v>Cây bưởi, bòng đường kính thân 5 cm &lt; ĐK thân ≤10 cm</v>
          </cell>
          <cell r="B318" t="str">
            <v>Đồng/cây</v>
          </cell>
          <cell r="C318" t="str">
            <v>162.000</v>
          </cell>
        </row>
        <row r="319">
          <cell r="A319" t="str">
            <v>Cây bưởi, bòng đường kính thân 10 cm &lt; ĐK thân ≤ 15 cm</v>
          </cell>
          <cell r="B319" t="str">
            <v>Đồng/cây</v>
          </cell>
          <cell r="C319" t="str">
            <v>274.000</v>
          </cell>
        </row>
        <row r="320">
          <cell r="A320" t="str">
            <v>Cây bưởi, bòng đường kính thân 15 cm &lt; ĐK thân ≤ 20 cm</v>
          </cell>
          <cell r="B320" t="str">
            <v>Đồng/cây</v>
          </cell>
          <cell r="C320" t="str">
            <v>398.000</v>
          </cell>
        </row>
        <row r="321">
          <cell r="A321" t="str">
            <v>Cây bưởi, bòng đường kính thân 20 cm &lt; ĐK thân ≤25 cm</v>
          </cell>
          <cell r="B321" t="str">
            <v>Đồng/cây</v>
          </cell>
          <cell r="C321" t="str">
            <v>523.000</v>
          </cell>
        </row>
        <row r="322">
          <cell r="A322" t="str">
            <v>Cây bưởi, bòng đường kính thân 25 cm &lt; ĐK thân ≤ 30 cm</v>
          </cell>
          <cell r="B322" t="str">
            <v>Đồng/cây</v>
          </cell>
          <cell r="C322" t="str">
            <v>970.000</v>
          </cell>
        </row>
        <row r="323">
          <cell r="A323" t="str">
            <v>Cây bưởi, bòng đường kính thân 30 cm &lt; ĐK thân ≤ 40 cm</v>
          </cell>
          <cell r="B323" t="str">
            <v>Đồng/cây</v>
          </cell>
          <cell r="C323" t="str">
            <v>2.240.000</v>
          </cell>
        </row>
        <row r="324">
          <cell r="A324" t="str">
            <v>Cây bưởi, bòng ĐK thân &gt; 40 cm</v>
          </cell>
          <cell r="B324" t="str">
            <v>Đồng/cây</v>
          </cell>
          <cell r="C324" t="str">
            <v>2.862.000</v>
          </cell>
        </row>
        <row r="325">
          <cell r="A325" t="str">
            <v>Cây mít</v>
          </cell>
        </row>
        <row r="326">
          <cell r="A326" t="str">
            <v>Cây mít giống đủ tiêu chuẩn mới trồng</v>
          </cell>
          <cell r="B326" t="str">
            <v>Đồng/cây</v>
          </cell>
          <cell r="C326" t="str">
            <v>10.000</v>
          </cell>
        </row>
        <row r="327">
          <cell r="A327" t="str">
            <v>Cây mít ĐK thân ≤ 5 cm</v>
          </cell>
          <cell r="B327" t="str">
            <v>Đồng/cây</v>
          </cell>
          <cell r="C327" t="str">
            <v>149.000</v>
          </cell>
        </row>
        <row r="328">
          <cell r="A328" t="str">
            <v>Cây mít đường kính thân 5 cm &lt; ĐK thân ≤ 10 cm</v>
          </cell>
          <cell r="B328" t="str">
            <v>Đồng/cây</v>
          </cell>
          <cell r="C328" t="str">
            <v>398.000</v>
          </cell>
        </row>
        <row r="329">
          <cell r="A329" t="str">
            <v>Cây mít đường kính thân 10 cm &lt; ĐK thân ≤ 15 cm</v>
          </cell>
          <cell r="B329" t="str">
            <v>Đồng/cây</v>
          </cell>
          <cell r="C329" t="str">
            <v>1.493.000</v>
          </cell>
        </row>
        <row r="330">
          <cell r="A330" t="str">
            <v>Cây mít đường kính thân 15 cm &lt; ĐK thân ≤ 20 cm</v>
          </cell>
          <cell r="B330" t="str">
            <v>Đồng/cây</v>
          </cell>
          <cell r="C330" t="str">
            <v>3.111.000</v>
          </cell>
        </row>
        <row r="331">
          <cell r="A331" t="str">
            <v>Cây mít đường kính thân 20 cm &lt; ĐK thân ≤ 30 cm</v>
          </cell>
          <cell r="B331" t="str">
            <v>Đồng/cây</v>
          </cell>
          <cell r="C331" t="str">
            <v>3.484.000</v>
          </cell>
        </row>
        <row r="332">
          <cell r="A332" t="str">
            <v>Cây mít đường kính thân 30 cm &lt; ĐK thân ≤ 40 cm</v>
          </cell>
          <cell r="B332" t="str">
            <v>Đồng/cây</v>
          </cell>
          <cell r="C332" t="str">
            <v>3.733.000</v>
          </cell>
        </row>
        <row r="333">
          <cell r="A333" t="str">
            <v>Cây mít ĐK thân &gt; 40 cm</v>
          </cell>
          <cell r="B333" t="str">
            <v>Đồng/cây</v>
          </cell>
          <cell r="C333" t="str">
            <v>4.355.000</v>
          </cell>
        </row>
        <row r="334">
          <cell r="A334" t="str">
            <v>Cây chay</v>
          </cell>
        </row>
        <row r="335">
          <cell r="A335" t="str">
            <v>Cây chay giống đủ tiêu chuẩn mới trồng</v>
          </cell>
          <cell r="B335" t="str">
            <v>Đồng/cây</v>
          </cell>
          <cell r="C335" t="str">
            <v>10.000</v>
          </cell>
        </row>
        <row r="336">
          <cell r="A336" t="str">
            <v>Cây chay ĐK thân ≤ 5 cm</v>
          </cell>
          <cell r="B336" t="str">
            <v>Đồng/cây</v>
          </cell>
          <cell r="C336" t="str">
            <v>149.000</v>
          </cell>
        </row>
        <row r="337">
          <cell r="A337" t="str">
            <v>Cây chay đường kính thân 5 cm &lt; ĐK thân ≤ 10 cm</v>
          </cell>
          <cell r="B337" t="str">
            <v>Đồng/cây</v>
          </cell>
          <cell r="C337" t="str">
            <v>398.000</v>
          </cell>
        </row>
        <row r="338">
          <cell r="A338" t="str">
            <v>Cây chay đường kính thân 10 cm &lt; ĐK thân ≤ 15 cm</v>
          </cell>
          <cell r="B338" t="str">
            <v>Đồng/cây</v>
          </cell>
          <cell r="C338" t="str">
            <v>1.493.000</v>
          </cell>
        </row>
        <row r="339">
          <cell r="A339" t="str">
            <v>Cây chay đường kính thân 15 cm &lt; ĐK thân ≤ 20 cm</v>
          </cell>
          <cell r="B339" t="str">
            <v>Đồng/cây</v>
          </cell>
          <cell r="C339" t="str">
            <v>3.111.000</v>
          </cell>
        </row>
        <row r="340">
          <cell r="A340" t="str">
            <v>Cây chay đường kính thân 20 cm &lt; ĐK thân ≤ 30 cm</v>
          </cell>
          <cell r="B340" t="str">
            <v>Đồng/cây</v>
          </cell>
          <cell r="C340" t="str">
            <v>3.484.000</v>
          </cell>
        </row>
        <row r="341">
          <cell r="A341" t="str">
            <v>Cây chay đường kính thân 30 cm &lt; ĐK thân ≤ 40 cm</v>
          </cell>
          <cell r="B341" t="str">
            <v>Đồng/cây</v>
          </cell>
          <cell r="C341" t="str">
            <v>3.733.000</v>
          </cell>
        </row>
        <row r="342">
          <cell r="A342" t="str">
            <v>Cây chay ĐK thân &gt; 40 cm</v>
          </cell>
          <cell r="B342" t="str">
            <v>Đồng/cây</v>
          </cell>
          <cell r="C342" t="str">
            <v>4.355.000</v>
          </cell>
        </row>
        <row r="343">
          <cell r="A343" t="str">
            <v>Cây táo</v>
          </cell>
        </row>
        <row r="344">
          <cell r="A344" t="str">
            <v>Cây táo giống đủ tiêu chuẩn mới trồng Loại cây ghép có chiều cao cây 40cm ≤ H &lt; 1m</v>
          </cell>
          <cell r="B344" t="str">
            <v>Đồng/cây</v>
          </cell>
          <cell r="C344" t="str">
            <v>25.000</v>
          </cell>
        </row>
        <row r="345">
          <cell r="A345" t="str">
            <v>Cây táo loại cây ghép có chiều cao cây H ≥  1m</v>
          </cell>
          <cell r="B345" t="str">
            <v>Đồng/cây</v>
          </cell>
          <cell r="C345" t="str">
            <v>30.000</v>
          </cell>
        </row>
        <row r="346">
          <cell r="A346" t="str">
            <v>Cây táo ĐK thân ≤ 5 cm</v>
          </cell>
          <cell r="B346" t="str">
            <v>Đồng/cây</v>
          </cell>
          <cell r="C346" t="str">
            <v>124.000</v>
          </cell>
        </row>
        <row r="347">
          <cell r="A347" t="str">
            <v>Cây táo đường kính thân 5 cm &lt; ĐK thân ≤ 7 cm</v>
          </cell>
          <cell r="B347" t="str">
            <v>Đồng/cây</v>
          </cell>
          <cell r="C347" t="str">
            <v>274.000</v>
          </cell>
        </row>
        <row r="348">
          <cell r="A348" t="str">
            <v>Cây táo đường kính thân 7 cm &lt; ĐK thân ≤ 11 cm</v>
          </cell>
          <cell r="B348" t="str">
            <v>Đồng/cây</v>
          </cell>
          <cell r="C348" t="str">
            <v>498.000</v>
          </cell>
        </row>
        <row r="349">
          <cell r="A349" t="str">
            <v>Cây táo đường kính thân 11 cm &lt; ĐK thân ≤ 15 cm</v>
          </cell>
          <cell r="B349" t="str">
            <v>Đồng/cây</v>
          </cell>
          <cell r="C349" t="str">
            <v>871.000</v>
          </cell>
        </row>
        <row r="350">
          <cell r="A350" t="str">
            <v>Cây táo đường kính thân 15 cm &lt; ĐK thân ≤ 20 cm</v>
          </cell>
          <cell r="B350" t="str">
            <v>Đồng/cây</v>
          </cell>
          <cell r="C350" t="str">
            <v>1.120.000</v>
          </cell>
        </row>
        <row r="351">
          <cell r="A351" t="str">
            <v>Cây táo đường kính thân 20 cm &lt; ĐK thân ≤ 25 cm</v>
          </cell>
          <cell r="B351" t="str">
            <v>Đồng/cây</v>
          </cell>
          <cell r="C351" t="str">
            <v>1.493.000</v>
          </cell>
        </row>
        <row r="352">
          <cell r="A352" t="str">
            <v>Cây táo ĐK thân &gt; 25 cm</v>
          </cell>
          <cell r="B352" t="str">
            <v>Đồng/cây</v>
          </cell>
          <cell r="C352" t="str">
            <v>1.866.000</v>
          </cell>
        </row>
        <row r="353">
          <cell r="A353" t="str">
            <v>Cây xoài, cây quéo</v>
          </cell>
        </row>
        <row r="354">
          <cell r="A354" t="str">
            <v>Cây xoài giống đủ tiêu chuẩn mới trồng, chiều cao cây H ≥ 40cm</v>
          </cell>
          <cell r="B354" t="str">
            <v>Đồng/cây</v>
          </cell>
          <cell r="C354" t="str">
            <v>25.000</v>
          </cell>
        </row>
        <row r="355">
          <cell r="A355" t="str">
            <v>Cây xoài ĐK thân ≤ 5 cm</v>
          </cell>
          <cell r="B355" t="str">
            <v>Đồng/cây</v>
          </cell>
          <cell r="C355" t="str">
            <v>124.000</v>
          </cell>
        </row>
        <row r="356">
          <cell r="A356" t="str">
            <v>Cây xoài đường kính thân 5 cm &lt; ĐK thân ≤ 10 cm</v>
          </cell>
          <cell r="B356" t="str">
            <v>Đông/cây</v>
          </cell>
          <cell r="C356" t="str">
            <v>274.000</v>
          </cell>
        </row>
        <row r="357">
          <cell r="A357" t="str">
            <v>Cây xoài đường kính thân 10 cm &lt;ĐK thân ≤ 15 cm</v>
          </cell>
          <cell r="B357" t="str">
            <v>Đồng/cây</v>
          </cell>
          <cell r="C357" t="str">
            <v>498.000</v>
          </cell>
        </row>
        <row r="358">
          <cell r="A358" t="str">
            <v>Cây xoài đường kính thân 15 cm &lt; ĐK thân ≤ 20 cm</v>
          </cell>
          <cell r="B358" t="str">
            <v>Đồng/cây</v>
          </cell>
          <cell r="C358" t="str">
            <v>871.000</v>
          </cell>
        </row>
        <row r="359">
          <cell r="A359" t="str">
            <v>Cây xoài đường kính thân 20 cm &lt; ĐK thân ≤ 30 cm</v>
          </cell>
          <cell r="B359" t="str">
            <v>Đồng/cây</v>
          </cell>
          <cell r="C359" t="str">
            <v>1.120.000</v>
          </cell>
        </row>
        <row r="360">
          <cell r="A360" t="str">
            <v>Cây xoài đường kính thân 30 cm &lt; ĐK thân ≤ 40 cm</v>
          </cell>
          <cell r="B360" t="str">
            <v>Đồng/cây</v>
          </cell>
          <cell r="C360" t="str">
            <v>1.493.000</v>
          </cell>
        </row>
        <row r="361">
          <cell r="A361" t="str">
            <v>Cây xoài ĐK thân &gt; 40 cm</v>
          </cell>
          <cell r="B361" t="str">
            <v>Đồng/cây</v>
          </cell>
          <cell r="C361" t="str">
            <v>1.866.000</v>
          </cell>
        </row>
        <row r="362">
          <cell r="A362" t="str">
            <v>Cây vú sữa</v>
          </cell>
        </row>
        <row r="363">
          <cell r="A363" t="str">
            <v>Cây vú sữa giống đủ tiêu chuẩn mới trồng, chiều cao cây H ≥ 40cm</v>
          </cell>
          <cell r="B363" t="str">
            <v>Đồng/cây</v>
          </cell>
          <cell r="C363" t="str">
            <v>25.000</v>
          </cell>
        </row>
        <row r="364">
          <cell r="A364" t="str">
            <v>Cây vú sữa ĐK thân ≤5 cm</v>
          </cell>
          <cell r="B364" t="str">
            <v>Đồng/cây</v>
          </cell>
          <cell r="C364" t="str">
            <v>87.000</v>
          </cell>
        </row>
        <row r="365">
          <cell r="A365" t="str">
            <v>Cây vú sữa đường kính thân 5 cm &lt; ĐK thân  ≤ 10 cm</v>
          </cell>
          <cell r="B365" t="str">
            <v>Đồng/cây</v>
          </cell>
          <cell r="C365" t="str">
            <v>187.000</v>
          </cell>
        </row>
        <row r="366">
          <cell r="A366" t="str">
            <v>Cây vú sữa đường kính thân 10 cm &lt; ĐK thân  ≤ 15 cm</v>
          </cell>
          <cell r="B366" t="str">
            <v>Đồng/cây</v>
          </cell>
          <cell r="C366" t="str">
            <v>684.000</v>
          </cell>
        </row>
        <row r="367">
          <cell r="A367" t="str">
            <v>Cây vú sữa đường kính thân 15 cm &lt; ĐK thân  ≤ 20 cm</v>
          </cell>
          <cell r="B367" t="str">
            <v>Đồng/cây</v>
          </cell>
          <cell r="C367" t="str">
            <v>933.000</v>
          </cell>
        </row>
        <row r="368">
          <cell r="A368" t="str">
            <v>Cây vú sữa đường kính thân 20 cm &lt; ĐK thân  ≤ 30 cm</v>
          </cell>
          <cell r="B368" t="str">
            <v>Đồng/cây</v>
          </cell>
          <cell r="C368" t="str">
            <v>1.866.000</v>
          </cell>
        </row>
        <row r="369">
          <cell r="A369" t="str">
            <v>Cây vú sữa ĐK thân &gt; 30 cm</v>
          </cell>
          <cell r="B369" t="str">
            <v>Đồng/cây</v>
          </cell>
          <cell r="C369" t="str">
            <v>2.240.000</v>
          </cell>
        </row>
        <row r="370">
          <cell r="A370" t="str">
            <v>Cây vú sữa hoàng kim</v>
          </cell>
        </row>
        <row r="371">
          <cell r="A371" t="str">
            <v>Cây vú sữa hoàng kim ĐK thân  ≤ 5 cm</v>
          </cell>
          <cell r="B371" t="str">
            <v>Đồng/cây</v>
          </cell>
          <cell r="C371" t="str">
            <v>174.000</v>
          </cell>
        </row>
        <row r="372">
          <cell r="A372" t="str">
            <v>Cây vú sữa hoàng kim đường kính thân 5 cm &lt; ĐK thân  ≤ 10 cm</v>
          </cell>
          <cell r="B372" t="str">
            <v>Đồng/cây</v>
          </cell>
          <cell r="C372" t="str">
            <v>374.000</v>
          </cell>
        </row>
        <row r="373">
          <cell r="A373" t="str">
            <v>Cây vú sữa hoàng kim đường kính thân 10 cm &lt; ĐK thân  ≤ 15 cm</v>
          </cell>
          <cell r="B373" t="str">
            <v>Đồng/cây</v>
          </cell>
          <cell r="C373" t="str">
            <v>1.368.000</v>
          </cell>
        </row>
        <row r="374">
          <cell r="A374" t="str">
            <v>Cây vú sữa hoàng kim đường kính thân 15 cm &lt; ĐK thân  ≤ 20 cm</v>
          </cell>
          <cell r="B374" t="str">
            <v>Đồng/cây</v>
          </cell>
          <cell r="C374" t="str">
            <v>1.866.000</v>
          </cell>
        </row>
        <row r="375">
          <cell r="A375" t="str">
            <v>Cây vú sữa hoàng kim đường kính thân 20 cm &lt; ĐK thân  ≤ 30 cm</v>
          </cell>
          <cell r="B375" t="str">
            <v>Đồng/cây</v>
          </cell>
          <cell r="C375" t="str">
            <v>3.732.000</v>
          </cell>
        </row>
        <row r="376">
          <cell r="A376" t="str">
            <v>Cây vú sữa hoàng kim ĐK thân &gt;30 cm</v>
          </cell>
          <cell r="B376" t="str">
            <v>Đông/cây</v>
          </cell>
          <cell r="C376" t="str">
            <v>4.480.000</v>
          </cell>
        </row>
        <row r="377">
          <cell r="A377" t="str">
            <v>Cây na (na dai, na bở)</v>
          </cell>
        </row>
        <row r="378">
          <cell r="A378" t="str">
            <v>Cây na giống đủ tiêu chuẩn mới trồng, chiều cao cây H ≥ 40cm</v>
          </cell>
          <cell r="B378" t="str">
            <v>Đồng/cây</v>
          </cell>
          <cell r="C378" t="str">
            <v>25.000</v>
          </cell>
        </row>
        <row r="379">
          <cell r="A379" t="str">
            <v>Cây na ĐK thân ≤ 3 cm</v>
          </cell>
          <cell r="B379" t="str">
            <v>Đồng/cây</v>
          </cell>
          <cell r="C379" t="str">
            <v>124.000</v>
          </cell>
        </row>
        <row r="380">
          <cell r="A380" t="str">
            <v>Cây na đường kính thân 3 cm &lt; ĐK thân ≤ 5 cm</v>
          </cell>
          <cell r="B380" t="str">
            <v>Đồng/cây</v>
          </cell>
          <cell r="C380" t="str">
            <v>274.000</v>
          </cell>
        </row>
        <row r="381">
          <cell r="A381" t="str">
            <v>Cây na đường kính thân 5 cm &lt; ĐK thân ≤ 7 cm</v>
          </cell>
          <cell r="B381" t="str">
            <v>Đồng/cây</v>
          </cell>
          <cell r="C381" t="str">
            <v>547.000</v>
          </cell>
        </row>
        <row r="382">
          <cell r="A382" t="str">
            <v>Cây na đường kính thân 7 cm &lt; ĐK thân ≤ 10 cm</v>
          </cell>
          <cell r="B382" t="str">
            <v>Đồng/cây</v>
          </cell>
          <cell r="C382" t="str">
            <v>834.000</v>
          </cell>
        </row>
        <row r="383">
          <cell r="A383" t="str">
            <v>Cây na ĐK thân &gt; 10 cm</v>
          </cell>
          <cell r="B383" t="str">
            <v>Đồng/cây</v>
          </cell>
          <cell r="C383" t="str">
            <v>1.244.000</v>
          </cell>
        </row>
        <row r="384">
          <cell r="A384" t="str">
            <v>Cây khế</v>
          </cell>
        </row>
        <row r="385">
          <cell r="A385" t="str">
            <v>Cây khế giống Loại cây ghép có chiều cao cây 40cm ≤ H &lt; 1m</v>
          </cell>
          <cell r="B385" t="str">
            <v>Đồng/cây</v>
          </cell>
          <cell r="C385" t="str">
            <v>25.000</v>
          </cell>
        </row>
        <row r="386">
          <cell r="A386" t="str">
            <v>Cây khế giống Loại cây ghép có chiều cao cây H ≥ 1m</v>
          </cell>
          <cell r="B386" t="str">
            <v>Đồng/cây</v>
          </cell>
          <cell r="C386" t="str">
            <v>30.000</v>
          </cell>
        </row>
        <row r="387">
          <cell r="A387" t="str">
            <v>Cây khế ĐK thân ≤ 5 cm</v>
          </cell>
          <cell r="B387" t="str">
            <v>Đồng/cây</v>
          </cell>
          <cell r="C387" t="str">
            <v>100.000</v>
          </cell>
        </row>
        <row r="388">
          <cell r="A388" t="str">
            <v>Cây khế đường kính thân 5 cm &lt; ĐK thân ≤ 10 cm</v>
          </cell>
          <cell r="B388" t="str">
            <v>Đồng/cây</v>
          </cell>
          <cell r="C388" t="str">
            <v>212.000</v>
          </cell>
        </row>
        <row r="389">
          <cell r="A389" t="str">
            <v>Cây khế đường kính thân 10 cm &lt; ĐK thân ≤ 15 cm</v>
          </cell>
          <cell r="B389" t="str">
            <v>Đồng/cây</v>
          </cell>
          <cell r="C389" t="str">
            <v>498.000</v>
          </cell>
        </row>
        <row r="390">
          <cell r="A390" t="str">
            <v>Cây khế đường kính thân 15 cm &lt; ĐK thân ≤ 20 cm</v>
          </cell>
          <cell r="B390" t="str">
            <v>Đồng/cây</v>
          </cell>
          <cell r="C390" t="str">
            <v>1.045.000</v>
          </cell>
        </row>
        <row r="391">
          <cell r="A391" t="str">
            <v>Cây khế đường kính thân 20 cm &lt; ĐK thân ≤ 25 cm</v>
          </cell>
          <cell r="B391" t="str">
            <v>Đồng/cây</v>
          </cell>
          <cell r="C391" t="str">
            <v>1.866.000</v>
          </cell>
        </row>
        <row r="392">
          <cell r="A392" t="str">
            <v>Cây khế ĐK thân &gt; 25 cm</v>
          </cell>
          <cell r="B392" t="str">
            <v>Đồng/cây</v>
          </cell>
          <cell r="C392" t="str">
            <v>2.240.000</v>
          </cell>
        </row>
        <row r="393">
          <cell r="A393" t="str">
            <v>Cây ổi</v>
          </cell>
        </row>
        <row r="394">
          <cell r="A394" t="str">
            <v>Cây ổi giống Loại cây ghép có chiều cao cây 40cm ≤ H &lt; 1m</v>
          </cell>
          <cell r="B394" t="str">
            <v>Đồng/cây</v>
          </cell>
          <cell r="C394" t="str">
            <v>25.000</v>
          </cell>
        </row>
        <row r="395">
          <cell r="A395" t="str">
            <v>Cây ổi giống Loại cây ghép có chiều cao cây H ≥ 1m</v>
          </cell>
          <cell r="B395" t="str">
            <v>Đồng/cây</v>
          </cell>
          <cell r="C395" t="str">
            <v>30.000</v>
          </cell>
        </row>
        <row r="396">
          <cell r="A396" t="str">
            <v>Cây ổi giống Loại cây chiết có chiều cao cây 40cm ≤ H &lt; 1 m</v>
          </cell>
          <cell r="B396" t="str">
            <v>Đồng/cây</v>
          </cell>
          <cell r="C396" t="str">
            <v>30.000</v>
          </cell>
        </row>
        <row r="397">
          <cell r="A397" t="str">
            <v>Cây ổi ĐK thân ≤ 5 cm</v>
          </cell>
          <cell r="B397" t="str">
            <v>Đồng/cây</v>
          </cell>
          <cell r="C397" t="str">
            <v>149.000</v>
          </cell>
        </row>
        <row r="398">
          <cell r="A398" t="str">
            <v>Cây ổi đường kính thân 5 cm &lt; ĐK thân ≤ 10 cm</v>
          </cell>
          <cell r="B398" t="str">
            <v>Đồng/cây</v>
          </cell>
          <cell r="C398" t="str">
            <v>311.000</v>
          </cell>
        </row>
        <row r="399">
          <cell r="A399" t="str">
            <v>Cây ổi đường kính thân 10 cm &lt; ĐK thân ≤ 15 cm</v>
          </cell>
          <cell r="B399" t="str">
            <v>Đông/cây</v>
          </cell>
          <cell r="C399" t="str">
            <v>473.000</v>
          </cell>
        </row>
        <row r="400">
          <cell r="A400" t="str">
            <v>Cây ổi đường kính thân 15 cm &lt; ĐK thân ≤ 20 cm</v>
          </cell>
          <cell r="B400" t="str">
            <v>Đồng/cây</v>
          </cell>
          <cell r="C400" t="str">
            <v>622.000</v>
          </cell>
        </row>
        <row r="401">
          <cell r="A401" t="str">
            <v>Cây ổi ĐK thân &gt; 20 cm</v>
          </cell>
          <cell r="B401" t="str">
            <v>Đông/cây</v>
          </cell>
          <cell r="C401" t="str">
            <v>871.000</v>
          </cell>
        </row>
        <row r="402">
          <cell r="A402" t="str">
            <v>Cây nhãn</v>
          </cell>
        </row>
        <row r="403">
          <cell r="A403" t="str">
            <v>Cây nhãn giống Loại cây ghép có chiều cao cây 40cm ≤ H &lt; 1m</v>
          </cell>
          <cell r="B403" t="str">
            <v>Đồng/cây</v>
          </cell>
          <cell r="C403" t="str">
            <v>25.000</v>
          </cell>
        </row>
        <row r="404">
          <cell r="A404" t="str">
            <v>Cây nhãn giống Loại cây ghép có chiều cao cây H ≥ 1m</v>
          </cell>
          <cell r="B404" t="str">
            <v>Đồng/cây</v>
          </cell>
          <cell r="C404" t="str">
            <v>30.000</v>
          </cell>
        </row>
        <row r="405">
          <cell r="A405" t="str">
            <v>Cây nhãn giống Loại cây chiết cành có chiều cao 40cm  ≤ H &lt; 1m</v>
          </cell>
          <cell r="B405" t="str">
            <v>Đồng/cây</v>
          </cell>
          <cell r="C405" t="str">
            <v>30.000</v>
          </cell>
        </row>
        <row r="406">
          <cell r="A406" t="str">
            <v>Cây nhãn giống Loại cây chiết cành có chiều cao cây H ≥ 1m</v>
          </cell>
          <cell r="B406" t="str">
            <v>Đồng/cây</v>
          </cell>
          <cell r="C406" t="str">
            <v>40.000</v>
          </cell>
        </row>
        <row r="407">
          <cell r="A407" t="str">
            <v>Cây nhãn ĐK thân ≤ 5 cm</v>
          </cell>
          <cell r="B407" t="str">
            <v>Đồng/cây</v>
          </cell>
          <cell r="C407" t="str">
            <v>124.000</v>
          </cell>
        </row>
        <row r="408">
          <cell r="A408" t="str">
            <v>Cây nhãn đường kính thân 5 cm &lt; ĐK thân ≤ 10cm</v>
          </cell>
          <cell r="B408" t="str">
            <v>Đồng/cây</v>
          </cell>
          <cell r="C408" t="str">
            <v>249.000</v>
          </cell>
        </row>
        <row r="409">
          <cell r="A409" t="str">
            <v>Cây nhãn đường kính thân 10 cm &lt; ĐK thân ≤ 15 cm</v>
          </cell>
          <cell r="B409" t="str">
            <v>Đồng/cây</v>
          </cell>
          <cell r="C409" t="str">
            <v>336.000</v>
          </cell>
        </row>
        <row r="410">
          <cell r="A410" t="str">
            <v>Cây nhãn đường kính thân 15 cm &lt; ĐK thân ≤ 20 cm</v>
          </cell>
          <cell r="B410" t="str">
            <v>Đồng/cây</v>
          </cell>
          <cell r="C410" t="str">
            <v>585.000</v>
          </cell>
        </row>
        <row r="411">
          <cell r="A411" t="str">
            <v>Cây nhãn đường kính thân 20 cm &lt; ĐK thân ≤ 25 cm</v>
          </cell>
          <cell r="B411" t="str">
            <v>Đồng/cây</v>
          </cell>
          <cell r="C411" t="str">
            <v>933.000</v>
          </cell>
        </row>
        <row r="412">
          <cell r="A412" t="str">
            <v>Cây nhãn đường kính thân 25 cm &lt; ĐK thân ≤ 30 cm</v>
          </cell>
          <cell r="B412" t="str">
            <v>Đồng/cây</v>
          </cell>
          <cell r="C412" t="str">
            <v>1.555.000</v>
          </cell>
        </row>
        <row r="413">
          <cell r="A413" t="str">
            <v>Cây nhãn đường kính thân 30 cm &lt; ĐK thân ≤ 40 cm</v>
          </cell>
          <cell r="B413" t="str">
            <v>Đồng/cây</v>
          </cell>
          <cell r="C413" t="str">
            <v>2.737.000</v>
          </cell>
        </row>
        <row r="414">
          <cell r="A414" t="str">
            <v>Cây nhãn ĐK thân &gt; 40 cm</v>
          </cell>
          <cell r="B414" t="str">
            <v>Đồng/cây</v>
          </cell>
          <cell r="C414" t="str">
            <v>3.981.000</v>
          </cell>
        </row>
        <row r="415">
          <cell r="A415" t="str">
            <v>Cây vải</v>
          </cell>
        </row>
        <row r="416">
          <cell r="A416" t="str">
            <v>Cây vải giống Loại cây ghép có chiều cao cây 40cm ≤ H &lt; 1m</v>
          </cell>
          <cell r="B416" t="str">
            <v>Đồng/cây</v>
          </cell>
          <cell r="C416" t="str">
            <v>25.000</v>
          </cell>
        </row>
        <row r="417">
          <cell r="A417" t="str">
            <v>Cây vải giống Loại cây ghép có chiều cao cây H ≥ 1m</v>
          </cell>
          <cell r="B417" t="str">
            <v>Đồng/cây</v>
          </cell>
          <cell r="C417" t="str">
            <v>30.000</v>
          </cell>
        </row>
        <row r="418">
          <cell r="A418" t="str">
            <v>Cây vải giống Loại cây chiết cành có chiều cao 40cm  ≤ H &lt; 1m</v>
          </cell>
          <cell r="B418" t="str">
            <v>Đồng/cây</v>
          </cell>
          <cell r="C418" t="str">
            <v>30.000</v>
          </cell>
        </row>
        <row r="419">
          <cell r="A419" t="str">
            <v>Cây vải giống Loại cây chiết cành có chiều cao cây H ≥ 1m</v>
          </cell>
          <cell r="B419" t="str">
            <v>Đồng/cây</v>
          </cell>
          <cell r="C419" t="str">
            <v>40.000</v>
          </cell>
        </row>
        <row r="420">
          <cell r="A420" t="str">
            <v>Cây vải ĐK thân ≤ 5 cm</v>
          </cell>
          <cell r="B420" t="str">
            <v>Đồng/cây</v>
          </cell>
          <cell r="C420" t="str">
            <v>124.000</v>
          </cell>
        </row>
        <row r="421">
          <cell r="A421" t="str">
            <v>Cây vải đường kính thân 5 cm &lt; ĐK thân ≤ 10cm</v>
          </cell>
          <cell r="B421" t="str">
            <v>Đồng/cây</v>
          </cell>
          <cell r="C421" t="str">
            <v>249.000</v>
          </cell>
        </row>
        <row r="422">
          <cell r="A422" t="str">
            <v>Cây vải đường kính thân 10 cm &lt; ĐK thân ≤ 15 cm</v>
          </cell>
          <cell r="B422" t="str">
            <v>Đồng/cây</v>
          </cell>
          <cell r="C422" t="str">
            <v>336.000</v>
          </cell>
        </row>
        <row r="423">
          <cell r="A423" t="str">
            <v>Cây vải đường kính thân 15 cm &lt; ĐK thân ≤ 20 cm</v>
          </cell>
          <cell r="B423" t="str">
            <v>Đồng/cây</v>
          </cell>
          <cell r="C423" t="str">
            <v>585.000</v>
          </cell>
        </row>
        <row r="424">
          <cell r="A424" t="str">
            <v>Cây vải đường kính thân 20 cm &lt; ĐK thân ≤ 25 cm</v>
          </cell>
          <cell r="B424" t="str">
            <v>Đồng/cây</v>
          </cell>
          <cell r="C424" t="str">
            <v>933.000</v>
          </cell>
        </row>
        <row r="425">
          <cell r="A425" t="str">
            <v>Cây vải đường kính thân 25 cm &lt; ĐK thân ≤ 30 cm</v>
          </cell>
          <cell r="B425" t="str">
            <v>Đồng/cây</v>
          </cell>
          <cell r="C425" t="str">
            <v>1.555.000</v>
          </cell>
        </row>
        <row r="426">
          <cell r="A426" t="str">
            <v>Cây vải đường kính thân 30 cm &lt; ĐK thân ≤ 40 cm</v>
          </cell>
          <cell r="B426" t="str">
            <v>Đồng/cây</v>
          </cell>
          <cell r="C426" t="str">
            <v>2.737.000</v>
          </cell>
        </row>
        <row r="427">
          <cell r="A427" t="str">
            <v>Cây vải ĐK thân &gt; 40 cm</v>
          </cell>
          <cell r="B427" t="str">
            <v>Đồng/cây</v>
          </cell>
          <cell r="C427" t="str">
            <v>3.981.000</v>
          </cell>
        </row>
        <row r="428">
          <cell r="A428" t="str">
            <v>Cây đu đủ</v>
          </cell>
        </row>
        <row r="429">
          <cell r="A429" t="str">
            <v>Cây đu đủ giống đủ tiêu chuẩn mới trồng, chiều cao cây H ≥ 40cm</v>
          </cell>
          <cell r="B429" t="str">
            <v>Đồng/cây</v>
          </cell>
          <cell r="C429" t="str">
            <v>5.000</v>
          </cell>
        </row>
        <row r="430">
          <cell r="A430" t="str">
            <v>Cây đu đủ ĐK thân ≤ 3 cm</v>
          </cell>
          <cell r="B430" t="str">
            <v>Đồng/cây</v>
          </cell>
          <cell r="C430" t="str">
            <v>44.000</v>
          </cell>
        </row>
        <row r="431">
          <cell r="A431" t="str">
            <v>Cây đu đủ đường kính thân 3 cm &lt; ĐK thân ≤ 7 cm</v>
          </cell>
          <cell r="B431" t="str">
            <v>Đồng/cây</v>
          </cell>
          <cell r="C431" t="str">
            <v>124.000</v>
          </cell>
        </row>
        <row r="432">
          <cell r="A432" t="str">
            <v>Cây đu đủ đường kính thân 7 cm &lt; ĐK thân ≤ 10 cm</v>
          </cell>
          <cell r="B432" t="str">
            <v>Đồng/cây</v>
          </cell>
          <cell r="C432" t="str">
            <v>373.000</v>
          </cell>
        </row>
        <row r="433">
          <cell r="A433" t="str">
            <v>Cây đu đủ đường kính thân ĐK thân &gt; 10 cm</v>
          </cell>
          <cell r="B433" t="str">
            <v>Đồng/cây</v>
          </cell>
          <cell r="C433" t="str">
            <v>622.000</v>
          </cell>
        </row>
        <row r="434">
          <cell r="A434" t="str">
            <v>Cây trứng gà</v>
          </cell>
        </row>
        <row r="435">
          <cell r="A435" t="str">
            <v>Cây trứng gà giống đủ tiêu chuẩn mới trồng, chiều cao cây H  ≥ 40cm</v>
          </cell>
          <cell r="B435" t="str">
            <v>Đồng/cây</v>
          </cell>
          <cell r="C435" t="str">
            <v>20.000</v>
          </cell>
        </row>
        <row r="436">
          <cell r="A436" t="str">
            <v>Cây trứng gà ĐK thân ≤5 cm</v>
          </cell>
          <cell r="B436" t="str">
            <v>Đồng/cây</v>
          </cell>
          <cell r="C436" t="str">
            <v>68.000</v>
          </cell>
        </row>
        <row r="437">
          <cell r="A437" t="str">
            <v>Cây trứng gà đường kính thân 5 cm &lt; ĐK thân ≤ 10 cm</v>
          </cell>
          <cell r="B437" t="str">
            <v>Đông/cây</v>
          </cell>
          <cell r="C437" t="str">
            <v>162.000</v>
          </cell>
        </row>
        <row r="438">
          <cell r="A438" t="str">
            <v>Cây trứng gà đường kính thân 10 cm &lt; ĐK thân ≤ 15 cm</v>
          </cell>
          <cell r="B438" t="str">
            <v>Đông/cây</v>
          </cell>
          <cell r="C438" t="str">
            <v>249.000</v>
          </cell>
        </row>
        <row r="439">
          <cell r="A439" t="str">
            <v>Cây trứng gà đường kính thân 15 cm &lt; ĐK thân ≤ 20 cm</v>
          </cell>
          <cell r="B439" t="str">
            <v>Đồng/cây</v>
          </cell>
          <cell r="C439" t="str">
            <v>398.000</v>
          </cell>
        </row>
        <row r="440">
          <cell r="A440" t="str">
            <v>Cây trứng gà đường kính thân 20 cm &lt; ĐK thân ≤ 25 cm</v>
          </cell>
          <cell r="B440" t="str">
            <v>Đông/cây</v>
          </cell>
          <cell r="C440" t="str">
            <v>622.000</v>
          </cell>
        </row>
        <row r="441">
          <cell r="A441" t="str">
            <v>Cây trứng gà ĐK thân &gt; 25 cm</v>
          </cell>
          <cell r="B441" t="str">
            <v>Đồng/cây</v>
          </cell>
          <cell r="C441" t="str">
            <v>896.000</v>
          </cell>
        </row>
        <row r="442">
          <cell r="A442" t="str">
            <v>Cây dừa</v>
          </cell>
        </row>
        <row r="443">
          <cell r="A443" t="str">
            <v>Cây dừa giống đủ tiêu chuẩn mới trồng</v>
          </cell>
          <cell r="B443" t="str">
            <v>Đồng/cây</v>
          </cell>
          <cell r="C443" t="str">
            <v>35.000</v>
          </cell>
        </row>
        <row r="444">
          <cell r="A444" t="str">
            <v>Cây dừa ĐK thân ≤ 10 cm</v>
          </cell>
          <cell r="B444" t="str">
            <v>Đồng/cây</v>
          </cell>
          <cell r="C444" t="str">
            <v>149.000</v>
          </cell>
        </row>
        <row r="445">
          <cell r="A445" t="str">
            <v>Cây dừa đường kính thân 10 cm &lt; ĐK thân ≤ 15 cm</v>
          </cell>
          <cell r="B445" t="str">
            <v>Đồng/cây</v>
          </cell>
          <cell r="C445" t="str">
            <v>249.000</v>
          </cell>
        </row>
        <row r="446">
          <cell r="A446" t="str">
            <v>Cây dừa đường kính thân 15 cm &lt; ĐK thân ≤ 25 cm</v>
          </cell>
          <cell r="B446" t="str">
            <v>Đồng/cây</v>
          </cell>
          <cell r="C446" t="str">
            <v>398.000</v>
          </cell>
        </row>
        <row r="447">
          <cell r="A447" t="str">
            <v>Cây dừa đường kính thân 25 cm &lt; ĐK thân ≤ 40 cm</v>
          </cell>
          <cell r="B447" t="str">
            <v>Đồng/cây</v>
          </cell>
          <cell r="C447" t="str">
            <v>871.000</v>
          </cell>
        </row>
        <row r="448">
          <cell r="A448" t="str">
            <v>Cây dừa đường kính thân 40 cm &lt; ĐK thân ≤ 55 cm</v>
          </cell>
          <cell r="B448" t="str">
            <v>Đồng/cây</v>
          </cell>
          <cell r="C448" t="str">
            <v>1.866.000</v>
          </cell>
        </row>
        <row r="449">
          <cell r="A449" t="str">
            <v>Cây dừa ĐK thân &gt; 55 cm</v>
          </cell>
          <cell r="B449" t="str">
            <v>Đồng/cây</v>
          </cell>
          <cell r="C449" t="str">
            <v>2.737.000</v>
          </cell>
        </row>
        <row r="450">
          <cell r="A450" t="str">
            <v>Cây me</v>
          </cell>
        </row>
        <row r="451">
          <cell r="A451" t="str">
            <v>Cây me giống đủ tiêu chuẩn mới trồng, chiều cao cây H  ≥ 40cm</v>
          </cell>
          <cell r="B451" t="str">
            <v>Đồng/cây</v>
          </cell>
          <cell r="C451" t="str">
            <v>25.000</v>
          </cell>
        </row>
        <row r="452">
          <cell r="A452" t="str">
            <v>Cây me ĐK thân ≤ 5 cm</v>
          </cell>
          <cell r="B452" t="str">
            <v>Đồng/cây</v>
          </cell>
          <cell r="C452" t="str">
            <v>100.000</v>
          </cell>
        </row>
        <row r="453">
          <cell r="A453" t="str">
            <v>Cây me đường kính thân 5 cm &lt; ĐK thân ≤ 10 cm</v>
          </cell>
          <cell r="B453" t="str">
            <v>Đồng/cây</v>
          </cell>
          <cell r="C453" t="str">
            <v>249.000</v>
          </cell>
        </row>
        <row r="454">
          <cell r="A454" t="str">
            <v>Cây me đường kính thân 10 cm &lt; ĐK thân ≤ 20 cm</v>
          </cell>
          <cell r="B454" t="str">
            <v>Đồng/cây</v>
          </cell>
          <cell r="C454" t="str">
            <v>747.000</v>
          </cell>
        </row>
        <row r="455">
          <cell r="A455" t="str">
            <v>Cây me đường kính thân 20 cm &lt; ĐK thân ≤ 30 cm</v>
          </cell>
          <cell r="B455" t="str">
            <v>Đồng/cây</v>
          </cell>
          <cell r="C455" t="str">
            <v>2.240.000</v>
          </cell>
        </row>
        <row r="456">
          <cell r="A456" t="str">
            <v>Cây me ĐK thân &gt; 30 cm</v>
          </cell>
          <cell r="B456" t="str">
            <v>Đồng/cây</v>
          </cell>
          <cell r="C456" t="str">
            <v>3.733.000</v>
          </cell>
        </row>
        <row r="457">
          <cell r="A457" t="str">
            <v>Cây sấu</v>
          </cell>
        </row>
        <row r="458">
          <cell r="A458" t="str">
            <v>Cây sấu Giống đủ tiêu chuẩn mới trồng, chiều cao cây H ≥ 40cm</v>
          </cell>
          <cell r="B458" t="str">
            <v>Đồng/cây</v>
          </cell>
          <cell r="C458" t="str">
            <v>20.000</v>
          </cell>
        </row>
        <row r="459">
          <cell r="A459" t="str">
            <v>Cây sấu ĐK thân ≤5 cm</v>
          </cell>
          <cell r="B459" t="str">
            <v>Đồng/cây</v>
          </cell>
          <cell r="C459" t="str">
            <v>106.000</v>
          </cell>
        </row>
        <row r="460">
          <cell r="A460" t="str">
            <v>Cây sấu đường kính thân 5 cm &lt; ĐK thân ≤ 10 cm</v>
          </cell>
          <cell r="B460" t="str">
            <v>Đồng/cây</v>
          </cell>
          <cell r="C460" t="str">
            <v>224.000</v>
          </cell>
        </row>
        <row r="461">
          <cell r="A461" t="str">
            <v>Cây sấu đường kính thân 10 cm &lt; ĐK thân ≤ 15 cm</v>
          </cell>
          <cell r="B461" t="str">
            <v>Đồng/cây</v>
          </cell>
          <cell r="C461" t="str">
            <v>435.000</v>
          </cell>
        </row>
        <row r="462">
          <cell r="A462" t="str">
            <v>Cây sấu đường kính thân 15 cm &lt; ĐK thân ≤ 20 cm</v>
          </cell>
          <cell r="B462" t="str">
            <v>Đồng/cây</v>
          </cell>
          <cell r="C462" t="str">
            <v>1.120.000</v>
          </cell>
        </row>
        <row r="463">
          <cell r="A463" t="str">
            <v>Cây sấu đường kính thân 20 cm &lt; ĐK thân ≤ 30 cm</v>
          </cell>
          <cell r="B463" t="str">
            <v>Đồng/cây</v>
          </cell>
          <cell r="C463" t="str">
            <v>2.240.000</v>
          </cell>
        </row>
        <row r="464">
          <cell r="A464" t="str">
            <v>Cây sấu đường kính thân 30 cm &lt; ĐK thân ≤ 40 cm</v>
          </cell>
          <cell r="B464" t="str">
            <v>Đồng/cây</v>
          </cell>
          <cell r="C464" t="str">
            <v>3.111.000</v>
          </cell>
        </row>
        <row r="465">
          <cell r="A465" t="str">
            <v>Cây sấu ĐK thân &gt; 40 cm</v>
          </cell>
          <cell r="B465" t="str">
            <v>Đông/cây</v>
          </cell>
          <cell r="C465" t="str">
            <v>4.355.000</v>
          </cell>
        </row>
        <row r="466">
          <cell r="A466" t="str">
            <v>Cây vối</v>
          </cell>
        </row>
        <row r="467">
          <cell r="A467" t="str">
            <v>Cây vối Giống đủ tiêu chuẩn mới trồng, chiều cao cây H &gt; 40cm</v>
          </cell>
          <cell r="B467" t="str">
            <v>Đồng/cây</v>
          </cell>
          <cell r="C467" t="str">
            <v>5.000</v>
          </cell>
        </row>
        <row r="468">
          <cell r="A468" t="str">
            <v>Cây vối ĐK thân ≤5 cm</v>
          </cell>
          <cell r="B468" t="str">
            <v>Đồng/cây</v>
          </cell>
          <cell r="C468" t="str">
            <v>37.000</v>
          </cell>
        </row>
        <row r="469">
          <cell r="A469" t="str">
            <v>Cây vối đường kính thân 5 cm &lt; ĐK thân ≤10 cm</v>
          </cell>
          <cell r="B469" t="str">
            <v>Đồng/cây</v>
          </cell>
          <cell r="C469" t="str">
            <v>124.000</v>
          </cell>
        </row>
        <row r="470">
          <cell r="A470" t="str">
            <v>Cây vối đường kính thân 10 cm &lt; ĐK thân ≤15 cm</v>
          </cell>
          <cell r="B470" t="str">
            <v>Đồng/cây</v>
          </cell>
          <cell r="C470" t="str">
            <v>249.000</v>
          </cell>
        </row>
        <row r="471">
          <cell r="A471" t="str">
            <v>Cây vối đường kính thân 15 cm &lt; ĐK thân ≤25 cm</v>
          </cell>
          <cell r="B471" t="str">
            <v>Đồng/cây</v>
          </cell>
          <cell r="C471" t="str">
            <v>435.000</v>
          </cell>
        </row>
        <row r="472">
          <cell r="A472" t="str">
            <v>Cây vối ĐK thân &gt; 25 cm</v>
          </cell>
          <cell r="B472" t="str">
            <v>Đồng/cây</v>
          </cell>
          <cell r="C472" t="str">
            <v>622.000</v>
          </cell>
        </row>
        <row r="473">
          <cell r="A473" t="str">
            <v>Cây bơ</v>
          </cell>
          <cell r="C473" t="str">
            <v>—</v>
          </cell>
        </row>
        <row r="474">
          <cell r="A474" t="str">
            <v>Cây bơ mới trồng &lt; 01 năm (cây từ hạt)</v>
          </cell>
          <cell r="B474" t="str">
            <v>Đồng/cây</v>
          </cell>
          <cell r="C474" t="str">
            <v>20.000</v>
          </cell>
        </row>
        <row r="475">
          <cell r="A475" t="str">
            <v>Cây bơ mới trồng &lt; 01 năm (cây ghép)</v>
          </cell>
          <cell r="B475" t="str">
            <v>Đồng/cây</v>
          </cell>
          <cell r="C475" t="str">
            <v>40.000</v>
          </cell>
        </row>
        <row r="476">
          <cell r="A476" t="str">
            <v>Cây bơ ĐK thân ≤5 cm</v>
          </cell>
          <cell r="B476" t="str">
            <v>Đồng/cây</v>
          </cell>
          <cell r="C476" t="str">
            <v>124.000</v>
          </cell>
        </row>
        <row r="477">
          <cell r="A477" t="str">
            <v>Cây bơ đường kính thân 5 cm &lt; ĐK thân ≤10 cm</v>
          </cell>
          <cell r="B477" t="str">
            <v>Đồng/cây</v>
          </cell>
          <cell r="C477" t="str">
            <v>311.000</v>
          </cell>
        </row>
        <row r="478">
          <cell r="A478" t="str">
            <v>Cây bơ đường kính thân 10 cm &lt; ĐK thân ≤15 cm</v>
          </cell>
          <cell r="B478" t="str">
            <v>Đồng/cây</v>
          </cell>
          <cell r="C478" t="str">
            <v>560.000</v>
          </cell>
        </row>
        <row r="479">
          <cell r="A479" t="str">
            <v>Cây bơ ĐK thân &gt; 15 cm</v>
          </cell>
          <cell r="B479" t="str">
            <v>Đồng/cây</v>
          </cell>
          <cell r="C479" t="str">
            <v>1.120.000</v>
          </cell>
        </row>
        <row r="480">
          <cell r="A480" t="str">
            <v>Cây cóc</v>
          </cell>
        </row>
        <row r="481">
          <cell r="A481" t="str">
            <v>Cây cóc ĐK thân ≤5 cm</v>
          </cell>
          <cell r="B481" t="str">
            <v>Đồng/cây</v>
          </cell>
          <cell r="C481" t="str">
            <v>65.000</v>
          </cell>
        </row>
        <row r="482">
          <cell r="A482" t="str">
            <v>Cây cóc đường kính thân 5 cm &lt; ĐK thân ≤10 cm</v>
          </cell>
          <cell r="B482" t="str">
            <v>Đồng/cây</v>
          </cell>
          <cell r="C482" t="str">
            <v>210.000</v>
          </cell>
        </row>
        <row r="483">
          <cell r="A483" t="str">
            <v>Cây cóc đường kính thân 10 cm &lt; ĐK thân ≤15 cm</v>
          </cell>
          <cell r="B483" t="str">
            <v>Đồng/cây</v>
          </cell>
          <cell r="C483" t="str">
            <v>300.000</v>
          </cell>
        </row>
        <row r="484">
          <cell r="A484" t="str">
            <v>Cây cóc đường kính thân 15 cm &lt; ĐK thân ≤20 cm</v>
          </cell>
          <cell r="B484" t="str">
            <v>Đồng/cây</v>
          </cell>
          <cell r="C484" t="str">
            <v>400.000</v>
          </cell>
        </row>
        <row r="485">
          <cell r="A485" t="str">
            <v>Cây cóc đường kính thân 20 cm &lt; ĐK thân ≤30 cm</v>
          </cell>
          <cell r="B485" t="str">
            <v>Đồng/cây</v>
          </cell>
          <cell r="C485" t="str">
            <v>540.000</v>
          </cell>
        </row>
        <row r="486">
          <cell r="A486" t="str">
            <v>Cây cóc đường kính thân 30 cm &lt; ĐK thân ≤40 cm</v>
          </cell>
          <cell r="B486" t="str">
            <v>Đồng/cây</v>
          </cell>
          <cell r="C486" t="str">
            <v>720.000</v>
          </cell>
        </row>
        <row r="487">
          <cell r="A487" t="str">
            <v>Cây cóc ĐK thân &gt; 40 cm</v>
          </cell>
          <cell r="B487" t="str">
            <v>Đồng/cây</v>
          </cell>
          <cell r="C487" t="str">
            <v>1.000.000</v>
          </cell>
        </row>
        <row r="488">
          <cell r="A488" t="str">
            <v>Cây quất hồng bì</v>
          </cell>
        </row>
        <row r="489">
          <cell r="A489" t="str">
            <v>Cây quất hồng bì ĐK thân ≤5 cm</v>
          </cell>
          <cell r="B489" t="str">
            <v>Đồng/cây</v>
          </cell>
          <cell r="C489" t="str">
            <v>65.000</v>
          </cell>
        </row>
        <row r="490">
          <cell r="A490" t="str">
            <v>Cây quất hồng bì đường kính thân 5 cm &lt; ĐK thân ≤10 cm</v>
          </cell>
          <cell r="B490" t="str">
            <v>Đồng/cây</v>
          </cell>
          <cell r="C490" t="str">
            <v>210.000</v>
          </cell>
        </row>
        <row r="491">
          <cell r="A491" t="str">
            <v>Cây quất hồng bì đường kính thân 10 cm &lt; ĐK thân ≤15 cm</v>
          </cell>
          <cell r="B491" t="str">
            <v>Đồng/cây</v>
          </cell>
          <cell r="C491" t="str">
            <v>300.000</v>
          </cell>
        </row>
        <row r="492">
          <cell r="A492" t="str">
            <v>Cây quất hồng bì đường kính thân 15 cm &lt; ĐK thân ≤20 cm</v>
          </cell>
          <cell r="B492" t="str">
            <v>Đồng/cây</v>
          </cell>
          <cell r="C492" t="str">
            <v>400.000</v>
          </cell>
        </row>
        <row r="493">
          <cell r="A493" t="str">
            <v>Cây quất hồng bì đường kính thân 20 cm &lt; ĐK thân ≤30 cm</v>
          </cell>
          <cell r="B493" t="str">
            <v>Đồng/cây</v>
          </cell>
          <cell r="C493" t="str">
            <v>540.000</v>
          </cell>
        </row>
        <row r="494">
          <cell r="A494" t="str">
            <v>Cây quất hồng bì đường kính thân 30 cm &lt; ĐK thân ≤40 cm</v>
          </cell>
          <cell r="B494" t="str">
            <v>Đồng/cây</v>
          </cell>
          <cell r="C494" t="str">
            <v>720.000</v>
          </cell>
        </row>
        <row r="495">
          <cell r="A495" t="str">
            <v>Cây quất hồng bì ĐK thân &gt; 40 cm</v>
          </cell>
          <cell r="B495" t="str">
            <v>Đồng/cây</v>
          </cell>
          <cell r="C495" t="str">
            <v>1.000.000</v>
          </cell>
        </row>
        <row r="496">
          <cell r="A496" t="str">
            <v>Cây sung quả</v>
          </cell>
        </row>
        <row r="497">
          <cell r="A497" t="str">
            <v>Cây sung quả Giống đủ tiêu chuẩn mới trồng, chiều cao cây H ≥ 40cm</v>
          </cell>
          <cell r="B497" t="str">
            <v>Đồng/cây</v>
          </cell>
          <cell r="C497" t="str">
            <v>15.000</v>
          </cell>
        </row>
        <row r="498">
          <cell r="A498" t="str">
            <v>Cây sung quả ĐK thân ≤5 cm</v>
          </cell>
          <cell r="B498" t="str">
            <v>Đồng/cây</v>
          </cell>
          <cell r="C498" t="str">
            <v>68.000</v>
          </cell>
        </row>
        <row r="499">
          <cell r="A499" t="str">
            <v>Cây sung quả đường kính thân 5 cm &lt; ĐK thân ≤10 cm</v>
          </cell>
          <cell r="B499" t="str">
            <v>Đồng/cây</v>
          </cell>
          <cell r="C499" t="str">
            <v>187.000</v>
          </cell>
        </row>
        <row r="500">
          <cell r="A500" t="str">
            <v>Cây sung quả đường kính thân 10 cm &lt; ĐK thân ≤15 cm</v>
          </cell>
          <cell r="B500" t="str">
            <v>Đồng/cây</v>
          </cell>
          <cell r="C500" t="str">
            <v>373.000</v>
          </cell>
        </row>
        <row r="501">
          <cell r="A501" t="str">
            <v>Cây sung quả đường kính thân 15 cm &lt; ĐK thân ≤25 cm</v>
          </cell>
          <cell r="B501" t="str">
            <v>Đồng/cây</v>
          </cell>
          <cell r="C501" t="str">
            <v>560.000</v>
          </cell>
        </row>
        <row r="502">
          <cell r="A502" t="str">
            <v>Cây sung quả đường kính thân 25 cm &lt; ĐK thân ≤40 cm</v>
          </cell>
          <cell r="B502" t="str">
            <v>Đồng/cây</v>
          </cell>
          <cell r="C502" t="str">
            <v>747.000</v>
          </cell>
        </row>
        <row r="503">
          <cell r="A503" t="str">
            <v>Cây sung quả ĐK thân &gt; 40 cm</v>
          </cell>
          <cell r="B503" t="str">
            <v>Đồng/cây</v>
          </cell>
          <cell r="C503" t="str">
            <v>1.120.000</v>
          </cell>
        </row>
        <row r="504">
          <cell r="A504" t="str">
            <v>Cây thị</v>
          </cell>
        </row>
        <row r="505">
          <cell r="A505" t="str">
            <v>Cây thị ĐK thân ≤5 cm</v>
          </cell>
          <cell r="B505" t="str">
            <v>Đồng/cây</v>
          </cell>
          <cell r="C505" t="str">
            <v>62.000</v>
          </cell>
        </row>
        <row r="506">
          <cell r="A506" t="str">
            <v>Cây thị đường kính thân 5 cm &lt; ĐK thân ≤10 cm</v>
          </cell>
          <cell r="B506" t="str">
            <v>Đồng/cây</v>
          </cell>
          <cell r="C506" t="str">
            <v>199.000</v>
          </cell>
        </row>
        <row r="507">
          <cell r="A507" t="str">
            <v>Cây thị đường kính thân 10 cm &lt; ĐK thân ≤15 cm</v>
          </cell>
          <cell r="B507" t="str">
            <v>Đồng/cây</v>
          </cell>
          <cell r="C507" t="str">
            <v>373.000</v>
          </cell>
        </row>
        <row r="508">
          <cell r="A508" t="str">
            <v>Cây thị đường kính thân 15 cm &lt; ĐK thân ≤25 cm</v>
          </cell>
          <cell r="B508" t="str">
            <v>Đồng/cây</v>
          </cell>
          <cell r="C508" t="str">
            <v>460.000</v>
          </cell>
        </row>
        <row r="509">
          <cell r="A509" t="str">
            <v>Cây thị đường kính thân 25 cm &lt; ĐK thân ≤35 cm</v>
          </cell>
          <cell r="B509" t="str">
            <v>Đồng/cây</v>
          </cell>
          <cell r="C509" t="str">
            <v>722.000</v>
          </cell>
        </row>
        <row r="510">
          <cell r="A510" t="str">
            <v>Cây thị đường kính thân 35 cm &lt; ĐK thân ≤50 cm</v>
          </cell>
          <cell r="B510" t="str">
            <v>Đồng/cây .</v>
          </cell>
          <cell r="C510" t="str">
            <v>984.000</v>
          </cell>
        </row>
        <row r="511">
          <cell r="A511" t="str">
            <v>Cây thị ĐK thân &gt; 50 cm</v>
          </cell>
          <cell r="B511" t="str">
            <v>Đồng/cây</v>
          </cell>
          <cell r="C511" t="str">
            <v>1.246.000</v>
          </cell>
        </row>
        <row r="512">
          <cell r="A512" t="str">
            <v>Cây dâu da xoan</v>
          </cell>
        </row>
        <row r="513">
          <cell r="A513" t="str">
            <v>Cây dâu da xoan giống đủ tiêu chuẩn mới trồng, chiều cao cây H ≥ 40cm</v>
          </cell>
          <cell r="B513" t="str">
            <v>Đồng/cây</v>
          </cell>
          <cell r="C513" t="str">
            <v>15.000</v>
          </cell>
        </row>
        <row r="514">
          <cell r="A514" t="str">
            <v>Cây dâu da xoan ĐK thân ≤5 cm</v>
          </cell>
          <cell r="B514" t="str">
            <v>Đồng/cây</v>
          </cell>
          <cell r="C514" t="str">
            <v>100.000</v>
          </cell>
        </row>
        <row r="515">
          <cell r="A515" t="str">
            <v>Cây dâu da xoan đường kính thân 5 cm &lt; ĐK thân ≤10 cm</v>
          </cell>
          <cell r="B515" t="str">
            <v>Đồng/cây</v>
          </cell>
          <cell r="C515" t="str">
            <v>187.000</v>
          </cell>
        </row>
        <row r="516">
          <cell r="A516" t="str">
            <v>Cây dâu da xoan đường kính thân 10 cm &lt; ĐK thân ≤15 cm</v>
          </cell>
          <cell r="B516" t="str">
            <v>Đồng/cây</v>
          </cell>
          <cell r="C516" t="str">
            <v>249.000</v>
          </cell>
        </row>
        <row r="517">
          <cell r="A517" t="str">
            <v>Cây dâu da xoan đường kính thân 15 cm &lt; ĐK thân ≤25 cm</v>
          </cell>
          <cell r="B517" t="str">
            <v>Đồng/cây</v>
          </cell>
          <cell r="C517" t="str">
            <v>336.000</v>
          </cell>
        </row>
        <row r="518">
          <cell r="A518" t="str">
            <v>Cây dâu da xoan đường kính thân 25 cm &lt; ĐK thân ≤40 cm</v>
          </cell>
          <cell r="B518" t="str">
            <v>Đồng/cây</v>
          </cell>
          <cell r="C518" t="str">
            <v>473.000</v>
          </cell>
        </row>
        <row r="519">
          <cell r="A519" t="str">
            <v>Cây dâu da xoan đường kính thân 40 cm &lt; ĐK thân ≤60 cm</v>
          </cell>
          <cell r="B519" t="str">
            <v>Đồng/cây</v>
          </cell>
          <cell r="C519" t="str">
            <v>659.000</v>
          </cell>
        </row>
        <row r="520">
          <cell r="A520" t="str">
            <v>Cây dâu da xoan ĐK thân &gt; 60 cm</v>
          </cell>
          <cell r="B520" t="str">
            <v>Đồng/cây</v>
          </cell>
          <cell r="C520" t="str">
            <v>871.000</v>
          </cell>
        </row>
        <row r="521">
          <cell r="A521" t="str">
            <v>Cây dâu tằm lấy quả</v>
          </cell>
        </row>
        <row r="522">
          <cell r="A522" t="str">
            <v>Cây dâu tằm lấy quả Cây giống đủ tiêu chuẩn mới trồng</v>
          </cell>
          <cell r="B522" t="str">
            <v>Đồng/cây</v>
          </cell>
          <cell r="C522" t="str">
            <v>15.000</v>
          </cell>
        </row>
        <row r="523">
          <cell r="A523" t="str">
            <v>Cây dâu tằm lấy quả ĐK thân &lt; 2 cm</v>
          </cell>
          <cell r="B523" t="str">
            <v>Đông/cây</v>
          </cell>
          <cell r="C523" t="str">
            <v>19.000</v>
          </cell>
        </row>
        <row r="524">
          <cell r="A524" t="str">
            <v>Cây dâu tằm lấy quả đường kính thân 2 cm ≤  ĐK thân &lt;4 cm</v>
          </cell>
          <cell r="B524" t="str">
            <v>Đồng/cây</v>
          </cell>
          <cell r="C524" t="str">
            <v>35.000</v>
          </cell>
        </row>
        <row r="525">
          <cell r="A525" t="str">
            <v>Cây dâu tằm lấy quả đường kính thân 4 cm ≤ ĐK thân &lt;6 cm</v>
          </cell>
          <cell r="B525" t="str">
            <v>Đồng/cây</v>
          </cell>
          <cell r="C525" t="str">
            <v>106.000</v>
          </cell>
        </row>
        <row r="526">
          <cell r="A526" t="str">
            <v>Cây dâu tằm lấy quả đường kính thân 6 cm ≤ ĐK thân ≤10 cm</v>
          </cell>
          <cell r="B526" t="str">
            <v>Đồng/cây</v>
          </cell>
          <cell r="C526" t="str">
            <v>249.000</v>
          </cell>
        </row>
        <row r="527">
          <cell r="A527" t="str">
            <v>Cây dâu tằm lấy quả ĐK thân &gt; 10 cm</v>
          </cell>
          <cell r="B527" t="str">
            <v>Đồng/cây</v>
          </cell>
          <cell r="C527" t="str">
            <v>435.000</v>
          </cell>
        </row>
        <row r="528">
          <cell r="A528" t="str">
            <v>Cây Hoa hồng trồng cắt cành</v>
          </cell>
        </row>
        <row r="529">
          <cell r="A529" t="str">
            <v>Cây Hoa hồng trồng cắt cành ĐK thân ≤1 cm</v>
          </cell>
          <cell r="B529" t="str">
            <v>Đồng/cây</v>
          </cell>
          <cell r="C529" t="str">
            <v>62.000</v>
          </cell>
        </row>
        <row r="530">
          <cell r="A530" t="str">
            <v>Cây Hoa hồng trồng cắt cành đường kính thân 1 cm &lt; ĐK thân ≤2 cm</v>
          </cell>
          <cell r="B530" t="str">
            <v>Đồng/cây</v>
          </cell>
          <cell r="C530" t="str">
            <v>185.000</v>
          </cell>
        </row>
        <row r="531">
          <cell r="A531" t="str">
            <v>Cây Hoa hồng trồng cắt cành đường kính thân 2 cm &lt; ĐK thân ≤3 cm</v>
          </cell>
          <cell r="B531" t="str">
            <v>Đồng/cây</v>
          </cell>
          <cell r="C531" t="str">
            <v>308.000</v>
          </cell>
        </row>
        <row r="532">
          <cell r="A532" t="str">
            <v>Cây Hoa hồng trồng cắt cành đường kính thân 3 cm &lt; ĐK thân ≤5 cm</v>
          </cell>
          <cell r="B532" t="str">
            <v>Đồng/cây</v>
          </cell>
          <cell r="C532" t="str">
            <v>431.000</v>
          </cell>
        </row>
        <row r="533">
          <cell r="A533" t="str">
            <v>Cây Hoa hồng trồng cắt cành ĐK thân &gt; 5 cm</v>
          </cell>
          <cell r="B533" t="str">
            <v>Đồng/cây</v>
          </cell>
          <cell r="C533" t="str">
            <v>554.000</v>
          </cell>
        </row>
        <row r="534">
          <cell r="A534" t="str">
            <v>Cây lê</v>
          </cell>
        </row>
        <row r="535">
          <cell r="A535" t="str">
            <v>Cây lê giống mới trồng</v>
          </cell>
          <cell r="B535" t="str">
            <v>Đồng/cây</v>
          </cell>
          <cell r="C535" t="str">
            <v>15.000</v>
          </cell>
        </row>
        <row r="536">
          <cell r="A536" t="str">
            <v>Cây lê ĐK thân ≤5 cm</v>
          </cell>
          <cell r="B536" t="str">
            <v>Đồng/cây</v>
          </cell>
          <cell r="C536" t="str">
            <v>85.000</v>
          </cell>
        </row>
        <row r="537">
          <cell r="A537" t="str">
            <v>Cây lê đường kính thân 5 cm &lt; ĐK thân ≤7 cm</v>
          </cell>
          <cell r="B537" t="str">
            <v>Đồng/cây</v>
          </cell>
          <cell r="C537" t="str">
            <v>174.000</v>
          </cell>
        </row>
        <row r="538">
          <cell r="A538" t="str">
            <v>Cây lê đường kính thân 7 cm &lt; ĐK thân ≤11 cm</v>
          </cell>
          <cell r="B538" t="str">
            <v>Đồng/cây</v>
          </cell>
          <cell r="C538" t="str">
            <v>398.000</v>
          </cell>
        </row>
        <row r="539">
          <cell r="A539" t="str">
            <v>Cây lê đường kính thân 11 cm &lt; ĐK thân ≤15 cm</v>
          </cell>
          <cell r="B539" t="str">
            <v>Đồng/cây</v>
          </cell>
          <cell r="C539" t="str">
            <v>571.000</v>
          </cell>
        </row>
        <row r="540">
          <cell r="A540" t="str">
            <v>Cây lê đường kính thân 15 cm &lt; ĐK thân ≤20 cm</v>
          </cell>
          <cell r="B540" t="str">
            <v>Đồng/cây</v>
          </cell>
          <cell r="C540" t="str">
            <v>720.000</v>
          </cell>
        </row>
        <row r="541">
          <cell r="A541" t="str">
            <v>Cây lê đường kính thân 20 cm &lt; ĐK thân ≤25 cm</v>
          </cell>
          <cell r="B541" t="str">
            <v>Đồng/cây</v>
          </cell>
          <cell r="C541" t="str">
            <v>893.000</v>
          </cell>
        </row>
        <row r="542">
          <cell r="A542" t="str">
            <v>Cây lê ĐK thân &gt; 25 cm</v>
          </cell>
          <cell r="B542" t="str">
            <v>Đồng/cây</v>
          </cell>
          <cell r="C542" t="str">
            <v>1.100.000</v>
          </cell>
        </row>
        <row r="543">
          <cell r="A543" t="str">
            <v>Nho thân gỗ</v>
          </cell>
        </row>
        <row r="544">
          <cell r="A544" t="str">
            <v>Nho thân gỗ ĐK thân ≤5 cm</v>
          </cell>
          <cell r="B544" t="str">
            <v>Đồng/cây</v>
          </cell>
          <cell r="C544" t="str">
            <v>170.000</v>
          </cell>
        </row>
        <row r="545">
          <cell r="A545" t="str">
            <v>Nho thân gỗ đường kính thân 5 cm &lt; ĐK thân ≤10 cm</v>
          </cell>
          <cell r="B545" t="str">
            <v>Đồng/cây</v>
          </cell>
          <cell r="C545" t="str">
            <v>370.000</v>
          </cell>
        </row>
        <row r="546">
          <cell r="A546" t="str">
            <v>Nho thân gỗ đường kính thân 10 cm &lt; ĐK thân  ≤15 cm</v>
          </cell>
          <cell r="B546" t="str">
            <v>Đồng/cây</v>
          </cell>
          <cell r="C546" t="str">
            <v>740.000</v>
          </cell>
        </row>
        <row r="547">
          <cell r="A547" t="str">
            <v>Nho thân gỗ đường kính thân 15 cm &lt; ĐK thân ≤25 cm</v>
          </cell>
          <cell r="B547" t="str">
            <v>Đồng/cây</v>
          </cell>
          <cell r="C547" t="str">
            <v>1.480.000</v>
          </cell>
        </row>
        <row r="548">
          <cell r="A548" t="str">
            <v>Nho thân gỗ ĐK thân &gt; 25 cm</v>
          </cell>
          <cell r="B548" t="str">
            <v>Đồng/cây</v>
          </cell>
          <cell r="C548" t="str">
            <v>2.960.000</v>
          </cell>
        </row>
        <row r="549">
          <cell r="A549" t="str">
            <v>Cây mãng cầu</v>
          </cell>
        </row>
        <row r="550">
          <cell r="A550" t="str">
            <v>Cây mãng cầu mới trồng &lt;01 năm (cây từ hạt)</v>
          </cell>
          <cell r="B550" t="str">
            <v>Đồng/cây</v>
          </cell>
          <cell r="C550" t="str">
            <v>20.000</v>
          </cell>
        </row>
        <row r="551">
          <cell r="A551" t="str">
            <v>Cây mãng cầu mới trồng &lt; 01 năm (cây ghép)</v>
          </cell>
          <cell r="B551" t="str">
            <v>Đồng/cây</v>
          </cell>
          <cell r="C551" t="str">
            <v>40.000</v>
          </cell>
        </row>
        <row r="552">
          <cell r="A552" t="str">
            <v>Cây mãng cầu ĐK thân ≤5 cm</v>
          </cell>
          <cell r="B552" t="str">
            <v>Đồng/cây</v>
          </cell>
          <cell r="C552" t="str">
            <v>124.000</v>
          </cell>
        </row>
        <row r="553">
          <cell r="A553" t="str">
            <v>Cây mãng cầu đường kính thân 3 cm &lt; ĐK thân ≤5 cm</v>
          </cell>
          <cell r="B553" t="str">
            <v>Đồng/cây</v>
          </cell>
          <cell r="C553" t="str">
            <v>274.000</v>
          </cell>
        </row>
        <row r="554">
          <cell r="A554" t="str">
            <v>Cây mãng cầu đường kính thân 5 cm &lt; ĐK thân ≤7 cm</v>
          </cell>
          <cell r="B554" t="str">
            <v>Đồng/cây</v>
          </cell>
          <cell r="C554" t="str">
            <v>547.000</v>
          </cell>
        </row>
        <row r="555">
          <cell r="A555" t="str">
            <v>Cây mãng cầu đường kính thân 7 cm &lt; ĐK thân ≤10 cm</v>
          </cell>
          <cell r="B555" t="str">
            <v>Đồng/cây</v>
          </cell>
          <cell r="C555" t="str">
            <v>834.000</v>
          </cell>
        </row>
        <row r="556">
          <cell r="A556" t="str">
            <v>Cây mãng cầu ĐK thân &gt; 10 cm</v>
          </cell>
          <cell r="B556" t="str">
            <v>Đông/cây</v>
          </cell>
          <cell r="C556" t="str">
            <v>1.244.000</v>
          </cell>
        </row>
        <row r="557">
          <cell r="A557" t="str">
            <v>Cây sa kê</v>
          </cell>
        </row>
        <row r="558">
          <cell r="A558" t="str">
            <v>Cây sa kê mới trồng &lt;01 năm (cây từ hạt)</v>
          </cell>
          <cell r="B558" t="str">
            <v>Đồng/cây</v>
          </cell>
          <cell r="C558" t="str">
            <v>20.000</v>
          </cell>
        </row>
        <row r="559">
          <cell r="A559" t="str">
            <v>Cây sa kê mới trồng &lt; 01 năm (cây ghép)</v>
          </cell>
          <cell r="B559" t="str">
            <v>Đồng/cây</v>
          </cell>
          <cell r="C559" t="str">
            <v>40.000</v>
          </cell>
        </row>
        <row r="560">
          <cell r="A560" t="str">
            <v>Cây sa kê ĐK thân ≤5 cm</v>
          </cell>
          <cell r="B560" t="str">
            <v>Đồng/cây</v>
          </cell>
          <cell r="C560" t="str">
            <v>124.000</v>
          </cell>
        </row>
        <row r="561">
          <cell r="A561" t="str">
            <v>Cây sa kê đường kính thân 3 cm &lt; ĐK thân ≤5 cm</v>
          </cell>
          <cell r="B561" t="str">
            <v>Đồng/cây</v>
          </cell>
          <cell r="C561" t="str">
            <v>274.000</v>
          </cell>
        </row>
        <row r="562">
          <cell r="A562" t="str">
            <v>Cây sa kê đường kính thân 5 cm &lt; ĐK thân ≤7 cm</v>
          </cell>
          <cell r="B562" t="str">
            <v>Đồng/cây</v>
          </cell>
          <cell r="C562" t="str">
            <v>547.000</v>
          </cell>
        </row>
        <row r="563">
          <cell r="A563" t="str">
            <v>Cây sa kê đường kính thân 7 cm &lt; ĐK thân ≤10 cm</v>
          </cell>
          <cell r="B563" t="str">
            <v>Đồng/cây</v>
          </cell>
          <cell r="C563" t="str">
            <v>834.000</v>
          </cell>
        </row>
        <row r="564">
          <cell r="A564" t="str">
            <v>Cây sa kê ĐK thân &gt; 10 cm</v>
          </cell>
          <cell r="B564" t="str">
            <v>Đông/cây</v>
          </cell>
          <cell r="C564" t="str">
            <v>1.244.000</v>
          </cell>
        </row>
        <row r="565">
          <cell r="A565" t="str">
            <v>Cây phật thủ</v>
          </cell>
        </row>
        <row r="566">
          <cell r="A566" t="str">
            <v>Cây phật thủ ĐK thân ≤5 cm</v>
          </cell>
          <cell r="B566" t="str">
            <v>Đồng/cây</v>
          </cell>
          <cell r="C566" t="str">
            <v>87.000</v>
          </cell>
        </row>
        <row r="567">
          <cell r="A567" t="str">
            <v>Cây phật thủ đường kính thân 5 cm &lt; ĐK thân ≤10 cm</v>
          </cell>
          <cell r="B567" t="str">
            <v>Đồng/cây</v>
          </cell>
          <cell r="C567" t="str">
            <v>162.000</v>
          </cell>
        </row>
        <row r="568">
          <cell r="A568" t="str">
            <v>Cây phật thủ đường kính thân 10 cm &lt; ĐK thân ≤15 cm</v>
          </cell>
          <cell r="B568" t="str">
            <v>Đồng/cây</v>
          </cell>
          <cell r="C568" t="str">
            <v>274.000</v>
          </cell>
        </row>
        <row r="569">
          <cell r="A569" t="str">
            <v>Cây phật thủ đường kính thân 15 cm &lt; ĐK thân ≤20 cm</v>
          </cell>
          <cell r="B569" t="str">
            <v>Đồng/cây</v>
          </cell>
          <cell r="C569" t="str">
            <v>398.000</v>
          </cell>
        </row>
        <row r="570">
          <cell r="A570" t="str">
            <v>Cây phật thủ đường kính thân 20 cm &lt; ĐK thân ≤30 cm</v>
          </cell>
          <cell r="B570" t="str">
            <v>Đồng/cây</v>
          </cell>
          <cell r="C570" t="str">
            <v>523.000</v>
          </cell>
        </row>
        <row r="571">
          <cell r="A571" t="str">
            <v>Cây phật thủ ĐK thân &gt;30 cm</v>
          </cell>
          <cell r="B571" t="str">
            <v>Đồng/cây</v>
          </cell>
          <cell r="C571" t="str">
            <v>970.000</v>
          </cell>
        </row>
        <row r="572">
          <cell r="A572" t="str">
            <v>Cây đào tiên</v>
          </cell>
        </row>
        <row r="573">
          <cell r="A573" t="str">
            <v>Cây đào tiên giống Loại cây ghép có chiều cao cây 40cm &lt; H ≤ 1m</v>
          </cell>
          <cell r="B573" t="str">
            <v>Đồng/cây</v>
          </cell>
          <cell r="C573" t="str">
            <v>20.000</v>
          </cell>
        </row>
        <row r="574">
          <cell r="A574" t="str">
            <v>Cây đào tiên giống Loại cây ghép có chiêu cao cây H ≥ 1m</v>
          </cell>
          <cell r="B574" t="str">
            <v>Đồng/cây</v>
          </cell>
          <cell r="C574" t="str">
            <v>30.000</v>
          </cell>
        </row>
        <row r="575">
          <cell r="A575" t="str">
            <v>Cây đào tiên giống Loại cây chiết cành có chiều cao cây 40cm ≤ H&lt; 1m</v>
          </cell>
          <cell r="B575" t="str">
            <v>Đồng/cây</v>
          </cell>
          <cell r="C575" t="str">
            <v>35.000</v>
          </cell>
        </row>
        <row r="576">
          <cell r="A576" t="str">
            <v>Cây đào tiên giống Loại cây chiết cành có chiều cao cây H ≥ 1m</v>
          </cell>
          <cell r="B576" t="str">
            <v>Đồng/cây</v>
          </cell>
          <cell r="C576" t="str">
            <v>40.000</v>
          </cell>
        </row>
        <row r="577">
          <cell r="A577" t="str">
            <v>Cây đào tiên đường kính thân 2 cm &lt; ĐK thân ≤5 cm</v>
          </cell>
          <cell r="B577" t="str">
            <v>Đồng/cây</v>
          </cell>
          <cell r="C577" t="str">
            <v>120.000</v>
          </cell>
        </row>
        <row r="578">
          <cell r="A578" t="str">
            <v>Cây đào tiên đường kính thân 5 cm &lt; ĐK thân ≤10 cm</v>
          </cell>
          <cell r="B578" t="str">
            <v>Đồng/cây</v>
          </cell>
          <cell r="C578" t="str">
            <v>250.000</v>
          </cell>
        </row>
        <row r="579">
          <cell r="A579" t="str">
            <v>Cây đào tiên đường kính thân 10cm &lt;ĐKthân≤20 cm</v>
          </cell>
          <cell r="B579" t="str">
            <v>Đồng/cây</v>
          </cell>
          <cell r="C579" t="str">
            <v>500.000</v>
          </cell>
        </row>
        <row r="580">
          <cell r="A580" t="str">
            <v>Cây đào tiên ĐK thân &gt;20 cm</v>
          </cell>
          <cell r="B580" t="str">
            <v>Đồng/cây</v>
          </cell>
          <cell r="C580" t="str">
            <v>700.000</v>
          </cell>
        </row>
        <row r="581">
          <cell r="A581" t="str">
            <v>Cây hoa sữa</v>
          </cell>
        </row>
        <row r="582">
          <cell r="A582" t="str">
            <v>Cây hoa sữa giống mới trồng</v>
          </cell>
          <cell r="B582" t="str">
            <v>Đồng/cây</v>
          </cell>
          <cell r="C582" t="str">
            <v>20.000</v>
          </cell>
        </row>
        <row r="583">
          <cell r="A583" t="str">
            <v>Cây hoa sữa đường kính thân 2 cm &lt; ĐK thân ≤5 cm</v>
          </cell>
          <cell r="B583" t="str">
            <v>Đồng/cây</v>
          </cell>
          <cell r="C583" t="str">
            <v>70.000</v>
          </cell>
        </row>
        <row r="584">
          <cell r="A584" t="str">
            <v>Cây hoa sữa đường kính thân 5 cm &lt; ĐK thân ≤10 cm</v>
          </cell>
          <cell r="B584" t="str">
            <v>Đồng/cây</v>
          </cell>
          <cell r="C584" t="str">
            <v>110.000</v>
          </cell>
        </row>
        <row r="585">
          <cell r="A585" t="str">
            <v>Cây hoa sữa đường kính thân 10 cm &lt; ĐK thân ≤15 cm</v>
          </cell>
          <cell r="B585" t="str">
            <v>Đồng/cây</v>
          </cell>
          <cell r="C585" t="str">
            <v>200.000</v>
          </cell>
        </row>
        <row r="586">
          <cell r="A586" t="str">
            <v>Cây hoa sữa đường kính thân 15 cm &lt; ĐK thân ≤25 cm</v>
          </cell>
          <cell r="B586" t="str">
            <v>Đồng/cây</v>
          </cell>
          <cell r="C586" t="str">
            <v>270.000</v>
          </cell>
        </row>
        <row r="587">
          <cell r="A587" t="str">
            <v>Cây hoa sữa đường kính thân 25 cm &lt; ĐK thân ≤40 cm</v>
          </cell>
          <cell r="B587" t="str">
            <v>Đồng/cây</v>
          </cell>
          <cell r="C587" t="str">
            <v>360.000</v>
          </cell>
        </row>
        <row r="588">
          <cell r="A588" t="str">
            <v>Cây hoa sữa ĐK thân &gt; 40 cm</v>
          </cell>
          <cell r="B588" t="str">
            <v>Đồng/cây</v>
          </cell>
          <cell r="C588" t="str">
            <v>520.000</v>
          </cell>
        </row>
        <row r="589">
          <cell r="A589" t="str">
            <v>Cây hoa gạo</v>
          </cell>
        </row>
        <row r="590">
          <cell r="A590" t="str">
            <v>Cây hoa gạo giống mới trồng</v>
          </cell>
          <cell r="B590" t="str">
            <v>Đồng/cây</v>
          </cell>
          <cell r="C590" t="str">
            <v>20.000</v>
          </cell>
        </row>
        <row r="591">
          <cell r="A591" t="str">
            <v>Cây hoa gạo đường kính thân 2 cm &lt; ĐK thân ≤5 cm</v>
          </cell>
          <cell r="B591" t="str">
            <v>Đồng/cây</v>
          </cell>
          <cell r="C591" t="str">
            <v>70.000</v>
          </cell>
        </row>
        <row r="592">
          <cell r="A592" t="str">
            <v>Cây hoa gạo đường kính thân 5 cm &lt; ĐK thân ≤10 cm</v>
          </cell>
          <cell r="B592" t="str">
            <v>Đồng/cây</v>
          </cell>
          <cell r="C592" t="str">
            <v>110.000</v>
          </cell>
        </row>
        <row r="593">
          <cell r="A593" t="str">
            <v>Cây hoa gạo đường kính thân 10 cm &lt; ĐK thân ≤15 cm</v>
          </cell>
          <cell r="B593" t="str">
            <v>Đồng/cây</v>
          </cell>
          <cell r="C593" t="str">
            <v>200.000</v>
          </cell>
        </row>
        <row r="594">
          <cell r="A594" t="str">
            <v>Cây hoa gạo đường kính thân 15 cm &lt; ĐK thân ≤25 cm</v>
          </cell>
          <cell r="B594" t="str">
            <v>Đồng/cây</v>
          </cell>
          <cell r="C594" t="str">
            <v>270.000</v>
          </cell>
        </row>
        <row r="595">
          <cell r="A595" t="str">
            <v>Cây hoa gạo đường kính thân 25 cm &lt; ĐK thân ≤40 cm</v>
          </cell>
          <cell r="B595" t="str">
            <v>Đồng/cây</v>
          </cell>
          <cell r="C595" t="str">
            <v>360.000</v>
          </cell>
        </row>
        <row r="596">
          <cell r="A596" t="str">
            <v>Cây hoa gạo ĐK thân &gt; 40 cm</v>
          </cell>
          <cell r="B596" t="str">
            <v>Đồng/cây</v>
          </cell>
          <cell r="C596" t="str">
            <v>520.000</v>
          </cell>
        </row>
        <row r="597">
          <cell r="A597" t="str">
            <v>Cây hoa đại</v>
          </cell>
        </row>
        <row r="598">
          <cell r="A598" t="str">
            <v>Cây hoa đại Cây giống mới trồng</v>
          </cell>
          <cell r="B598" t="str">
            <v>Đồng/cây</v>
          </cell>
          <cell r="C598" t="str">
            <v>20.000</v>
          </cell>
        </row>
        <row r="599">
          <cell r="A599" t="str">
            <v>Cây hoa đại đường kính thân 2 cm &lt; ĐK thân ≤5 cm</v>
          </cell>
          <cell r="B599" t="str">
            <v>Đồng/cây</v>
          </cell>
          <cell r="C599" t="str">
            <v>70.000</v>
          </cell>
        </row>
        <row r="600">
          <cell r="A600" t="str">
            <v>Cây hoa đại đường kính thân 5 cm &lt; ĐK thân ≤10 cm</v>
          </cell>
          <cell r="B600" t="str">
            <v>Đồng/cây</v>
          </cell>
          <cell r="C600" t="str">
            <v>110.000</v>
          </cell>
        </row>
        <row r="601">
          <cell r="A601" t="str">
            <v>Cây hoa đại đường kính thân 10 cm &lt; ĐK thân ≤15 cm</v>
          </cell>
          <cell r="B601" t="str">
            <v>Đồng/cây</v>
          </cell>
          <cell r="C601" t="str">
            <v>200.000</v>
          </cell>
        </row>
        <row r="602">
          <cell r="A602" t="str">
            <v>Cây hoa đại đường kính thân 15 cm &lt; ĐK thân ≤25 cm</v>
          </cell>
          <cell r="B602" t="str">
            <v>Đồng/cây</v>
          </cell>
          <cell r="C602" t="str">
            <v>270.000</v>
          </cell>
        </row>
        <row r="603">
          <cell r="A603" t="str">
            <v>Cây hoa đại đường kính thân 25 cm &lt; ĐK thân ≤40 cm</v>
          </cell>
          <cell r="B603" t="str">
            <v>Đồng/cây</v>
          </cell>
          <cell r="C603" t="str">
            <v>360.000</v>
          </cell>
        </row>
        <row r="604">
          <cell r="A604" t="str">
            <v>Cây hoa đại ĐK thân &gt; 40 cm</v>
          </cell>
          <cell r="B604" t="str">
            <v>Đồng/cây</v>
          </cell>
          <cell r="C604" t="str">
            <v>520.000</v>
          </cell>
        </row>
        <row r="605">
          <cell r="A605" t="str">
            <v>Cây hoa ban</v>
          </cell>
        </row>
        <row r="606">
          <cell r="A606" t="str">
            <v>Cây hoa ban Cây giống mới trồng</v>
          </cell>
          <cell r="B606" t="str">
            <v>Đồng/cây</v>
          </cell>
          <cell r="C606" t="str">
            <v>20.000</v>
          </cell>
        </row>
        <row r="607">
          <cell r="A607" t="str">
            <v>Cây hoa ban đường kính thân 2 cm &lt; ĐK thân ≤5 cm</v>
          </cell>
          <cell r="B607" t="str">
            <v>Đồng/cây</v>
          </cell>
          <cell r="C607" t="str">
            <v>70.000</v>
          </cell>
        </row>
        <row r="608">
          <cell r="A608" t="str">
            <v>Cây hoa ban đường kính thân 5 cm &lt; ĐK thân ≤10 cm</v>
          </cell>
          <cell r="B608" t="str">
            <v>Đồng/cây</v>
          </cell>
          <cell r="C608" t="str">
            <v>110.000</v>
          </cell>
        </row>
        <row r="609">
          <cell r="A609" t="str">
            <v>Cây hoa ban đường kính thân 10 cm &lt; ĐK thân ≤15 cm</v>
          </cell>
          <cell r="B609" t="str">
            <v>Đồng/cây</v>
          </cell>
          <cell r="C609" t="str">
            <v>200.000</v>
          </cell>
        </row>
        <row r="610">
          <cell r="A610" t="str">
            <v>Cây hoa ban đường kính thân 15 cm &lt; ĐK thân ≤25 cm</v>
          </cell>
          <cell r="B610" t="str">
            <v>Đồng/cây</v>
          </cell>
          <cell r="C610" t="str">
            <v>270.000</v>
          </cell>
        </row>
        <row r="611">
          <cell r="A611" t="str">
            <v>Cây hoa ban đường kính thân 25 cm &lt; ĐK thân ≤40 cm</v>
          </cell>
          <cell r="B611" t="str">
            <v>Đồng/cây</v>
          </cell>
          <cell r="C611" t="str">
            <v>360.000</v>
          </cell>
        </row>
        <row r="612">
          <cell r="A612" t="str">
            <v>Cây hoa ban ĐK thân &gt;40 cm</v>
          </cell>
          <cell r="B612" t="str">
            <v>Đồng/cây</v>
          </cell>
          <cell r="C612" t="str">
            <v>520.000</v>
          </cell>
        </row>
        <row r="613">
          <cell r="A613" t="str">
            <v>Cây móng bò</v>
          </cell>
        </row>
        <row r="614">
          <cell r="A614" t="str">
            <v>Cây móng bò Cây giống mới trồng</v>
          </cell>
          <cell r="B614" t="str">
            <v>Đồng/cây</v>
          </cell>
          <cell r="C614" t="str">
            <v>20.000</v>
          </cell>
        </row>
        <row r="615">
          <cell r="A615" t="str">
            <v>Cây móng bò đường kính thân 2 cm &lt; ĐK thân ≤5 cm</v>
          </cell>
          <cell r="B615" t="str">
            <v>Đồng/cây</v>
          </cell>
          <cell r="C615" t="str">
            <v>70.000</v>
          </cell>
        </row>
        <row r="616">
          <cell r="A616" t="str">
            <v>Cây móng bò đường kính thân 5 cm &lt; ĐK thân ≤10 cm</v>
          </cell>
          <cell r="B616" t="str">
            <v>Đồng/cây</v>
          </cell>
          <cell r="C616" t="str">
            <v>110.000</v>
          </cell>
        </row>
        <row r="617">
          <cell r="A617" t="str">
            <v>Cây móng bò đường kính thân 10 cm &lt; ĐK thân ≤15 cm</v>
          </cell>
          <cell r="B617" t="str">
            <v>Đồng/cây</v>
          </cell>
          <cell r="C617" t="str">
            <v>200.000</v>
          </cell>
        </row>
        <row r="618">
          <cell r="A618" t="str">
            <v>Cây móng bò đường kính thân 15 cm &lt; ĐK thân ≤25 cm</v>
          </cell>
          <cell r="B618" t="str">
            <v>Đồng/cây</v>
          </cell>
          <cell r="C618" t="str">
            <v>270.000</v>
          </cell>
        </row>
        <row r="619">
          <cell r="A619" t="str">
            <v>Cây móng bò đường kính thân 25 cm &lt; ĐK thân ≤40 cm</v>
          </cell>
          <cell r="B619" t="str">
            <v>Đồng/cây</v>
          </cell>
          <cell r="C619" t="str">
            <v>360.000</v>
          </cell>
        </row>
        <row r="620">
          <cell r="A620" t="str">
            <v>Cây móng bò ĐK thân &gt;40 cm</v>
          </cell>
          <cell r="B620" t="str">
            <v>Đồng/cây</v>
          </cell>
          <cell r="C620" t="str">
            <v>520.000</v>
          </cell>
        </row>
        <row r="621">
          <cell r="A621" t="str">
            <v>Cây phượng vĩ (bằng lăng, muồng, lim xẹt)</v>
          </cell>
        </row>
        <row r="622">
          <cell r="A622" t="str">
            <v>Cây phượng vĩ (bằng lăng, muồng, lim xẹt) Cây giống mới trồng</v>
          </cell>
          <cell r="B622" t="str">
            <v>Đồng/cây</v>
          </cell>
          <cell r="C622" t="str">
            <v>15.000</v>
          </cell>
        </row>
        <row r="623">
          <cell r="A623" t="str">
            <v>Cây phượng vĩ (bằng lăng, muồng, lim xẹt) đường kính thân 2 cm &lt; ĐK thân ≤5 cm</v>
          </cell>
          <cell r="B623" t="str">
            <v>Đồng/cây</v>
          </cell>
          <cell r="C623" t="str">
            <v>80.000</v>
          </cell>
        </row>
        <row r="624">
          <cell r="A624" t="str">
            <v>Cây phượng vĩ (bằng lăng, muồng, lim xẹt) đường kính thân 5 cm &lt; ĐK thân ≤10 cm</v>
          </cell>
          <cell r="B624" t="str">
            <v>Đồng/cây</v>
          </cell>
          <cell r="C624" t="str">
            <v>150.000</v>
          </cell>
        </row>
        <row r="625">
          <cell r="A625" t="str">
            <v>Cây phượng vĩ (bằng lăng, muồng, lim xẹt) đường kính thân 10 cm &lt; ĐK thân ≤15 cm</v>
          </cell>
          <cell r="B625" t="str">
            <v>Đồng/cây</v>
          </cell>
          <cell r="C625" t="str">
            <v>200.000</v>
          </cell>
        </row>
        <row r="626">
          <cell r="A626" t="str">
            <v>Cây phượng vĩ (bằng lăng, muồng, lim xẹt) đường kính thân 15 cm &lt; ĐK thân ≤25 cm</v>
          </cell>
          <cell r="B626" t="str">
            <v>Đồng/cây</v>
          </cell>
          <cell r="C626" t="str">
            <v>270.000</v>
          </cell>
        </row>
        <row r="627">
          <cell r="A627" t="str">
            <v>Cây phượng vĩ (bằng lăng, muồng, lim xẹt) đường kính thân 25 cm &lt; ĐK thân ≤40 cm</v>
          </cell>
          <cell r="B627" t="str">
            <v>Đồng/cây</v>
          </cell>
          <cell r="C627" t="str">
            <v>380.000</v>
          </cell>
        </row>
        <row r="628">
          <cell r="A628" t="str">
            <v>Cây phượng vĩ (bằng lăng, muồng, lim xẹt) đường kính thân 40 cm &lt; ĐK thân ≤60 cm</v>
          </cell>
          <cell r="B628" t="str">
            <v>Đồng/cây</v>
          </cell>
          <cell r="C628" t="str">
            <v>530.000</v>
          </cell>
        </row>
        <row r="629">
          <cell r="A629" t="str">
            <v>Cây phượng vĩ (bằng lăng, muồng, lim xẹt) ĐK thân &gt; 60 cm</v>
          </cell>
          <cell r="B629" t="str">
            <v>Đồng/cây</v>
          </cell>
          <cell r="C629" t="str">
            <v>700.000</v>
          </cell>
        </row>
        <row r="630">
          <cell r="A630" t="str">
            <v>Cây long não, bồ đề</v>
          </cell>
        </row>
        <row r="631">
          <cell r="A631" t="str">
            <v>Cây long não, bồ đề Giống đủ tiêu chuẩn mới trồng, chiều cao cây H ≤40cm</v>
          </cell>
          <cell r="B631" t="str">
            <v>Đồng/cây</v>
          </cell>
          <cell r="C631" t="str">
            <v>30.000</v>
          </cell>
        </row>
        <row r="632">
          <cell r="A632" t="str">
            <v>Cây long não, bồ đề đường kính gốc 1cm &lt; ĐK gốc &lt; 3cm</v>
          </cell>
          <cell r="B632" t="str">
            <v>Đồng/cây</v>
          </cell>
          <cell r="C632" t="str">
            <v>75.000</v>
          </cell>
        </row>
        <row r="633">
          <cell r="A633" t="str">
            <v>Cây long não, bồ đề đường kính gốc 3 cm ≤ ĐK gốc &lt; 5 cm</v>
          </cell>
          <cell r="B633" t="str">
            <v>Đồng/cây</v>
          </cell>
          <cell r="C633" t="str">
            <v>180.000</v>
          </cell>
        </row>
        <row r="634">
          <cell r="A634" t="str">
            <v>Cây long não, bồ đề đường kính gốc 5cm ≤ ĐK gốc &lt; 10cm</v>
          </cell>
          <cell r="B634" t="str">
            <v>Đồng/cây</v>
          </cell>
          <cell r="C634" t="str">
            <v>300.000</v>
          </cell>
        </row>
        <row r="635">
          <cell r="A635" t="str">
            <v>Cây long não, bồ đề đường kính gốc 10cm ≤ ĐK gốc &lt; 15cm</v>
          </cell>
          <cell r="B635" t="str">
            <v>Đồng/cây</v>
          </cell>
          <cell r="C635" t="str">
            <v>444.000</v>
          </cell>
        </row>
        <row r="636">
          <cell r="A636" t="str">
            <v>Cây long não, bồ đề đường kính gốc 15cm ≤ ĐK gôc &lt; 20cm</v>
          </cell>
          <cell r="B636" t="str">
            <v>Đồng/cây</v>
          </cell>
          <cell r="C636" t="str">
            <v>540.000</v>
          </cell>
        </row>
        <row r="637">
          <cell r="A637" t="str">
            <v>Cây long não, bồ đề đường kính gốc 20cm ≤ ĐK gốc &lt; 30cm</v>
          </cell>
          <cell r="B637" t="str">
            <v>Đồng/cây</v>
          </cell>
          <cell r="C637" t="str">
            <v>960.000</v>
          </cell>
        </row>
        <row r="638">
          <cell r="A638" t="str">
            <v>Cây long não, bồ đề đường kính gốc 30cm ≤ ĐK gốc &lt; 40cm</v>
          </cell>
          <cell r="B638" t="str">
            <v>Đồng/cây</v>
          </cell>
          <cell r="C638" t="str">
            <v>1.200.000</v>
          </cell>
        </row>
        <row r="639">
          <cell r="A639" t="str">
            <v>Cây long não, bồ đề ĐK gốc ≥ 40cm</v>
          </cell>
          <cell r="B639" t="str">
            <v>Đồng/cây</v>
          </cell>
          <cell r="C639" t="str">
            <v>1.440.000</v>
          </cell>
        </row>
        <row r="640">
          <cell r="A640" t="str">
            <v>Sao đen</v>
          </cell>
          <cell r="B640" t="str">
            <v>Đồng/cây</v>
          </cell>
        </row>
        <row r="641">
          <cell r="A641" t="str">
            <v>Sao đen đường kính gốc 1 cm ≤ ĐK gốc &lt; 3cm</v>
          </cell>
          <cell r="B641" t="str">
            <v>Đồng/cây</v>
          </cell>
          <cell r="C641" t="str">
            <v>1.100.000</v>
          </cell>
        </row>
        <row r="642">
          <cell r="A642" t="str">
            <v>Sao đen đường kính gốc 3 cm ≤ ĐK gốc &lt; 5cm</v>
          </cell>
          <cell r="B642" t="str">
            <v>Đồng/cây</v>
          </cell>
          <cell r="C642" t="str">
            <v>1.700.000</v>
          </cell>
        </row>
        <row r="643">
          <cell r="A643" t="str">
            <v>Sao đen đường kính gốc 5cm ≤ ĐK gốc &lt; 7cm</v>
          </cell>
          <cell r="B643" t="str">
            <v>Đồng/cây</v>
          </cell>
          <cell r="C643" t="str">
            <v>2.000.000</v>
          </cell>
        </row>
        <row r="644">
          <cell r="A644" t="str">
            <v>Sao đen đường kính gốc 7cm ≤ ĐK gốc &lt; 9cm</v>
          </cell>
          <cell r="B644" t="str">
            <v>Đồng/cây</v>
          </cell>
          <cell r="C644" t="str">
            <v>3.000.000</v>
          </cell>
        </row>
        <row r="645">
          <cell r="A645" t="str">
            <v>Sao đen ĐK gốc ≥ 9cm</v>
          </cell>
          <cell r="B645" t="str">
            <v>Đồng/cây</v>
          </cell>
          <cell r="C645" t="str">
            <v>4.300.000</v>
          </cell>
        </row>
        <row r="646">
          <cell r="A646" t="str">
            <v>Cây sưa</v>
          </cell>
        </row>
        <row r="647">
          <cell r="A647" t="str">
            <v>Cây sưa Cây giống đủ tiêu chuẩn, mới trồng, chiều cao cây H ≥ 30cm</v>
          </cell>
          <cell r="B647" t="str">
            <v>Đồng/cây</v>
          </cell>
          <cell r="C647" t="str">
            <v>30.000</v>
          </cell>
        </row>
        <row r="648">
          <cell r="A648" t="str">
            <v>Cây sưa đường kính thân 2 cm &lt; ĐK thân ≤5 cm</v>
          </cell>
          <cell r="B648" t="str">
            <v>Đồng/cây</v>
          </cell>
          <cell r="C648" t="str">
            <v>70.000</v>
          </cell>
        </row>
        <row r="649">
          <cell r="A649" t="str">
            <v>Cây sưa đường kính thân 5 cm &lt; ĐK thân ≤10 cm</v>
          </cell>
          <cell r="B649" t="str">
            <v>Đồng/cây</v>
          </cell>
          <cell r="C649" t="str">
            <v>170.000</v>
          </cell>
        </row>
        <row r="650">
          <cell r="A650" t="str">
            <v>Cây sưa đường kính thân 10 cm &lt; ĐK thân ≤15 cm</v>
          </cell>
          <cell r="B650" t="str">
            <v>Đồng/cây</v>
          </cell>
          <cell r="C650" t="str">
            <v>380.000</v>
          </cell>
        </row>
        <row r="651">
          <cell r="A651" t="str">
            <v>Cây sưa đường kính thân 15 cm &lt; ĐK thân ≤25 cm</v>
          </cell>
          <cell r="B651" t="str">
            <v>Đồng/cây</v>
          </cell>
          <cell r="C651" t="str">
            <v>650.000</v>
          </cell>
        </row>
        <row r="652">
          <cell r="A652" t="str">
            <v>Cây sưa đường kính thân 25 cm &lt; ĐK thân ≤40 cm</v>
          </cell>
          <cell r="B652" t="str">
            <v>Đông/cây</v>
          </cell>
          <cell r="C652" t="str">
            <v>920.000</v>
          </cell>
        </row>
        <row r="653">
          <cell r="A653" t="str">
            <v>Cây sưa đường kính thân 40 cm &lt; ĐK thân ≤ 60 cm</v>
          </cell>
          <cell r="B653" t="str">
            <v>Đồng/cây</v>
          </cell>
          <cell r="C653" t="str">
            <v>1.200.000</v>
          </cell>
        </row>
        <row r="654">
          <cell r="A654" t="str">
            <v>Cây sưa ĐK thân &gt; 60 cm</v>
          </cell>
          <cell r="B654" t="str">
            <v>Đồng/cây</v>
          </cell>
          <cell r="C654" t="str">
            <v>1.500.000</v>
          </cell>
        </row>
        <row r="655">
          <cell r="A655" t="str">
            <v>Cây trám</v>
          </cell>
        </row>
        <row r="656">
          <cell r="A656" t="str">
            <v>Cây trám Mới trồng, đường kính gốc &lt; 2cm</v>
          </cell>
          <cell r="B656" t="str">
            <v>Đồng/cây</v>
          </cell>
          <cell r="C656" t="str">
            <v>30.000</v>
          </cell>
        </row>
        <row r="657">
          <cell r="A657" t="str">
            <v>Cây trám đường kính gốc 2 cm &lt; ĐK gốc ≤ 5 cm</v>
          </cell>
          <cell r="B657" t="str">
            <v>Đồng/cây</v>
          </cell>
          <cell r="C657" t="str">
            <v>144.000</v>
          </cell>
        </row>
        <row r="658">
          <cell r="A658" t="str">
            <v>Cây trám đường kính gốc 5 cm &lt; ĐK gốc ≤ 10 cm</v>
          </cell>
          <cell r="B658" t="str">
            <v>Đồng/cây</v>
          </cell>
          <cell r="C658" t="str">
            <v>240.000</v>
          </cell>
        </row>
        <row r="659">
          <cell r="A659" t="str">
            <v>Cây trám đường kính gốc 10 cm &lt; ĐK gôc ≤ 15 cm</v>
          </cell>
          <cell r="B659" t="str">
            <v>Đồng/cây</v>
          </cell>
          <cell r="C659" t="str">
            <v>360.000</v>
          </cell>
        </row>
        <row r="660">
          <cell r="A660" t="str">
            <v>Cây trám đường kính gốc 15 cm &lt; ĐK gốc ≤ 20 cm</v>
          </cell>
          <cell r="B660" t="str">
            <v>Đông/cây</v>
          </cell>
          <cell r="C660" t="str">
            <v>480.000</v>
          </cell>
        </row>
        <row r="661">
          <cell r="A661" t="str">
            <v>Cây trám đường kính gốc 20 cm &lt; ĐK gốc ≤ 25 cm</v>
          </cell>
          <cell r="B661" t="str">
            <v>Đồng/cây</v>
          </cell>
          <cell r="C661" t="str">
            <v>600.000</v>
          </cell>
        </row>
        <row r="662">
          <cell r="A662" t="str">
            <v>Cây trám đường kính gốc 25 cm &lt; ĐK gốc ≤ 30 cm</v>
          </cell>
          <cell r="B662" t="str">
            <v>Đồng/cây</v>
          </cell>
          <cell r="C662" t="str">
            <v>720.000</v>
          </cell>
        </row>
        <row r="663">
          <cell r="A663" t="str">
            <v>Cây trám ĐK gốc &gt; 30cm</v>
          </cell>
          <cell r="B663" t="str">
            <v>Đồng/cây</v>
          </cell>
          <cell r="C663" t="str">
            <v>840.000</v>
          </cell>
        </row>
        <row r="664">
          <cell r="A664" t="str">
            <v>Cây xoan</v>
          </cell>
        </row>
        <row r="665">
          <cell r="A665" t="str">
            <v>Cây xoan Cây giống mới trồng</v>
          </cell>
          <cell r="B665" t="str">
            <v>Đồng/cây</v>
          </cell>
          <cell r="C665" t="str">
            <v>7.000</v>
          </cell>
        </row>
        <row r="666">
          <cell r="A666" t="str">
            <v>Cây xoan đường kính thân 2 cm &lt; ĐK thân ≤5 cm</v>
          </cell>
          <cell r="B666" t="str">
            <v>Đồng/cây</v>
          </cell>
          <cell r="C666" t="str">
            <v>60.000</v>
          </cell>
        </row>
        <row r="667">
          <cell r="A667" t="str">
            <v>Cây xoan đường kính thân 5 cm &lt; ĐK thân ≤10 cm</v>
          </cell>
          <cell r="B667" t="str">
            <v>Đồng/cây</v>
          </cell>
          <cell r="C667" t="str">
            <v>150.000</v>
          </cell>
        </row>
        <row r="668">
          <cell r="A668" t="str">
            <v>Cây xoan đường kính thân 10 cm &lt; ĐK thân ≤15 cm</v>
          </cell>
          <cell r="B668" t="str">
            <v>Đồng/cây</v>
          </cell>
          <cell r="C668" t="str">
            <v>250.000</v>
          </cell>
        </row>
        <row r="669">
          <cell r="A669" t="str">
            <v>Cây xoan đường kính thân 15 cm &lt; ĐK thân ≤20 cm</v>
          </cell>
          <cell r="B669" t="str">
            <v>Đồng/cây</v>
          </cell>
          <cell r="C669" t="str">
            <v>350.000</v>
          </cell>
        </row>
        <row r="670">
          <cell r="A670" t="str">
            <v>Cây xoan đường kính thân 20 cm &lt; ĐK thân ≤30 cm</v>
          </cell>
          <cell r="B670" t="str">
            <v>Đồng/cây</v>
          </cell>
          <cell r="C670" t="str">
            <v>500.000</v>
          </cell>
        </row>
        <row r="671">
          <cell r="A671" t="str">
            <v>Cây xoan ĐK thân &gt; 30 cm</v>
          </cell>
          <cell r="B671" t="str">
            <v>Đồng/cây</v>
          </cell>
          <cell r="C671" t="str">
            <v>900.000</v>
          </cell>
        </row>
        <row r="672">
          <cell r="A672" t="str">
            <v>Cây xà cừ (lát, sồi, lim xanh)</v>
          </cell>
        </row>
        <row r="673">
          <cell r="A673" t="str">
            <v>Cây xà cừ (lát, sồi, lim xanh) Cây giống mới trồng</v>
          </cell>
          <cell r="B673" t="str">
            <v>Đồng/cây</v>
          </cell>
          <cell r="C673" t="str">
            <v>12.000</v>
          </cell>
        </row>
        <row r="674">
          <cell r="A674" t="str">
            <v>Cây xà cừ (lát, sồi, lim xanh) đường kính thân 2 cm &lt; ĐK thân ≤5 cm</v>
          </cell>
          <cell r="B674" t="str">
            <v>Đồng/cây</v>
          </cell>
          <cell r="C674" t="str">
            <v>60.000</v>
          </cell>
        </row>
        <row r="675">
          <cell r="A675" t="str">
            <v>Cây xà cừ (lát, sồi, lim xanh) 5 cm &lt; ĐK thân ≤10 cm</v>
          </cell>
          <cell r="B675" t="str">
            <v>Đồng/cây</v>
          </cell>
          <cell r="C675" t="str">
            <v>150.000</v>
          </cell>
        </row>
        <row r="676">
          <cell r="A676" t="str">
            <v>Cây xà cừ (lát, sồi, lim xanh) 10 cm &lt; ĐK thân ≤15 cm</v>
          </cell>
          <cell r="B676" t="str">
            <v>Đồng/cây</v>
          </cell>
          <cell r="C676" t="str">
            <v>250.000</v>
          </cell>
        </row>
        <row r="677">
          <cell r="A677" t="str">
            <v>Cây xà cừ (lát, sồi, lim xanh) 15 cm &lt; ĐK thân ≤25 cm</v>
          </cell>
          <cell r="B677" t="str">
            <v>Đồng/cây</v>
          </cell>
          <cell r="C677" t="str">
            <v>350.000</v>
          </cell>
        </row>
        <row r="678">
          <cell r="A678" t="str">
            <v>Cây xà cừ (lát, sồi, lim xanh) 25 &lt; ĐK thân ≤40 cm</v>
          </cell>
          <cell r="B678" t="str">
            <v>Đồng/cây</v>
          </cell>
          <cell r="C678" t="str">
            <v>500.000</v>
          </cell>
        </row>
        <row r="679">
          <cell r="A679" t="str">
            <v>Cây xà cừ (lát, sồi, lim xanh) 40 cm &lt; ĐK thân ≤60 cm</v>
          </cell>
          <cell r="B679" t="str">
            <v>Đồng/cây</v>
          </cell>
          <cell r="C679" t="str">
            <v>800.000</v>
          </cell>
        </row>
        <row r="680">
          <cell r="A680" t="str">
            <v>Cây xà cừ (lát, sồi, lim xanh) ĐK thân &gt; 60 cm</v>
          </cell>
          <cell r="B680" t="str">
            <v>Đồng/cây</v>
          </cell>
          <cell r="C680" t="str">
            <v>1.000.000</v>
          </cell>
        </row>
        <row r="681">
          <cell r="A681" t="str">
            <v>Cây bàng</v>
          </cell>
        </row>
        <row r="682">
          <cell r="A682" t="str">
            <v>Cây bàng giống mới trồng</v>
          </cell>
          <cell r="B682" t="str">
            <v>Đồng/cây</v>
          </cell>
          <cell r="C682" t="str">
            <v>12.000</v>
          </cell>
        </row>
        <row r="683">
          <cell r="A683" t="str">
            <v>Cây bàng đường kính thân 2 cm &lt; ĐK thân ≤5 cm</v>
          </cell>
          <cell r="B683" t="str">
            <v>Đồng/cây</v>
          </cell>
          <cell r="C683" t="str">
            <v>60.000</v>
          </cell>
        </row>
        <row r="684">
          <cell r="A684" t="str">
            <v>Cây bàng đường kính thân 5 cm &lt; ĐK thân ≤10 cm</v>
          </cell>
          <cell r="B684" t="str">
            <v>Đồng/cây</v>
          </cell>
          <cell r="C684" t="str">
            <v>150.000</v>
          </cell>
        </row>
        <row r="685">
          <cell r="A685" t="str">
            <v>Cây bàng đường kính thân 10 cm &lt; ĐK thân ≤15 cm</v>
          </cell>
          <cell r="B685" t="str">
            <v>Đồng/cây</v>
          </cell>
          <cell r="C685" t="str">
            <v>250.000</v>
          </cell>
        </row>
        <row r="686">
          <cell r="A686" t="str">
            <v>Cây bàng đường kính thân 15 cm &lt; ĐK thân ≤20 cm</v>
          </cell>
          <cell r="B686" t="str">
            <v>Đông/cây</v>
          </cell>
          <cell r="C686" t="str">
            <v>350.000</v>
          </cell>
        </row>
        <row r="687">
          <cell r="A687" t="str">
            <v>Cây bàng đường kính thân 20 cm &lt; ĐK thân ≤30 cm</v>
          </cell>
          <cell r="B687" t="str">
            <v>Đồng/cây</v>
          </cell>
          <cell r="C687" t="str">
            <v>500.000</v>
          </cell>
        </row>
        <row r="688">
          <cell r="A688" t="str">
            <v>Cây bàng ĐK thân &gt; 30 cm</v>
          </cell>
          <cell r="B688" t="str">
            <v>Đồng/cây</v>
          </cell>
          <cell r="C688" t="str">
            <v>700.000</v>
          </cell>
        </row>
        <row r="689">
          <cell r="A689" t="str">
            <v>Cây trứng cá</v>
          </cell>
        </row>
        <row r="690">
          <cell r="A690" t="str">
            <v>Cây trứng cá giống mới trồng</v>
          </cell>
          <cell r="B690" t="str">
            <v>Đồng/cây</v>
          </cell>
          <cell r="C690" t="str">
            <v>12.000</v>
          </cell>
        </row>
        <row r="691">
          <cell r="A691" t="str">
            <v>Cây trứng cá đường kính thân 2 cm &lt; ĐK thân ≤5 cm</v>
          </cell>
          <cell r="B691" t="str">
            <v>Đồng/cây</v>
          </cell>
          <cell r="C691" t="str">
            <v>60.000</v>
          </cell>
        </row>
        <row r="692">
          <cell r="A692" t="str">
            <v>Cây trứng cá đường kính thân 5 cm &lt; ĐK thân ≤10 cm</v>
          </cell>
          <cell r="B692" t="str">
            <v>Đồng/cây</v>
          </cell>
          <cell r="C692" t="str">
            <v>150.000</v>
          </cell>
        </row>
        <row r="693">
          <cell r="A693" t="str">
            <v>Cây trứng cá đường kính thân 10 cm &lt; ĐK thân ≤15 cm</v>
          </cell>
          <cell r="B693" t="str">
            <v>Đồng/cây</v>
          </cell>
          <cell r="C693" t="str">
            <v>250.000</v>
          </cell>
        </row>
        <row r="694">
          <cell r="A694" t="str">
            <v>Cây trứng cá đường kính thân 15 cm &lt; ĐK thân ≤20 cm</v>
          </cell>
          <cell r="B694" t="str">
            <v>Đông/cây</v>
          </cell>
          <cell r="C694" t="str">
            <v>350.000</v>
          </cell>
        </row>
        <row r="695">
          <cell r="A695" t="str">
            <v>Cây trứng cá đường kính thân 20 cm &lt; ĐK thân ≤30 cm</v>
          </cell>
          <cell r="B695" t="str">
            <v>Đồng/cây</v>
          </cell>
          <cell r="C695" t="str">
            <v>500.000</v>
          </cell>
        </row>
        <row r="696">
          <cell r="A696" t="str">
            <v>Cây trứng cá ĐK thân &gt; 30 cm</v>
          </cell>
          <cell r="B696" t="str">
            <v>Đồng/cây</v>
          </cell>
          <cell r="C696" t="str">
            <v>700.000</v>
          </cell>
        </row>
        <row r="697">
          <cell r="A697" t="str">
            <v>Cây bạch đàn</v>
          </cell>
        </row>
        <row r="698">
          <cell r="A698" t="str">
            <v>Cây bạch đàn Cây giống mới trồng</v>
          </cell>
          <cell r="B698" t="str">
            <v>Đồng/cây</v>
          </cell>
          <cell r="C698" t="str">
            <v>10.000</v>
          </cell>
        </row>
        <row r="699">
          <cell r="A699" t="str">
            <v>Cây bạch đàn đường kính thân 2 cm &lt; ĐK thân ≤5 cm</v>
          </cell>
          <cell r="B699" t="str">
            <v>Đồng/cây</v>
          </cell>
          <cell r="C699" t="str">
            <v>65.000</v>
          </cell>
        </row>
        <row r="700">
          <cell r="A700" t="str">
            <v>Cây bạch đàn đường kính thân 5 cm &lt; ĐK thân ≤10 cm</v>
          </cell>
          <cell r="B700" t="str">
            <v>Đồng/cây</v>
          </cell>
          <cell r="C700" t="str">
            <v>150.000</v>
          </cell>
        </row>
        <row r="701">
          <cell r="A701" t="str">
            <v>Cây bạch đàn đường kính thân 10 cm &lt; ĐK thân ≤20 cm</v>
          </cell>
          <cell r="B701" t="str">
            <v>Đồng/cây</v>
          </cell>
          <cell r="C701" t="str">
            <v>350.000</v>
          </cell>
        </row>
        <row r="702">
          <cell r="A702" t="str">
            <v>Cây bạch đàn đường kính thân 20 cm &lt; ĐK thân ≤30 cm</v>
          </cell>
          <cell r="B702" t="str">
            <v>Đồng/cây</v>
          </cell>
          <cell r="C702" t="str">
            <v>500.000</v>
          </cell>
        </row>
        <row r="703">
          <cell r="A703" t="str">
            <v>Cây bạch đàn đường kính thân 30 cm &lt; ĐK thân ≤40 cm</v>
          </cell>
          <cell r="B703" t="str">
            <v>Đồng/cây</v>
          </cell>
          <cell r="C703" t="str">
            <v>700.000</v>
          </cell>
        </row>
        <row r="704">
          <cell r="A704" t="str">
            <v>Cây bạch đàn ĐK thân &gt; 40 cm</v>
          </cell>
          <cell r="B704" t="str">
            <v>Đồng/cây</v>
          </cell>
          <cell r="C704" t="str">
            <v>1.000.000</v>
          </cell>
        </row>
        <row r="705">
          <cell r="A705" t="str">
            <v>Cây phi lao, thông</v>
          </cell>
        </row>
        <row r="706">
          <cell r="A706" t="str">
            <v>Cây phi lao giống mới trồng</v>
          </cell>
          <cell r="B706" t="str">
            <v>Đồng/cây</v>
          </cell>
          <cell r="C706" t="str">
            <v>10.000</v>
          </cell>
        </row>
        <row r="707">
          <cell r="A707" t="str">
            <v>Cây phi lao đường kính thân 2 cm &lt; ĐK thân ≤5 cm</v>
          </cell>
          <cell r="B707" t="str">
            <v>Đồng/cây</v>
          </cell>
          <cell r="C707" t="str">
            <v>55.000</v>
          </cell>
        </row>
        <row r="708">
          <cell r="A708" t="str">
            <v>Cây phi lao đường kính thân 5 cm &lt; ĐK thân ≤10 cm</v>
          </cell>
          <cell r="B708" t="str">
            <v>Đồng/cây</v>
          </cell>
          <cell r="C708" t="str">
            <v>70.000</v>
          </cell>
        </row>
        <row r="709">
          <cell r="A709" t="str">
            <v>Cây phi lao đường kính thân 10 cm &lt; ĐK thân ≤20 cm</v>
          </cell>
          <cell r="B709" t="str">
            <v>Đồng/cây</v>
          </cell>
          <cell r="C709" t="str">
            <v>100.000</v>
          </cell>
        </row>
        <row r="710">
          <cell r="A710" t="str">
            <v>Cây phi lao đường kính thân 20cm &lt; ĐK thân ≤30 cm</v>
          </cell>
          <cell r="B710" t="str">
            <v>Đồng/cây</v>
          </cell>
          <cell r="C710" t="str">
            <v>250.000</v>
          </cell>
        </row>
        <row r="711">
          <cell r="A711" t="str">
            <v>Cây phi lao đường kính thân 30 cm &lt; ĐK thân ≤40 cm</v>
          </cell>
          <cell r="B711" t="str">
            <v>Đồng/cây</v>
          </cell>
          <cell r="C711" t="str">
            <v>600.000</v>
          </cell>
        </row>
        <row r="712">
          <cell r="A712" t="str">
            <v>Cây phi lao ĐK thân &gt; 40 cm</v>
          </cell>
          <cell r="B712" t="str">
            <v>Đồng/cây</v>
          </cell>
          <cell r="C712" t="str">
            <v>800.000</v>
          </cell>
        </row>
        <row r="713">
          <cell r="A713" t="str">
            <v>Cây keo tai tượng</v>
          </cell>
        </row>
        <row r="714">
          <cell r="A714" t="str">
            <v>Cây keo tai tượng giống mới trồng</v>
          </cell>
          <cell r="B714" t="str">
            <v>Đông/cây</v>
          </cell>
          <cell r="C714" t="str">
            <v>8.000</v>
          </cell>
        </row>
        <row r="715">
          <cell r="A715" t="str">
            <v>Cây keo tai tượng đường kính thân 2 cm &lt; ĐK thân ≤5 cm</v>
          </cell>
          <cell r="B715" t="str">
            <v>Đồng/cây</v>
          </cell>
          <cell r="C715" t="str">
            <v>50.000</v>
          </cell>
        </row>
        <row r="716">
          <cell r="A716" t="str">
            <v>Cây keo tai tượng đường kính thân 5 cm &lt; ĐK thân &lt;10 cm</v>
          </cell>
          <cell r="B716" t="str">
            <v>Đồng/cây</v>
          </cell>
          <cell r="C716" t="str">
            <v>63.000</v>
          </cell>
        </row>
        <row r="717">
          <cell r="A717" t="str">
            <v>Cây keo tai tượng đường kính thân 10 cm &lt; ĐK thân ≤20 cm</v>
          </cell>
          <cell r="B717" t="str">
            <v>Đồng/cây</v>
          </cell>
          <cell r="C717" t="str">
            <v>90.000</v>
          </cell>
        </row>
        <row r="718">
          <cell r="A718" t="str">
            <v>Cây keo tai tượng đường kính thân 20 cm &lt; ĐK thân ≤30 cm</v>
          </cell>
          <cell r="B718" t="str">
            <v>Đồng/cây</v>
          </cell>
          <cell r="C718" t="str">
            <v>230.000</v>
          </cell>
        </row>
        <row r="719">
          <cell r="A719" t="str">
            <v>Cây keo tai tượng đường kính thân 30 cm &lt; ĐK thân ≤40 cm</v>
          </cell>
          <cell r="B719" t="str">
            <v>Đồng/cây</v>
          </cell>
          <cell r="C719" t="str">
            <v>540.000</v>
          </cell>
        </row>
        <row r="720">
          <cell r="A720" t="str">
            <v>Cây keo tai tượng ĐK thân &gt; 40 cm</v>
          </cell>
          <cell r="B720" t="str">
            <v>Đồng/cây</v>
          </cell>
          <cell r="C720" t="str">
            <v>720.000</v>
          </cell>
        </row>
        <row r="721">
          <cell r="A721" t="str">
            <v>Cây liễu</v>
          </cell>
        </row>
        <row r="722">
          <cell r="A722" t="str">
            <v>Cây liễu giống mới trồng</v>
          </cell>
          <cell r="B722" t="str">
            <v>Đồng/cây</v>
          </cell>
          <cell r="C722" t="str">
            <v>5.000</v>
          </cell>
        </row>
        <row r="723">
          <cell r="A723" t="str">
            <v>Cây liễu đường kính thân 2 cm &lt; ĐK thân ≤5 cm</v>
          </cell>
          <cell r="B723" t="str">
            <v>Đồng/cây</v>
          </cell>
          <cell r="C723" t="str">
            <v>35.000</v>
          </cell>
        </row>
        <row r="724">
          <cell r="A724" t="str">
            <v>Cây liễu đường kính thân 5 cm &lt; ĐK thân ≤10 cm</v>
          </cell>
          <cell r="B724" t="str">
            <v>Đồng/cây</v>
          </cell>
          <cell r="C724" t="str">
            <v>70.000</v>
          </cell>
        </row>
        <row r="725">
          <cell r="A725" t="str">
            <v>Cây liễu đường kính thân 10 cm &lt; ĐK thân ≤15 cm</v>
          </cell>
          <cell r="B725" t="str">
            <v>Đồng/cây</v>
          </cell>
          <cell r="C725" t="str">
            <v>140.000</v>
          </cell>
        </row>
        <row r="726">
          <cell r="A726" t="str">
            <v>Cây liễu đường kính thân 15 cm &lt; ĐK thân ≤25 cm</v>
          </cell>
          <cell r="B726" t="str">
            <v>Đông/cây</v>
          </cell>
          <cell r="C726" t="str">
            <v>250.000</v>
          </cell>
        </row>
        <row r="727">
          <cell r="A727" t="str">
            <v>Cây liễu ĐK thân &gt; 25 cm</v>
          </cell>
          <cell r="B727" t="str">
            <v>Đồng/cây</v>
          </cell>
          <cell r="C727" t="str">
            <v>370.000</v>
          </cell>
        </row>
        <row r="728">
          <cell r="A728" t="str">
            <v>Cây lộc vừng</v>
          </cell>
        </row>
        <row r="729">
          <cell r="A729" t="str">
            <v>Cây lộc vừng giống mới trồng</v>
          </cell>
          <cell r="B729" t="str">
            <v>Đồng/cây</v>
          </cell>
          <cell r="C729" t="str">
            <v>9.000</v>
          </cell>
        </row>
        <row r="730">
          <cell r="A730" t="str">
            <v>Cây lộc vừng đường kính thân 2 cm &lt; ĐK thân ≤5 cm</v>
          </cell>
          <cell r="B730" t="str">
            <v>Đồng/cây</v>
          </cell>
          <cell r="C730" t="str">
            <v>50.000</v>
          </cell>
        </row>
        <row r="731">
          <cell r="A731" t="str">
            <v>Cây lộc vừng đường kính thân 5 cm &lt; ĐK thân ≤10 cm</v>
          </cell>
          <cell r="B731" t="str">
            <v>Đồng/cây</v>
          </cell>
          <cell r="C731" t="str">
            <v>180.000</v>
          </cell>
        </row>
        <row r="732">
          <cell r="A732" t="str">
            <v>Cây lộc vừng đường kính thân 10 cm &lt; ĐK thân ≤15 cm</v>
          </cell>
          <cell r="B732" t="str">
            <v>Đồng/cây</v>
          </cell>
          <cell r="C732" t="str">
            <v>. 270.000</v>
          </cell>
        </row>
        <row r="733">
          <cell r="A733" t="str">
            <v>Cây lộc vừng đường kính thân 15 cm &lt; ĐK thân ≤20 cm</v>
          </cell>
          <cell r="B733" t="str">
            <v>Đông/cây</v>
          </cell>
          <cell r="C733" t="str">
            <v>590.000</v>
          </cell>
        </row>
        <row r="734">
          <cell r="A734" t="str">
            <v>Cây lộc vừng đường kính thân 20 cm &lt; ĐK thân ≤25 cm</v>
          </cell>
          <cell r="B734" t="str">
            <v>Đồng/cây</v>
          </cell>
          <cell r="C734" t="str">
            <v>810.000</v>
          </cell>
        </row>
        <row r="735">
          <cell r="A735" t="str">
            <v>Cây lộc vừng đường kính thân 25 cm &lt; ĐK thân ≤30 cm</v>
          </cell>
          <cell r="B735" t="str">
            <v>Đồng/cây</v>
          </cell>
          <cell r="C735" t="str">
            <v>1.400.000</v>
          </cell>
        </row>
        <row r="736">
          <cell r="A736" t="str">
            <v>Cây lộc vừng ĐK thân &gt;30 cm</v>
          </cell>
          <cell r="B736" t="str">
            <v>Đồng/cây</v>
          </cell>
          <cell r="C736" t="str">
            <v>1.800.000</v>
          </cell>
        </row>
        <row r="737">
          <cell r="A737" t="str">
            <v>Cây móng rồng</v>
          </cell>
        </row>
        <row r="738">
          <cell r="A738" t="str">
            <v>Cây móng rồng giống</v>
          </cell>
          <cell r="B738" t="str">
            <v>Đồng/cây</v>
          </cell>
          <cell r="C738" t="str">
            <v>15.000</v>
          </cell>
        </row>
        <row r="739">
          <cell r="A739" t="str">
            <v>Cây móng rồng đường kính thân 1 cm &lt; ĐK thân ≤3 cm</v>
          </cell>
          <cell r="B739" t="str">
            <v>Đồng/cây</v>
          </cell>
          <cell r="C739" t="str">
            <v>55.000</v>
          </cell>
        </row>
        <row r="740">
          <cell r="A740" t="str">
            <v>Cây móng rồng đường kính thân 3 cm &lt; ĐK thân ≤5 cm</v>
          </cell>
          <cell r="B740" t="str">
            <v>Đồng/cây</v>
          </cell>
          <cell r="C740" t="str">
            <v>100.000</v>
          </cell>
        </row>
        <row r="741">
          <cell r="A741" t="str">
            <v>Cây móng rồng đường kính thân 5 cm &lt; ĐK thân ≤10 cm</v>
          </cell>
          <cell r="B741" t="str">
            <v>Đồng/cây</v>
          </cell>
          <cell r="C741" t="str">
            <v>200.000</v>
          </cell>
        </row>
        <row r="742">
          <cell r="A742" t="str">
            <v>Cây móng rồng đường kính thân 10 cm &lt; ĐK thân ≤15 cm</v>
          </cell>
          <cell r="B742" t="str">
            <v>Đồng/cây</v>
          </cell>
          <cell r="C742" t="str">
            <v>300.000</v>
          </cell>
        </row>
        <row r="743">
          <cell r="A743" t="str">
            <v>Cây móng rồng ĐK thân &gt; 15 cm</v>
          </cell>
          <cell r="B743" t="str">
            <v>Đồng/cây</v>
          </cell>
          <cell r="C743" t="str">
            <v>500.000</v>
          </cell>
        </row>
        <row r="744">
          <cell r="A744" t="str">
            <v>Cây đa (sanh, si, duối, bồ đề)</v>
          </cell>
        </row>
        <row r="745">
          <cell r="A745" t="str">
            <v>Cây đa (sanh, si, duối, bồ đề) Cây giống mới trồng</v>
          </cell>
          <cell r="B745" t="str">
            <v>Đồng/cây</v>
          </cell>
          <cell r="C745" t="str">
            <v>25.000</v>
          </cell>
        </row>
        <row r="746">
          <cell r="A746" t="str">
            <v>Cây đa (sanh, si, duối, bồ đề) đường kính thân 2 cm &lt; ĐK thân ≤5 cm</v>
          </cell>
          <cell r="B746" t="str">
            <v>Đồng/cây</v>
          </cell>
          <cell r="C746" t="str">
            <v>65.000</v>
          </cell>
        </row>
        <row r="747">
          <cell r="A747" t="str">
            <v>Cây đa (sanh, si, duối, bồ đề) đường kính thân 5 cm &lt; ĐK thân ≤10 cm</v>
          </cell>
          <cell r="B747" t="str">
            <v>Đồng/cây</v>
          </cell>
          <cell r="C747" t="str">
            <v>100.000</v>
          </cell>
        </row>
        <row r="748">
          <cell r="A748" t="str">
            <v>Cây đa (sanh, si, duối, bồ đề) đường kính thân 10 cm &lt; ĐK thân ≤15 cm</v>
          </cell>
          <cell r="B748" t="str">
            <v>Đồng/cây</v>
          </cell>
          <cell r="C748" t="str">
            <v>150.000</v>
          </cell>
        </row>
        <row r="749">
          <cell r="A749" t="str">
            <v>Cây đa (sanh, si, duối, bồ đề) đường kính thân 15 cm &lt; ĐK thân ≤25 cm</v>
          </cell>
          <cell r="B749" t="str">
            <v>Đồng/cây</v>
          </cell>
          <cell r="C749" t="str">
            <v>200.000</v>
          </cell>
        </row>
        <row r="750">
          <cell r="A750" t="str">
            <v>Cây đa (sanh, si, duối, bồ đề) đường kính thân 25 cm &lt; ĐK thân ≤40 cm</v>
          </cell>
          <cell r="B750" t="str">
            <v>Đồng/cây</v>
          </cell>
          <cell r="C750" t="str">
            <v>400.000</v>
          </cell>
        </row>
        <row r="751">
          <cell r="A751" t="str">
            <v>Cây đa (sanh, si, duối, bồ đề) đường kính thân 40 cm &lt; ĐK thân ≤60 cm</v>
          </cell>
          <cell r="B751" t="str">
            <v>Đồng/cây</v>
          </cell>
          <cell r="C751" t="str">
            <v>600.000</v>
          </cell>
        </row>
        <row r="752">
          <cell r="A752" t="str">
            <v>Cây đa (sanh, si, duối, bồ đề) ĐK thân &gt; 60 cm</v>
          </cell>
          <cell r="B752" t="str">
            <v>Đồng/cây</v>
          </cell>
          <cell r="C752" t="str">
            <v>1.000.000</v>
          </cell>
        </row>
        <row r="753">
          <cell r="A753" t="str">
            <v>Cây sộp (Túc)</v>
          </cell>
        </row>
        <row r="754">
          <cell r="A754" t="str">
            <v>Cây sộp (Túc) Cây giống đủ tiêu chuẩn mới trồng, chiều cao cây H &lt; 40cm</v>
          </cell>
          <cell r="B754" t="str">
            <v>Đồng/cây</v>
          </cell>
          <cell r="C754" t="str">
            <v>40.000</v>
          </cell>
        </row>
        <row r="755">
          <cell r="A755" t="str">
            <v>Cây sộp (Túc) đường kính thân 10 cm &lt; ĐK thân ≤15 cm</v>
          </cell>
          <cell r="B755" t="str">
            <v>Đồng/cây</v>
          </cell>
          <cell r="C755" t="str">
            <v>150.000</v>
          </cell>
        </row>
        <row r="756">
          <cell r="A756" t="str">
            <v>Cây sộp (Túc) đường kính thân 15 cm &lt; ĐK thân ≤20 cm</v>
          </cell>
          <cell r="B756" t="str">
            <v>Đồng/cây</v>
          </cell>
          <cell r="C756" t="str">
            <v>190.000</v>
          </cell>
        </row>
        <row r="757">
          <cell r="A757" t="str">
            <v>Cây sộp (Túc) đường kính thân 20 cm &lt; ĐK thân ≤30 cm</v>
          </cell>
          <cell r="B757" t="str">
            <v>Đồng/cây</v>
          </cell>
          <cell r="C757" t="str">
            <v>340.000</v>
          </cell>
        </row>
        <row r="758">
          <cell r="A758" t="str">
            <v>Cây sộp (Túc) đường kính thân 30 cm&lt; ĐK thân ≤40cm</v>
          </cell>
          <cell r="B758" t="str">
            <v>Đồng/cây</v>
          </cell>
          <cell r="C758" t="str">
            <v>580.000</v>
          </cell>
        </row>
        <row r="759">
          <cell r="A759" t="str">
            <v>Cây sộp (Túc) ĐK thân &gt; 40 cm</v>
          </cell>
          <cell r="B759" t="str">
            <v>Đồng/cây</v>
          </cell>
          <cell r="C759" t="str">
            <v>940.000</v>
          </cell>
        </row>
        <row r="760">
          <cell r="A760" t="str">
            <v>Cây gáo</v>
          </cell>
        </row>
        <row r="761">
          <cell r="A761" t="str">
            <v>Cây gáo Giống đủ tiêu chuẩn mới trồng, chiều cao cây H ≥ 40cm</v>
          </cell>
          <cell r="B761" t="str">
            <v>Đồng/cây</v>
          </cell>
          <cell r="C761" t="str">
            <v>7.000</v>
          </cell>
        </row>
        <row r="762">
          <cell r="A762" t="str">
            <v>Cây gáo đường kính gốc 1cm ≤ ĐK gốc &lt; 3cm</v>
          </cell>
          <cell r="B762" t="str">
            <v>Đồng/cây</v>
          </cell>
          <cell r="C762" t="str">
            <v>15.000</v>
          </cell>
        </row>
        <row r="763">
          <cell r="A763" t="str">
            <v>Cây gáo đường kính gốc 3 cm ≤ ĐK gốc &lt; 5 cm</v>
          </cell>
          <cell r="B763" t="str">
            <v>Đồng/cây</v>
          </cell>
          <cell r="C763" t="str">
            <v>30.000</v>
          </cell>
        </row>
        <row r="764">
          <cell r="A764" t="str">
            <v>Cây gáo đường kính gốc 5cm ≤ ĐK gốc &lt; 10cm</v>
          </cell>
          <cell r="B764" t="str">
            <v>Đồng/cây</v>
          </cell>
          <cell r="C764" t="str">
            <v>50.000</v>
          </cell>
        </row>
        <row r="765">
          <cell r="A765" t="str">
            <v>Cây gáo đường kính gốc 10cm ≤ ĐK gốc &lt; 15cm</v>
          </cell>
          <cell r="B765" t="str">
            <v>Đồng/cây</v>
          </cell>
          <cell r="C765" t="str">
            <v>72.000</v>
          </cell>
        </row>
        <row r="766">
          <cell r="A766" t="str">
            <v>Cây gáo đường kính gốc 15cm ≤ ĐK gốc &lt; 20cm</v>
          </cell>
          <cell r="B766" t="str">
            <v>Đồng/cây</v>
          </cell>
          <cell r="C766" t="str">
            <v>110.000</v>
          </cell>
        </row>
        <row r="767">
          <cell r="A767" t="str">
            <v>Cây gáo đường kính gốc 20cm ≤ ĐK gốc &lt; 30cm</v>
          </cell>
          <cell r="B767" t="str">
            <v>Đồng/cây</v>
          </cell>
          <cell r="C767" t="str">
            <v>144.000</v>
          </cell>
        </row>
        <row r="768">
          <cell r="A768" t="str">
            <v>Cây gáo đường kính gốc 30cm ≤ ĐK gốc &lt; 40cm</v>
          </cell>
          <cell r="B768" t="str">
            <v>Đồng/cây</v>
          </cell>
          <cell r="C768" t="str">
            <v>180.000</v>
          </cell>
        </row>
        <row r="769">
          <cell r="A769" t="str">
            <v>Cây gáo ĐK gốc ≥  40cm</v>
          </cell>
          <cell r="B769" t="str">
            <v>Đồng/cây</v>
          </cell>
          <cell r="C769" t="str">
            <v>480.000</v>
          </cell>
        </row>
        <row r="770">
          <cell r="A770" t="str">
            <v>Cây vọng cách</v>
          </cell>
        </row>
        <row r="771">
          <cell r="A771" t="str">
            <v>Cây vọng cách Cây giống mới trồng</v>
          </cell>
          <cell r="B771" t="str">
            <v>Đồng/cây</v>
          </cell>
          <cell r="C771" t="str">
            <v>10.000</v>
          </cell>
        </row>
        <row r="772">
          <cell r="A772" t="str">
            <v>Cây vọng cách đường kính thân 2 cm &lt; ĐK thân ≤5 cm</v>
          </cell>
          <cell r="B772" t="str">
            <v>Đồng/cây</v>
          </cell>
          <cell r="C772" t="str">
            <v>55.000</v>
          </cell>
        </row>
        <row r="773">
          <cell r="A773" t="str">
            <v>Cây vọng cách đường kính thân 5 cm &lt; ĐK thân ≤10 cm</v>
          </cell>
          <cell r="B773" t="str">
            <v>Đồng/cây</v>
          </cell>
          <cell r="C773" t="str">
            <v>200.000</v>
          </cell>
        </row>
        <row r="774">
          <cell r="A774" t="str">
            <v>Cây vọng cách đường kính thân 10 cm &lt; ĐK thân ≤15 cm</v>
          </cell>
          <cell r="B774" t="str">
            <v>Đồng/cây</v>
          </cell>
          <cell r="C774" t="str">
            <v>250.000</v>
          </cell>
        </row>
        <row r="775">
          <cell r="A775" t="str">
            <v>Cây vọng cách đường kính thân 15 cm &lt; ĐK thân ≤20 cm</v>
          </cell>
          <cell r="B775" t="str">
            <v>Đồng/cây</v>
          </cell>
          <cell r="C775" t="str">
            <v>550.000</v>
          </cell>
        </row>
        <row r="776">
          <cell r="A776" t="str">
            <v>Cây vọng cách đường kính thân 20 cm &lt; ĐK thân ≤30 cm</v>
          </cell>
          <cell r="B776" t="str">
            <v>Đồng/cây</v>
          </cell>
          <cell r="C776" t="str">
            <v>750.000</v>
          </cell>
        </row>
        <row r="777">
          <cell r="A777" t="str">
            <v>Cây vọng cách đường kính thân 30 cm &lt; ĐK thân ≤40 cm</v>
          </cell>
          <cell r="B777" t="str">
            <v>Đồng/cây</v>
          </cell>
          <cell r="C777" t="str">
            <v>1.000.000</v>
          </cell>
        </row>
        <row r="778">
          <cell r="A778" t="str">
            <v>Cây vọng cách ĐK thân &gt; 40 cm</v>
          </cell>
          <cell r="B778" t="str">
            <v>Đồng/cây</v>
          </cell>
          <cell r="C778" t="str">
            <v>1.500.000</v>
          </cell>
        </row>
        <row r="779">
          <cell r="A779" t="str">
            <v>Muồng Hoàng yến (Osaka vàng)</v>
          </cell>
        </row>
        <row r="780">
          <cell r="A780" t="str">
            <v>Muồng Hoàng yến (Osaka vàng) Giống đủ tiêu chuẩn mới trồng, chiều cao cây H  ≤40cm</v>
          </cell>
          <cell r="B780" t="str">
            <v>Đồng/cây</v>
          </cell>
          <cell r="C780" t="str">
            <v>40.000</v>
          </cell>
        </row>
        <row r="781">
          <cell r="A781" t="str">
            <v>Muồng Hoàng yến (Osaka vàng) đường kính gốc 1 cm  ≤ ĐK gốc &lt; 3 cm</v>
          </cell>
          <cell r="B781" t="str">
            <v>Đồng/cây</v>
          </cell>
          <cell r="C781" t="str">
            <v>70.000</v>
          </cell>
        </row>
        <row r="782">
          <cell r="A782" t="str">
            <v>Muồng Hoàng yến (Osaka vàng) đường kính gốc 3 cm  ≤ ĐK gốc &lt; 5 cm</v>
          </cell>
          <cell r="B782" t="str">
            <v>Đồng/cây</v>
          </cell>
          <cell r="C782" t="str">
            <v>120.000</v>
          </cell>
        </row>
        <row r="783">
          <cell r="A783" t="str">
            <v>Muồng Hoàng yến (Osaka vàng) đường kính gốc 5cm  ≤ ĐK gốc &lt; 10cm</v>
          </cell>
          <cell r="B783" t="str">
            <v>Đồng/cây</v>
          </cell>
          <cell r="C783" t="str">
            <v>240.000</v>
          </cell>
        </row>
        <row r="784">
          <cell r="A784" t="str">
            <v>Muồng Hoàng yến (Osaka vàng) đường kính gốc 10cm  ≤ ĐK gốc &lt; 15cm</v>
          </cell>
          <cell r="B784" t="str">
            <v>Đồng/cây</v>
          </cell>
          <cell r="C784" t="str">
            <v>360.000</v>
          </cell>
        </row>
        <row r="785">
          <cell r="A785" t="str">
            <v>Muồng Hoàng yến (Osaka vàng) đường kính gốc 15cm  ≤ ĐK gốc &lt; 20cm</v>
          </cell>
          <cell r="B785" t="str">
            <v>Đồng/cây</v>
          </cell>
          <cell r="C785" t="str">
            <v>600.000</v>
          </cell>
        </row>
        <row r="786">
          <cell r="A786" t="str">
            <v>Muồng Hoàng yến (Osaka vàng) đường kính gốc 20cm  ≤ ĐK gốc &lt; 30cm</v>
          </cell>
          <cell r="B786" t="str">
            <v>Đồng/cây</v>
          </cell>
          <cell r="C786" t="str">
            <v>1.200.000</v>
          </cell>
        </row>
        <row r="787">
          <cell r="A787" t="str">
            <v>Muồng Hoàng yến (Osaka vàng) đường kính gốc 30cm  ≤ ĐK gốc &lt; 40cm</v>
          </cell>
          <cell r="B787" t="str">
            <v>Đồng/cây</v>
          </cell>
          <cell r="C787" t="str">
            <v>2.400.000</v>
          </cell>
        </row>
        <row r="788">
          <cell r="A788" t="str">
            <v>Muồng Hoàng yến (Osaka vàng) ĐK gốc ≥ 40cm</v>
          </cell>
          <cell r="B788" t="str">
            <v>Đồng/cây</v>
          </cell>
          <cell r="C788" t="str">
            <v>3.600.000</v>
          </cell>
        </row>
        <row r="789">
          <cell r="A789" t="str">
            <v>Cây bồ kết</v>
          </cell>
        </row>
        <row r="790">
          <cell r="A790" t="str">
            <v>Cây bồ kết Cây giống đủ tiêu chuẩn mới trồng, chiều cao cây H ≥ 40cm</v>
          </cell>
          <cell r="B790" t="str">
            <v>Đồng/cây</v>
          </cell>
          <cell r="C790" t="str">
            <v>20.000</v>
          </cell>
        </row>
        <row r="791">
          <cell r="A791" t="str">
            <v>Cây bồ kết đường kính gốc 1 cm ≤ ĐK gốc &lt; 2cm</v>
          </cell>
          <cell r="B791" t="str">
            <v>Đồng/cây</v>
          </cell>
          <cell r="C791" t="str">
            <v>30.000</v>
          </cell>
        </row>
        <row r="792">
          <cell r="A792" t="str">
            <v>Cây bồ kết đường kính gốc 2cm ≤ ĐK gốc &lt; 5cm</v>
          </cell>
          <cell r="B792" t="str">
            <v>Đồng/cây</v>
          </cell>
          <cell r="C792" t="str">
            <v>72.000</v>
          </cell>
        </row>
        <row r="793">
          <cell r="A793" t="str">
            <v>Cây bồ kết đường kính gốc 5cm ≤ ĐK gốc &lt; 7cm</v>
          </cell>
          <cell r="B793" t="str">
            <v>Đồng/cây</v>
          </cell>
          <cell r="C793" t="str">
            <v>126.000</v>
          </cell>
        </row>
        <row r="794">
          <cell r="A794" t="str">
            <v>Cây bồ kết đường kính gốc 7cm ≤ ĐK gốc &lt; 9cm</v>
          </cell>
          <cell r="B794" t="str">
            <v>Đồng/cây</v>
          </cell>
          <cell r="C794" t="str">
            <v>180.000</v>
          </cell>
        </row>
        <row r="795">
          <cell r="A795" t="str">
            <v>Cây bồ kết đường kính gốc 9cm ≤ ĐK gốc &lt; 12cm</v>
          </cell>
          <cell r="B795" t="str">
            <v>Đồng/cây</v>
          </cell>
          <cell r="C795" t="str">
            <v>234.000</v>
          </cell>
        </row>
        <row r="796">
          <cell r="A796" t="str">
            <v>Cây bồ kết đường kính gốc 12cm ≤ ĐK gốc &lt; 15cm</v>
          </cell>
          <cell r="B796" t="str">
            <v>Đồng/cây</v>
          </cell>
          <cell r="C796" t="str">
            <v>300.000</v>
          </cell>
        </row>
        <row r="797">
          <cell r="A797" t="str">
            <v>Cây bồ kết đường kính gốc 15cm ≤ ĐK gốc &lt; 20cm</v>
          </cell>
          <cell r="B797" t="str">
            <v>Đồng/cây</v>
          </cell>
          <cell r="C797" t="str">
            <v>420.000</v>
          </cell>
        </row>
        <row r="798">
          <cell r="A798" t="str">
            <v>Cây bồ kết đường kính gốc 20cm ≤ ĐK gốc &lt; 25cm</v>
          </cell>
          <cell r="B798" t="str">
            <v>Đồng/cây</v>
          </cell>
          <cell r="C798" t="str">
            <v>504.000</v>
          </cell>
        </row>
        <row r="799">
          <cell r="A799" t="str">
            <v>Cây bồ kết đường kính gốc 25cm ≤ ĐK gốc &lt; 30cm</v>
          </cell>
          <cell r="B799" t="str">
            <v>Đồng/cây</v>
          </cell>
          <cell r="C799" t="str">
            <v>576.000</v>
          </cell>
        </row>
        <row r="800">
          <cell r="A800" t="str">
            <v>Cây bồ kết đường kính gốc 30cm ≤ ĐK gốc &lt; 35cm</v>
          </cell>
          <cell r="B800" t="str">
            <v>Đồng/cây</v>
          </cell>
          <cell r="C800" t="str">
            <v>696.000</v>
          </cell>
        </row>
        <row r="801">
          <cell r="A801" t="str">
            <v>Cây bồ kết đường kính gốc 35cm ≤ ĐK gốc &lt; 50cm</v>
          </cell>
          <cell r="B801" t="str">
            <v>Đồng/cây</v>
          </cell>
          <cell r="C801" t="str">
            <v>820.000</v>
          </cell>
        </row>
        <row r="802">
          <cell r="A802" t="str">
            <v>Cây bồ kết ĐK gốc ≥ 50cm</v>
          </cell>
          <cell r="B802" t="str">
            <v>Đồng/cây</v>
          </cell>
          <cell r="C802" t="str">
            <v>900.000</v>
          </cell>
        </row>
        <row r="803">
          <cell r="A803" t="str">
            <v>Cây vông</v>
          </cell>
        </row>
        <row r="804">
          <cell r="A804" t="str">
            <v>Cây vông giống mới trồng</v>
          </cell>
          <cell r="B804" t="str">
            <v>Đồng/cây</v>
          </cell>
          <cell r="C804" t="str">
            <v>12.000</v>
          </cell>
        </row>
        <row r="805">
          <cell r="A805" t="str">
            <v>Cây vông đường kính thân 2 cm &lt; ĐK thân ≤5 cm</v>
          </cell>
          <cell r="B805" t="str">
            <v>Đồng/cây</v>
          </cell>
          <cell r="C805" t="str">
            <v>20.000</v>
          </cell>
        </row>
        <row r="806">
          <cell r="A806" t="str">
            <v>Cây vông đường kính thân 5 cm &lt; ĐK thân ≤10 cm</v>
          </cell>
          <cell r="B806" t="str">
            <v>Đồng/cây</v>
          </cell>
          <cell r="C806" t="str">
            <v>30.000</v>
          </cell>
        </row>
        <row r="807">
          <cell r="A807" t="str">
            <v>Cây vông đường kính thân 10 cm &lt; ĐK thân ≤15 cm</v>
          </cell>
          <cell r="B807" t="str">
            <v>Đồng/cây</v>
          </cell>
          <cell r="C807" t="str">
            <v>55.000</v>
          </cell>
        </row>
        <row r="808">
          <cell r="A808" t="str">
            <v>Cây vông đường kính thân 15 cm &lt; ĐK thân ≤25 cm</v>
          </cell>
          <cell r="B808" t="str">
            <v>Đồng/cây</v>
          </cell>
          <cell r="C808" t="str">
            <v>140.000</v>
          </cell>
        </row>
        <row r="809">
          <cell r="A809" t="str">
            <v>Cây vông đường kính thân 25 cm &lt; ĐK thân ≤40 cm</v>
          </cell>
          <cell r="B809" t="str">
            <v>Đồng/cây</v>
          </cell>
          <cell r="C809" t="str">
            <v>174.000</v>
          </cell>
        </row>
        <row r="810">
          <cell r="A810" t="str">
            <v>Cây vông đường kính thân 40 cm &lt; ĐK thân ≤60 cm</v>
          </cell>
          <cell r="B810" t="str">
            <v>Đồng/cây</v>
          </cell>
          <cell r="C810" t="str">
            <v>210.000</v>
          </cell>
        </row>
        <row r="811">
          <cell r="A811" t="str">
            <v>Cây vông ĐK thân &gt; 60 cm</v>
          </cell>
          <cell r="B811" t="str">
            <v>Đồng/cây</v>
          </cell>
          <cell r="C811" t="str">
            <v>250.000</v>
          </cell>
        </row>
        <row r="812">
          <cell r="A812" t="str">
            <v>Cây tre hóa</v>
          </cell>
        </row>
        <row r="813">
          <cell r="A813" t="str">
            <v>Cây tre hóa Cây giống đủ tiêu chuẩn mới trồng</v>
          </cell>
          <cell r="B813" t="str">
            <v>Đồng/cây</v>
          </cell>
          <cell r="C813" t="str">
            <v>15.000</v>
          </cell>
        </row>
        <row r="814">
          <cell r="A814" t="str">
            <v>Cây tre hóa đường kính thân 2 cm &lt; ĐK thân ≤5 cm</v>
          </cell>
          <cell r="B814" t="str">
            <v>Đồng/cây</v>
          </cell>
          <cell r="C814" t="str">
            <v>70.000</v>
          </cell>
        </row>
        <row r="815">
          <cell r="A815" t="str">
            <v>Cây tre hóa đường kính thân 5 cm &lt; ĐK thân ≤10 cm</v>
          </cell>
          <cell r="B815" t="str">
            <v>Đồng/cây</v>
          </cell>
          <cell r="C815" t="str">
            <v>150.000</v>
          </cell>
        </row>
        <row r="816">
          <cell r="A816" t="str">
            <v>Cây tre hóa ĐK thân &gt; 10 cm</v>
          </cell>
          <cell r="B816" t="str">
            <v>Đồng/cây</v>
          </cell>
          <cell r="C816" t="str">
            <v>300.000</v>
          </cell>
        </row>
        <row r="817">
          <cell r="A817" t="str">
            <v>Cây cau bụng</v>
          </cell>
        </row>
        <row r="818">
          <cell r="A818" t="str">
            <v>Cây cau bụng Cây giống mới trồng</v>
          </cell>
          <cell r="B818" t="str">
            <v>Đồng/cây</v>
          </cell>
          <cell r="C818" t="str">
            <v>5.000</v>
          </cell>
        </row>
        <row r="819">
          <cell r="A819" t="str">
            <v>Cây cau bụng đường kính thân 2 cm&lt; ĐK thân ≤5 cm</v>
          </cell>
          <cell r="B819" t="str">
            <v>Đồng/cây</v>
          </cell>
          <cell r="C819" t="str">
            <v>30.000</v>
          </cell>
        </row>
        <row r="820">
          <cell r="A820" t="str">
            <v>Cây cau bụng đường kính thân 5 cm &lt; ĐK thân ≤10 cm</v>
          </cell>
          <cell r="B820" t="str">
            <v>Đồng/cây</v>
          </cell>
          <cell r="C820" t="str">
            <v>52.000</v>
          </cell>
        </row>
        <row r="821">
          <cell r="A821" t="str">
            <v>Cây cau bụng đường kính thân 10 cm &lt; ĐK thân ≤15 cm</v>
          </cell>
          <cell r="B821" t="str">
            <v>Đồng/cây</v>
          </cell>
          <cell r="C821" t="str">
            <v>110.000</v>
          </cell>
        </row>
        <row r="822">
          <cell r="A822" t="str">
            <v>Cây cau bụng đường kính thân 15 cm &lt; ĐK thân ≤25 cm</v>
          </cell>
          <cell r="B822" t="str">
            <v>Đồng/cây</v>
          </cell>
          <cell r="C822" t="str">
            <v>340.000</v>
          </cell>
        </row>
        <row r="823">
          <cell r="A823" t="str">
            <v>Cây cau bụng đường kính thân 25 cm &lt; ĐK thân ≤40 cm</v>
          </cell>
          <cell r="B823" t="str">
            <v>Đồng/cây</v>
          </cell>
          <cell r="C823" t="str">
            <v>380.000</v>
          </cell>
        </row>
        <row r="824">
          <cell r="A824" t="str">
            <v>Cây cau bụng ĐK thân &gt; 40 cm</v>
          </cell>
          <cell r="B824" t="str">
            <v>Đồng/cây</v>
          </cell>
          <cell r="C824" t="str">
            <v>440.000</v>
          </cell>
        </row>
        <row r="825">
          <cell r="A825" t="str">
            <v>Cây cau sâm panh</v>
          </cell>
        </row>
        <row r="826">
          <cell r="A826" t="str">
            <v>Cây cau sâm panh Cây giống mới trồng</v>
          </cell>
          <cell r="B826" t="str">
            <v>Đồng/cây</v>
          </cell>
          <cell r="C826" t="str">
            <v>10.000</v>
          </cell>
        </row>
        <row r="827">
          <cell r="A827" t="str">
            <v>Cây cau sâm panh đường kính thân 2 cm &lt; ĐK thân ≤5 cm</v>
          </cell>
          <cell r="B827" t="str">
            <v>Đồng/cây</v>
          </cell>
          <cell r="C827" t="str">
            <v>30.000</v>
          </cell>
        </row>
        <row r="828">
          <cell r="A828" t="str">
            <v>Cây cau sâm panh đường kính thân 5 cm &lt; ĐK thân ≤10 cm</v>
          </cell>
          <cell r="B828" t="str">
            <v>Đồng/cây</v>
          </cell>
          <cell r="C828" t="str">
            <v>52.000</v>
          </cell>
        </row>
        <row r="829">
          <cell r="A829" t="str">
            <v>Cây cau sâm panh đường kính thân 10 cm &lt; ĐK thân ≤15 cm</v>
          </cell>
          <cell r="B829" t="str">
            <v>Đồng/cây</v>
          </cell>
          <cell r="C829" t="str">
            <v>110.000</v>
          </cell>
        </row>
        <row r="830">
          <cell r="A830" t="str">
            <v>Cây cau sâm panh đường kính thân 15 cm &lt; ĐK thân ≤25 cm</v>
          </cell>
          <cell r="B830" t="str">
            <v>Đồng/cây</v>
          </cell>
          <cell r="C830" t="str">
            <v>340.000</v>
          </cell>
        </row>
        <row r="831">
          <cell r="A831" t="str">
            <v>Cây cau sâm panh đường kính thân 25 cm &lt; ĐK thân ≤40 cm</v>
          </cell>
          <cell r="B831" t="str">
            <v>Đồng/cây</v>
          </cell>
          <cell r="C831" t="str">
            <v>380.000</v>
          </cell>
        </row>
        <row r="832">
          <cell r="A832" t="str">
            <v>Cây cau sâm panh đường kính thân 40 cm &lt; ĐK thân ≤60 cm</v>
          </cell>
          <cell r="B832" t="str">
            <v>Đồng/cây</v>
          </cell>
          <cell r="C832" t="str">
            <v>440.000</v>
          </cell>
        </row>
        <row r="833">
          <cell r="A833" t="str">
            <v>Cây cau sâm panh ĐK thân &gt; 60 cm</v>
          </cell>
          <cell r="B833" t="str">
            <v>Đồng/cây</v>
          </cell>
          <cell r="C833" t="str">
            <v>550.000</v>
          </cell>
        </row>
        <row r="834">
          <cell r="A834" t="str">
            <v>Cây cần thăng</v>
          </cell>
        </row>
        <row r="835">
          <cell r="A835" t="str">
            <v>Cây cần thăng Cây giống mới trồng</v>
          </cell>
          <cell r="B835" t="str">
            <v>Đồng/cây</v>
          </cell>
          <cell r="C835" t="str">
            <v>15.000</v>
          </cell>
        </row>
        <row r="836">
          <cell r="A836" t="str">
            <v>Cây cần thăng đường kính thân 2 cm &lt; ĐK thân ≤5 cm</v>
          </cell>
          <cell r="B836" t="str">
            <v>Đồng/cây</v>
          </cell>
          <cell r="C836" t="str">
            <v>80.000</v>
          </cell>
        </row>
        <row r="837">
          <cell r="A837" t="str">
            <v>Cây cần thăng đường kính thân 5 cm &lt; ĐK thân ≤  10 cm</v>
          </cell>
          <cell r="B837" t="str">
            <v>Đồng/cây</v>
          </cell>
          <cell r="C837" t="str">
            <v>170.000</v>
          </cell>
        </row>
        <row r="838">
          <cell r="A838" t="str">
            <v>Cây cần thăng đường kính thân 10 cm &lt; ĐK thân ≤ 15 cm</v>
          </cell>
          <cell r="B838" t="str">
            <v>Đồng/cây</v>
          </cell>
          <cell r="C838" t="str">
            <v>250.000</v>
          </cell>
        </row>
        <row r="839">
          <cell r="A839" t="str">
            <v>Cây cần thăng ĐK thân &gt; 15 cm</v>
          </cell>
          <cell r="B839" t="str">
            <v>Đồng/cây</v>
          </cell>
          <cell r="C839" t="str">
            <v>350.000</v>
          </cell>
        </row>
        <row r="840">
          <cell r="A840" t="str">
            <v>Cây hoa trà</v>
          </cell>
        </row>
        <row r="841">
          <cell r="A841" t="str">
            <v>Cây hoa trà Cây giống mới trồng</v>
          </cell>
          <cell r="B841" t="str">
            <v>Đồng/cây</v>
          </cell>
          <cell r="C841" t="str">
            <v>10.000</v>
          </cell>
        </row>
        <row r="842">
          <cell r="A842" t="str">
            <v>Cây hoa trà đường kính thân 0,5 cm &lt; ĐK thân ≤3 cm</v>
          </cell>
          <cell r="B842" t="str">
            <v>Đồng/cây</v>
          </cell>
          <cell r="C842" t="str">
            <v>100.000</v>
          </cell>
        </row>
        <row r="843">
          <cell r="A843" t="str">
            <v>Cây hoa trà đường kính thân 3 cm &lt; ĐK thân ≤5 cm</v>
          </cell>
          <cell r="B843" t="str">
            <v>Đồng/cây</v>
          </cell>
          <cell r="C843" t="str">
            <v>300.000</v>
          </cell>
        </row>
        <row r="844">
          <cell r="A844" t="str">
            <v>Cây hoa trà đường kính thân 5 cm &lt; ĐK thân ≤8 cm</v>
          </cell>
          <cell r="B844" t="str">
            <v>Đông/cây</v>
          </cell>
          <cell r="C844" t="str">
            <v>700.000</v>
          </cell>
        </row>
        <row r="845">
          <cell r="A845" t="str">
            <v>Cây hoa trà ĐK thân &gt; 8 cm</v>
          </cell>
          <cell r="B845" t="str">
            <v>Đồng/cây</v>
          </cell>
          <cell r="C845" t="str">
            <v>1.200.000</v>
          </cell>
        </row>
        <row r="846">
          <cell r="A846" t="str">
            <v>Cây hải đường</v>
          </cell>
        </row>
        <row r="847">
          <cell r="A847" t="str">
            <v>Cây hải đường Cây giống đủ tiêu chuẩn mới trồng</v>
          </cell>
          <cell r="B847" t="str">
            <v>Đồng/cây</v>
          </cell>
          <cell r="C847" t="str">
            <v>50.000</v>
          </cell>
        </row>
        <row r="848">
          <cell r="A848" t="str">
            <v>Cây hải đường  đường kính thân 0,5 cm &lt; ĐK thân ≤3 cm</v>
          </cell>
          <cell r="B848" t="str">
            <v>Đồng/cây</v>
          </cell>
          <cell r="C848" t="str">
            <v>100.000</v>
          </cell>
        </row>
        <row r="849">
          <cell r="A849" t="str">
            <v>Cây hải đường  đường kính thân 3 cm &lt; ĐK thân ≤5 cm</v>
          </cell>
          <cell r="B849" t="str">
            <v>Đồng/cây</v>
          </cell>
          <cell r="C849" t="str">
            <v>300.000</v>
          </cell>
        </row>
        <row r="850">
          <cell r="A850" t="str">
            <v>Cây hải đường  đường kính thân 5 cm &lt; ĐK thân ≤8 cm</v>
          </cell>
          <cell r="B850" t="str">
            <v>Đồng/cây</v>
          </cell>
          <cell r="C850" t="str">
            <v>700.000</v>
          </cell>
        </row>
        <row r="851">
          <cell r="A851" t="str">
            <v>Cây hải đường ĐK thân &gt; 8 cm</v>
          </cell>
          <cell r="B851" t="str">
            <v>Đồng/câỷ</v>
          </cell>
          <cell r="C851" t="str">
            <v>1.200.000</v>
          </cell>
        </row>
        <row r="852">
          <cell r="A852" t="str">
            <v>Cây tường vi</v>
          </cell>
        </row>
        <row r="853">
          <cell r="A853" t="str">
            <v>Cây tường vi Cây giống mới trồng</v>
          </cell>
          <cell r="B853" t="str">
            <v>Đồng/cây</v>
          </cell>
          <cell r="C853" t="str">
            <v>15.000</v>
          </cell>
        </row>
        <row r="854">
          <cell r="A854" t="str">
            <v>Cây tường vi đường kính thân 2 cm &lt; ĐK thân ≤5 cm</v>
          </cell>
          <cell r="B854" t="str">
            <v>Đồng/cây</v>
          </cell>
          <cell r="C854" t="str">
            <v>150.000</v>
          </cell>
        </row>
        <row r="855">
          <cell r="A855" t="str">
            <v>Cây tường vi đường kính thân 5 cm &lt; ĐK thân ≤10 cm</v>
          </cell>
          <cell r="B855" t="str">
            <v>Đông/cây</v>
          </cell>
          <cell r="C855" t="str">
            <v>350.000</v>
          </cell>
        </row>
        <row r="856">
          <cell r="A856" t="str">
            <v>Cây tường vi ĐKthân&gt; 10 cm</v>
          </cell>
          <cell r="B856" t="str">
            <v>Đồng/cây</v>
          </cell>
          <cell r="C856" t="str">
            <v>570.000</v>
          </cell>
        </row>
        <row r="857">
          <cell r="A857" t="str">
            <v>Cây mai tứ quý</v>
          </cell>
        </row>
        <row r="858">
          <cell r="A858" t="str">
            <v>Cây mai tứ quý Cây giống mới trồng</v>
          </cell>
          <cell r="B858" t="str">
            <v>Đồng/cây</v>
          </cell>
          <cell r="C858" t="str">
            <v>10.000</v>
          </cell>
        </row>
        <row r="859">
          <cell r="A859" t="str">
            <v>Cây mai tứ quý đường kính thân 2 cm &lt; ĐK thân ≤5 cm</v>
          </cell>
          <cell r="B859" t="str">
            <v>Đồng/cây</v>
          </cell>
          <cell r="C859" t="str">
            <v>30.000</v>
          </cell>
        </row>
        <row r="860">
          <cell r="A860" t="str">
            <v>Cây mai tứ quý đường kính thân 5 cm &lt; ĐK thân ≤10 cm</v>
          </cell>
          <cell r="B860" t="str">
            <v>Đồng/cây</v>
          </cell>
          <cell r="C860" t="str">
            <v>62.000</v>
          </cell>
        </row>
        <row r="861">
          <cell r="A861" t="str">
            <v>Cây mai tứ quý đường kính thân 10 cm &lt; ĐK thân ≤15 cm</v>
          </cell>
          <cell r="B861" t="str">
            <v>Đồng/cây</v>
          </cell>
          <cell r="C861" t="str">
            <v>100.000</v>
          </cell>
        </row>
        <row r="862">
          <cell r="A862" t="str">
            <v>Cây mai tứ quý ĐKthân&gt; 15 cm</v>
          </cell>
          <cell r="B862" t="str">
            <v>Đồng/cây</v>
          </cell>
          <cell r="C862" t="str">
            <v>180.000</v>
          </cell>
        </row>
        <row r="863">
          <cell r="A863" t="str">
            <v>Cây mai chiếu thủy</v>
          </cell>
        </row>
        <row r="864">
          <cell r="A864" t="str">
            <v>Cây mai chiếu thủy Cây giống mới trồng</v>
          </cell>
          <cell r="B864" t="str">
            <v>Đồng/cây</v>
          </cell>
          <cell r="C864" t="str">
            <v>15.000</v>
          </cell>
        </row>
        <row r="865">
          <cell r="A865" t="str">
            <v>Cây mai chiếu thủy đường kính thân 2 cm &lt; ĐK thân ≤5 cm</v>
          </cell>
          <cell r="B865" t="str">
            <v>Đồng/cây</v>
          </cell>
          <cell r="C865" t="str">
            <v>62.000</v>
          </cell>
        </row>
        <row r="866">
          <cell r="A866" t="str">
            <v>Cây mai chiếu thủy đường kính thân 5 cm &lt; ĐK thân ≤10 cm</v>
          </cell>
          <cell r="B866" t="str">
            <v>Đồng/cây</v>
          </cell>
          <cell r="C866" t="str">
            <v>135.000</v>
          </cell>
        </row>
        <row r="867">
          <cell r="A867" t="str">
            <v>Cây mai chiếu thủy đường kính thân 10 cm &lt; ĐK thân ≤15 cm</v>
          </cell>
          <cell r="B867" t="str">
            <v>Đồng/cây</v>
          </cell>
          <cell r="C867" t="str">
            <v>270.000</v>
          </cell>
        </row>
        <row r="868">
          <cell r="A868" t="str">
            <v>Cây mai chiếu thủy ĐKthân&gt;15cm</v>
          </cell>
          <cell r="B868" t="str">
            <v>Đồng/cây</v>
          </cell>
          <cell r="C868" t="str">
            <v>450.000</v>
          </cell>
        </row>
        <row r="869">
          <cell r="A869" t="str">
            <v>Cây mộc hương, cây hạnh phúc</v>
          </cell>
        </row>
        <row r="870">
          <cell r="A870" t="str">
            <v>Cây mộc hương, cây hạnh phúc Cây giống mới trồng</v>
          </cell>
          <cell r="B870" t="str">
            <v>Đồng/cây</v>
          </cell>
          <cell r="C870" t="str">
            <v>10.000</v>
          </cell>
        </row>
        <row r="871">
          <cell r="A871" t="str">
            <v>Cây mộc hương, cây hạnh phúc đường kính thân 2 cm &lt; ĐK thân ≤5 cm</v>
          </cell>
          <cell r="B871" t="str">
            <v>Đồng/cây</v>
          </cell>
          <cell r="C871" t="str">
            <v>150.000</v>
          </cell>
        </row>
        <row r="872">
          <cell r="A872" t="str">
            <v>Cây mộc hương, cây hạnh phúc đường kính thân 5 cm &lt; ĐK thân ≤10 cm</v>
          </cell>
          <cell r="B872" t="str">
            <v>Đồng/cây</v>
          </cell>
          <cell r="C872" t="str">
            <v>375.000</v>
          </cell>
        </row>
        <row r="873">
          <cell r="A873" t="str">
            <v>Cây mộc hương, cây hạnh phúc đường kính thân 10 cm &lt; ĐK thân ≤15 cm</v>
          </cell>
          <cell r="B873" t="str">
            <v>Đồng/cây</v>
          </cell>
          <cell r="C873" t="str">
            <v>750.000</v>
          </cell>
        </row>
        <row r="874">
          <cell r="A874" t="str">
            <v>Cây mộc hương, cây hạnh phúc ĐK thân &gt; 15 cm</v>
          </cell>
          <cell r="B874" t="str">
            <v>Đồng/cây</v>
          </cell>
          <cell r="C874" t="str">
            <v>1.200.000</v>
          </cell>
        </row>
        <row r="875">
          <cell r="A875" t="str">
            <v>Cây hoa giấy</v>
          </cell>
        </row>
        <row r="876">
          <cell r="A876" t="str">
            <v>Cây hoa giấy Cây giống mới trồng</v>
          </cell>
          <cell r="B876" t="str">
            <v>Đồng/cây</v>
          </cell>
          <cell r="C876" t="str">
            <v>10.000</v>
          </cell>
        </row>
        <row r="877">
          <cell r="A877" t="str">
            <v>Cây hoa giấy ĐK thân ≤2 cm</v>
          </cell>
          <cell r="B877" t="str">
            <v>Đồng/cây</v>
          </cell>
          <cell r="C877" t="str">
            <v>18.000</v>
          </cell>
        </row>
        <row r="878">
          <cell r="A878" t="str">
            <v>Cây hoa giấy đường kính thân 2 cm &lt; ĐK thân ≤5 cm</v>
          </cell>
          <cell r="B878" t="str">
            <v>Đồng/cây</v>
          </cell>
          <cell r="C878" t="str">
            <v>70.000</v>
          </cell>
        </row>
        <row r="879">
          <cell r="A879" t="str">
            <v>Cây hoa giấy đường kính thân 5 cm &lt; ĐK thân ≤10 cm</v>
          </cell>
          <cell r="B879" t="str">
            <v>Đồng/cây</v>
          </cell>
          <cell r="C879" t="str">
            <v>180.000</v>
          </cell>
        </row>
        <row r="880">
          <cell r="A880" t="str">
            <v>Cây hoa giấy đường kính thân 10 cm &lt; ĐK thân ≤15 cm</v>
          </cell>
          <cell r="B880" t="str">
            <v>Đồng/cây</v>
          </cell>
          <cell r="C880" t="str">
            <v>290.000</v>
          </cell>
        </row>
        <row r="881">
          <cell r="A881" t="str">
            <v>Cây hoa giấy đường kính thân 15 cm &lt; ĐK thân ≤20 cm</v>
          </cell>
          <cell r="B881" t="str">
            <v>Đồng/cây</v>
          </cell>
          <cell r="C881" t="str">
            <v>370.000</v>
          </cell>
        </row>
        <row r="882">
          <cell r="A882" t="str">
            <v>Cây hoa giấy đường kính thân 20 cm&lt; ĐK thân ≤25 cm</v>
          </cell>
          <cell r="B882" t="str">
            <v>Đồng/cây</v>
          </cell>
          <cell r="C882" t="str">
            <v>430.000</v>
          </cell>
        </row>
        <row r="883">
          <cell r="A883" t="str">
            <v>Cây hoa giấy ĐK thân &gt; 25 cm</v>
          </cell>
          <cell r="B883" t="str">
            <v>Đồng/cây</v>
          </cell>
          <cell r="C883" t="str">
            <v>500.000</v>
          </cell>
        </row>
        <row r="884">
          <cell r="A884" t="str">
            <v>Cây lan bình rượu (náng đế)</v>
          </cell>
        </row>
        <row r="885">
          <cell r="A885" t="str">
            <v>Cây lan bình rượu (náng đế) Cây giống mới trồng</v>
          </cell>
          <cell r="B885" t="str">
            <v>Đồng/cây</v>
          </cell>
          <cell r="C885" t="str">
            <v>15.000</v>
          </cell>
        </row>
        <row r="886">
          <cell r="A886" t="str">
            <v>Cây lan bình rượu (náng đế) đường kính thân 2 cm &lt; ĐK thân ≤5 cm</v>
          </cell>
          <cell r="B886" t="str">
            <v>Đồng/cây</v>
          </cell>
          <cell r="C886" t="str">
            <v>30.000</v>
          </cell>
        </row>
        <row r="887">
          <cell r="A887" t="str">
            <v>Cây lan bình rượu (náng đế) đường kính thân 5 cm &lt; ĐK thân ≤10 cm</v>
          </cell>
          <cell r="B887" t="str">
            <v>Đồng/cây</v>
          </cell>
          <cell r="C887" t="str">
            <v>55.000</v>
          </cell>
        </row>
        <row r="888">
          <cell r="A888" t="str">
            <v>Cây lan bình rượu (náng đế) đường kính thân 10 cm &lt; ĐK thân ≤15 cm</v>
          </cell>
          <cell r="B888" t="str">
            <v>Đồng/cây</v>
          </cell>
          <cell r="C888" t="str">
            <v>80.000</v>
          </cell>
        </row>
        <row r="889">
          <cell r="A889" t="str">
            <v>Cây lan bình rượu (náng đế) đường kính thân 15 cm &lt; ĐK thân ≤25 cm</v>
          </cell>
          <cell r="B889" t="str">
            <v>Đồng/cây</v>
          </cell>
          <cell r="C889" t="str">
            <v>120.000</v>
          </cell>
        </row>
        <row r="890">
          <cell r="A890" t="str">
            <v>Cây lan bình rượu (náng đế) ĐK thân &gt; 25 cm</v>
          </cell>
          <cell r="B890" t="str">
            <v>Đồng/cây</v>
          </cell>
          <cell r="C890" t="str">
            <v>180.000</v>
          </cell>
        </row>
        <row r="891">
          <cell r="A891" t="str">
            <v>Cây mắc mật (Móc mật)</v>
          </cell>
        </row>
        <row r="892">
          <cell r="A892" t="str">
            <v>Cây mắc mật (Móc mật) Cây mới trồng, ĐK thân ≤2cm</v>
          </cell>
          <cell r="B892" t="str">
            <v>Đồng/cây</v>
          </cell>
          <cell r="C892" t="str">
            <v>70.000</v>
          </cell>
        </row>
        <row r="893">
          <cell r="A893" t="str">
            <v>Cây mắc mật (Móc mật) đường kính gốc 2 cm &lt; ĐK gốc ≤ 5 cm</v>
          </cell>
          <cell r="B893" t="str">
            <v>Đồng/cây</v>
          </cell>
          <cell r="C893" t="str">
            <v>155.000</v>
          </cell>
        </row>
        <row r="894">
          <cell r="A894" t="str">
            <v>Cây mắc mật (Móc mật) đường kính gốc 5 cm &lt; ĐK gốc ≤ 10 cm</v>
          </cell>
          <cell r="B894" t="str">
            <v>Đồng/cây</v>
          </cell>
          <cell r="C894" t="str">
            <v>243.600</v>
          </cell>
        </row>
        <row r="895">
          <cell r="A895" t="str">
            <v>Cây mắc mật (Móc mật) đường kính gốc 10 cm &lt; ĐK gốc ≤ 150 cm</v>
          </cell>
          <cell r="B895" t="str">
            <v>Đồng/cây</v>
          </cell>
          <cell r="C895" t="str">
            <v>692.400</v>
          </cell>
        </row>
        <row r="896">
          <cell r="A896" t="str">
            <v>Cây mắc mật (Móc mật) đường kính gốc 15 cm &lt; ĐK gốc ≤ 20 cm</v>
          </cell>
          <cell r="B896" t="str">
            <v>Đồng/cây</v>
          </cell>
          <cell r="C896" t="str">
            <v>1.040.400</v>
          </cell>
        </row>
        <row r="897">
          <cell r="A897" t="str">
            <v>Cây mắc mật (Móc mật) ĐK gốc &gt; 20 cm</v>
          </cell>
          <cell r="B897" t="str">
            <v>Đồng/cây</v>
          </cell>
          <cell r="C897" t="str">
            <v>1.382.400</v>
          </cell>
        </row>
        <row r="898">
          <cell r="A898" t="str">
            <v>Cây sim</v>
          </cell>
        </row>
        <row r="899">
          <cell r="A899" t="str">
            <v>Cây sim Cây giống mới trồng</v>
          </cell>
          <cell r="B899" t="str">
            <v>Đồng/cây</v>
          </cell>
          <cell r="C899" t="str">
            <v>15.000</v>
          </cell>
        </row>
        <row r="900">
          <cell r="A900" t="str">
            <v>Cây sim ĐK thân ≤5 cm</v>
          </cell>
          <cell r="B900" t="str">
            <v>Đồng/cây</v>
          </cell>
          <cell r="C900" t="str">
            <v>175.000</v>
          </cell>
        </row>
        <row r="901">
          <cell r="A901" t="str">
            <v>Cây sim đường kính thân 5 cm &lt; ĐK thân ≤7 cm</v>
          </cell>
          <cell r="B901" t="str">
            <v>Đồng/cây</v>
          </cell>
          <cell r="C901" t="str">
            <v>285.000</v>
          </cell>
        </row>
        <row r="902">
          <cell r="A902" t="str">
            <v>Cây sim đường kính thân 7 cm &lt; ĐK thân ≤10 cm</v>
          </cell>
          <cell r="B902" t="str">
            <v>Đông/cây</v>
          </cell>
          <cell r="C902" t="str">
            <v>580.000</v>
          </cell>
        </row>
        <row r="903">
          <cell r="A903" t="str">
            <v>Cây sim ĐK thân &gt; 10 cm</v>
          </cell>
          <cell r="B903" t="str">
            <v>Đồng/cây</v>
          </cell>
          <cell r="C903" t="str">
            <v>980.000</v>
          </cell>
        </row>
        <row r="904">
          <cell r="A904" t="str">
            <v>Cây tùng bách tán</v>
          </cell>
        </row>
        <row r="905">
          <cell r="A905" t="str">
            <v>Cây tùng bách tán Cây giống mới trồng</v>
          </cell>
          <cell r="B905" t="str">
            <v>Đồng/cây</v>
          </cell>
          <cell r="C905" t="str">
            <v>10.000</v>
          </cell>
        </row>
        <row r="906">
          <cell r="A906" t="str">
            <v>Cây tùng bách tán ĐK thân ≤2 cm</v>
          </cell>
          <cell r="B906" t="str">
            <v>Đông/cây</v>
          </cell>
          <cell r="C906" t="str">
            <v>25.000</v>
          </cell>
        </row>
        <row r="907">
          <cell r="A907" t="str">
            <v>Cây tùng bách tán đường kính thân 2 cm &lt; ĐK thân ≤5 cm</v>
          </cell>
          <cell r="B907" t="str">
            <v>Đồng/cây</v>
          </cell>
          <cell r="C907" t="str">
            <v>50.000</v>
          </cell>
        </row>
        <row r="908">
          <cell r="A908" t="str">
            <v>Cây tùng bách tán đường kính thân 5 cm &lt; ĐK thân ≤10 cm</v>
          </cell>
          <cell r="B908" t="str">
            <v>Đồng/cây</v>
          </cell>
          <cell r="C908" t="str">
            <v>100.000</v>
          </cell>
        </row>
        <row r="909">
          <cell r="A909" t="str">
            <v>Cây tùng bách tán đường kính thân 10 cm &lt; ĐK thân ≤15 cm</v>
          </cell>
          <cell r="B909" t="str">
            <v>Đồng/cây</v>
          </cell>
          <cell r="C909" t="str">
            <v>180.000</v>
          </cell>
        </row>
        <row r="910">
          <cell r="A910" t="str">
            <v>Cây tùng bách tán đường kính thân 15 cm &lt; ĐK thân ≤20 cm</v>
          </cell>
          <cell r="B910" t="str">
            <v>Đồng/cây</v>
          </cell>
          <cell r="C910" t="str">
            <v>230.000</v>
          </cell>
        </row>
        <row r="911">
          <cell r="A911" t="str">
            <v>Cây tùng bách tán đường kính thân 20 cm &lt; ĐK thân ≤25 cm</v>
          </cell>
          <cell r="B911" t="str">
            <v>Đồng/cây</v>
          </cell>
          <cell r="C911" t="str">
            <v>300.000</v>
          </cell>
        </row>
        <row r="912">
          <cell r="A912" t="str">
            <v>Cây tùng bách tán ĐK thân &gt; 25 cm</v>
          </cell>
          <cell r="B912" t="str">
            <v>Đồng/cây</v>
          </cell>
          <cell r="C912" t="str">
            <v>450.000</v>
          </cell>
        </row>
        <row r="913">
          <cell r="A913" t="str">
            <v>Cây tùng la hán</v>
          </cell>
        </row>
        <row r="914">
          <cell r="A914" t="str">
            <v>Cây tùng la hán Cây giống mới trồng</v>
          </cell>
          <cell r="B914" t="str">
            <v>Đồng/cây</v>
          </cell>
          <cell r="C914" t="str">
            <v>30.000</v>
          </cell>
        </row>
        <row r="915">
          <cell r="A915" t="str">
            <v>Cây tùng la hán ĐK thân ≤2 cm</v>
          </cell>
          <cell r="B915" t="str">
            <v>Đông/cây</v>
          </cell>
          <cell r="C915" t="str">
            <v>100.000</v>
          </cell>
        </row>
        <row r="916">
          <cell r="A916" t="str">
            <v>Cây tùng la hán đường kính thân 2 cm &lt; ĐK thân ≤5 cm</v>
          </cell>
          <cell r="B916" t="str">
            <v>Đồng/cây</v>
          </cell>
          <cell r="C916" t="str">
            <v>170.000</v>
          </cell>
        </row>
        <row r="917">
          <cell r="A917" t="str">
            <v>Cây tùng la hán đường kính thân 5 cm &lt; ĐK thân ≤10 cm</v>
          </cell>
          <cell r="B917" t="str">
            <v>Đồng/cây</v>
          </cell>
          <cell r="C917" t="str">
            <v>250.000</v>
          </cell>
        </row>
        <row r="918">
          <cell r="A918" t="str">
            <v>Cây tùng la hán đường kính thân 10 cm &lt; ĐK thân ≤15 cm</v>
          </cell>
          <cell r="B918" t="str">
            <v>Đồng/cây</v>
          </cell>
          <cell r="C918" t="str">
            <v>320.000</v>
          </cell>
        </row>
        <row r="919">
          <cell r="A919" t="str">
            <v>Cây tùng la hán đường kính thân 15 cm &lt; ĐK thân ≤20 cm</v>
          </cell>
          <cell r="B919" t="str">
            <v>Đồng/cây</v>
          </cell>
          <cell r="C919" t="str">
            <v>400.000</v>
          </cell>
        </row>
        <row r="920">
          <cell r="A920" t="str">
            <v>Cây tùng la hán đường kính thân 20 cm &lt; ĐK thân ≤25 cm</v>
          </cell>
          <cell r="B920" t="str">
            <v>Đồng/cây</v>
          </cell>
          <cell r="C920" t="str">
            <v>500.000</v>
          </cell>
        </row>
        <row r="921">
          <cell r="A921" t="str">
            <v>Cây tùng la hán ĐK thân &gt; 25 cm</v>
          </cell>
          <cell r="B921" t="str">
            <v>Đồng/cây</v>
          </cell>
          <cell r="C921" t="str">
            <v>650.000</v>
          </cell>
        </row>
        <row r="922">
          <cell r="A922" t="str">
            <v>Cây tùng kim</v>
          </cell>
        </row>
        <row r="923">
          <cell r="A923" t="str">
            <v>Cây tùng kim Cây giống mới trồng</v>
          </cell>
          <cell r="B923" t="str">
            <v>Đồng/cây</v>
          </cell>
          <cell r="C923" t="str">
            <v>50.000</v>
          </cell>
        </row>
        <row r="924">
          <cell r="A924" t="str">
            <v>Cây tùng kim ĐK thân ≤2 cm</v>
          </cell>
          <cell r="B924" t="str">
            <v>Đồng/cây</v>
          </cell>
          <cell r="C924" t="str">
            <v>100.000</v>
          </cell>
        </row>
        <row r="925">
          <cell r="A925" t="str">
            <v>Cây tùng kim đường kính thân 2 cm &lt; ĐK thân ≤5 cm</v>
          </cell>
          <cell r="B925" t="str">
            <v>Đồng/cây</v>
          </cell>
          <cell r="C925" t="str">
            <v>170.000</v>
          </cell>
        </row>
        <row r="926">
          <cell r="A926" t="str">
            <v>Cây tùng kim đường kính thân 5 cm &lt; ĐK thân ≤10 cm</v>
          </cell>
          <cell r="B926" t="str">
            <v>Đồng/cây</v>
          </cell>
          <cell r="C926" t="str">
            <v>240.000</v>
          </cell>
        </row>
        <row r="927">
          <cell r="A927" t="str">
            <v>Cây tùng kim đường kính thân 10 cm &lt; ĐK thân ≤15 cm</v>
          </cell>
          <cell r="B927" t="str">
            <v>Đồng/cây</v>
          </cell>
          <cell r="C927" t="str">
            <v>300.000</v>
          </cell>
        </row>
        <row r="928">
          <cell r="A928" t="str">
            <v>Cây tùng kim đường kính thân 15 cm &lt; ĐK thân ≤20 cm</v>
          </cell>
          <cell r="B928" t="str">
            <v>Đồng/cây</v>
          </cell>
          <cell r="C928" t="str">
            <v>370.000</v>
          </cell>
        </row>
        <row r="929">
          <cell r="A929" t="str">
            <v>Cây tùng kim đường kính thân 20 cm &lt; ĐK thân ≤25 cm</v>
          </cell>
          <cell r="B929" t="str">
            <v>Đồng/cây</v>
          </cell>
          <cell r="C929" t="str">
            <v>430.000</v>
          </cell>
        </row>
        <row r="930">
          <cell r="A930" t="str">
            <v>Cây tùng kim ĐK thân &gt; 25 cm</v>
          </cell>
          <cell r="B930" t="str">
            <v>Đồng/cây</v>
          </cell>
          <cell r="C930" t="str">
            <v>500.000</v>
          </cell>
        </row>
        <row r="931">
          <cell r="A931" t="str">
            <v>Bàng Đài Loan</v>
          </cell>
        </row>
        <row r="932">
          <cell r="A932" t="str">
            <v>Bàng Đài Loan Giống đủ tiêu chuẩn mới trồng, chiều cao cây H  ≤ 40cm</v>
          </cell>
          <cell r="B932" t="str">
            <v>Đồng/cây</v>
          </cell>
          <cell r="C932" t="str">
            <v>100.000</v>
          </cell>
        </row>
        <row r="933">
          <cell r="A933" t="str">
            <v>Bàng Đài Loan đường kính gốc 1cm  ≤ ĐK gốc &lt; 3cm</v>
          </cell>
          <cell r="B933" t="str">
            <v>Đồng/cây</v>
          </cell>
          <cell r="C933" t="str">
            <v>180.000</v>
          </cell>
        </row>
        <row r="934">
          <cell r="A934" t="str">
            <v>Bàng Đài Loan đường kính gốc 3cm  ≤ ĐK gốc &lt; 5cm</v>
          </cell>
          <cell r="B934" t="str">
            <v>Đồng/cây</v>
          </cell>
          <cell r="C934" t="str">
            <v>360.000</v>
          </cell>
        </row>
        <row r="935">
          <cell r="A935" t="str">
            <v>Bàng Đài Loan đường kính gốc 5cm  ≤ ĐK gốc &lt; 10cm</v>
          </cell>
          <cell r="B935" t="str">
            <v>Đồng/cây</v>
          </cell>
          <cell r="C935" t="str">
            <v>600.000</v>
          </cell>
        </row>
        <row r="936">
          <cell r="A936" t="str">
            <v>Bàng Đài Loan đường kính gốc 10cm  ≤ ĐK gốc &lt; 15cm</v>
          </cell>
          <cell r="B936" t="str">
            <v>Đồng/cây</v>
          </cell>
          <cell r="C936" t="str">
            <v>960.000</v>
          </cell>
        </row>
        <row r="937">
          <cell r="A937" t="str">
            <v>Bàng Đài Loan đường kính gốc 15cm  ≤ ĐK gốc &lt; 20cm</v>
          </cell>
          <cell r="B937" t="str">
            <v>Đồng/cây</v>
          </cell>
          <cell r="C937" t="str">
            <v>1.200.000</v>
          </cell>
        </row>
        <row r="938">
          <cell r="A938" t="str">
            <v>Bàng Đài Loan đường kính gốc 20cm  ≤ ĐK gốc &lt; 25cm</v>
          </cell>
          <cell r="B938" t="str">
            <v>Đồng/cây</v>
          </cell>
          <cell r="C938" t="str">
            <v>2.400.000</v>
          </cell>
        </row>
        <row r="939">
          <cell r="A939" t="str">
            <v>Bàng Đài Loan đường kính gốc 25cm  ≤ ĐK gốc &lt; 30cm</v>
          </cell>
          <cell r="B939" t="str">
            <v>Đồng/cây</v>
          </cell>
          <cell r="C939" t="str">
            <v>3.600.000</v>
          </cell>
        </row>
        <row r="940">
          <cell r="A940" t="str">
            <v>Bàng Đài Loan ĐK gốc ≥ 30cm</v>
          </cell>
          <cell r="B940" t="str">
            <v>Đồng/cây</v>
          </cell>
          <cell r="C940" t="str">
            <v>5.400.000</v>
          </cell>
        </row>
        <row r="941">
          <cell r="A941" t="str">
            <v>Tùng Ấn Độ</v>
          </cell>
        </row>
        <row r="942">
          <cell r="A942" t="str">
            <v>Tùng Ấn Độ Cây giống đủ tiêu chuẩn mới trồng, chiều cao cây H &lt; 40cm</v>
          </cell>
          <cell r="B942" t="str">
            <v>Đồng/cây</v>
          </cell>
          <cell r="C942" t="str">
            <v>30.000</v>
          </cell>
        </row>
        <row r="943">
          <cell r="A943" t="str">
            <v>Tùng Ấn Độ đường kính gốc 1 cm  ≤ ĐK gốc &lt; 3cm</v>
          </cell>
          <cell r="B943" t="str">
            <v>Đồng/cây</v>
          </cell>
          <cell r="C943" t="str">
            <v>40.000</v>
          </cell>
        </row>
        <row r="944">
          <cell r="A944" t="str">
            <v>Tùng Ấn Độ đường kính gốc 3cm  ≤ ĐK gốc &lt; 5cm</v>
          </cell>
          <cell r="B944" t="str">
            <v>Đồng/cây</v>
          </cell>
          <cell r="C944" t="str">
            <v>65.000</v>
          </cell>
        </row>
        <row r="945">
          <cell r="A945" t="str">
            <v>Tùng Ấn Độ đường kính gốc 5cm  ≤ ĐK gốc &lt; 10cm</v>
          </cell>
          <cell r="B945" t="str">
            <v>Đồng/cây</v>
          </cell>
          <cell r="C945" t="str">
            <v>216.000</v>
          </cell>
        </row>
        <row r="946">
          <cell r="A946" t="str">
            <v>Tùng Ấn Độ đường kính gốc 10cm  ≤ ĐK gốc &lt; 15cm</v>
          </cell>
          <cell r="B946" t="str">
            <v>Đồng/cây</v>
          </cell>
          <cell r="C946" t="str">
            <v>540.000</v>
          </cell>
        </row>
        <row r="947">
          <cell r="A947" t="str">
            <v>Tùng Ấn Độ ĐK gốc ≥ 15cm</v>
          </cell>
          <cell r="B947" t="str">
            <v>Đồng/cây</v>
          </cell>
          <cell r="C947" t="str">
            <v>720.000</v>
          </cell>
        </row>
        <row r="948">
          <cell r="A948" t="str">
            <v>Sầu riêng</v>
          </cell>
        </row>
        <row r="949">
          <cell r="A949" t="str">
            <v>Sầu riêng Cây mới trồng &lt;01 năm (cây từ hạt)</v>
          </cell>
          <cell r="B949" t="str">
            <v>Đồng/cây</v>
          </cell>
          <cell r="C949" t="str">
            <v>30.000</v>
          </cell>
        </row>
        <row r="950">
          <cell r="A950" t="str">
            <v>Sầu riêng Cây mới trồng &lt; 01 năm (cây ghép)</v>
          </cell>
          <cell r="B950" t="str">
            <v>Đồng/cây</v>
          </cell>
          <cell r="C950" t="str">
            <v>50.000</v>
          </cell>
        </row>
        <row r="951">
          <cell r="A951" t="str">
            <v>Sầu riêng Cây trồng ≥  01 năm, chiều cao thân cây &lt; 1m chưa có quả</v>
          </cell>
          <cell r="B951" t="str">
            <v>Đồng/cây</v>
          </cell>
          <cell r="C951" t="str">
            <v>70.000</v>
          </cell>
        </row>
        <row r="952">
          <cell r="A952" t="str">
            <v>Sầu riêng Cây trồng có chiều cao thân cây từ ≥1 m chưa có quả</v>
          </cell>
          <cell r="B952" t="str">
            <v>Đồng/cây</v>
          </cell>
          <cell r="C952" t="str">
            <v>192.000</v>
          </cell>
        </row>
        <row r="953">
          <cell r="A953" t="str">
            <v>Sầu riêng Cây có quả đường kính gốc &lt; 20cm</v>
          </cell>
          <cell r="B953" t="str">
            <v>Đồng/cây</v>
          </cell>
          <cell r="C953" t="str">
            <v>540.000</v>
          </cell>
        </row>
        <row r="954">
          <cell r="A954" t="str">
            <v>Sầu riêng Cây có quả tốt đường kính thân ≥ 20cm đến &lt; 45cm</v>
          </cell>
          <cell r="B954" t="str">
            <v>Đồng/cây</v>
          </cell>
          <cell r="C954" t="str">
            <v>924.000</v>
          </cell>
        </row>
        <row r="955">
          <cell r="A955" t="str">
            <v>Sầu riêng Cây có quả thu hoạch tốt đường kính gốc ≥ 45 cm</v>
          </cell>
          <cell r="B955" t="str">
            <v>Đồng/cây</v>
          </cell>
          <cell r="C955" t="str">
            <v>1.584.000</v>
          </cell>
        </row>
        <row r="956">
          <cell r="A956" t="str">
            <v>Cây Dẻ lấy quả</v>
          </cell>
        </row>
        <row r="957">
          <cell r="A957" t="str">
            <v>Cây Dẻ lấy quả Mới trồng, ĐK gốc &lt; 5 cm</v>
          </cell>
          <cell r="B957" t="str">
            <v>Đồng/cây</v>
          </cell>
          <cell r="C957" t="str">
            <v>20.000</v>
          </cell>
        </row>
        <row r="958">
          <cell r="A958" t="str">
            <v>Cây Dẻ lấy quả đường kính gốc 5 cm ≤ ĐK gốc &lt;10cm</v>
          </cell>
          <cell r="B958" t="str">
            <v>Đồng/cây</v>
          </cell>
          <cell r="C958" t="str">
            <v>132.000</v>
          </cell>
        </row>
        <row r="959">
          <cell r="A959" t="str">
            <v>Cây Dẻ lấy quả đường kính gốc 10cm ≤ ĐK gốc &lt; 20cm</v>
          </cell>
          <cell r="B959" t="str">
            <v>Đồng/cây</v>
          </cell>
          <cell r="C959" t="str">
            <v>330.000</v>
          </cell>
        </row>
        <row r="960">
          <cell r="A960" t="str">
            <v>Cây Dẻ lấy quả đường kính gốc 20cm ≤ ĐK gốc &lt; 30cm</v>
          </cell>
          <cell r="B960" t="str">
            <v>Đồng/cây</v>
          </cell>
          <cell r="C960" t="str">
            <v>462.000</v>
          </cell>
        </row>
        <row r="961">
          <cell r="A961" t="str">
            <v>Cây Dẻ lấy quả ĐK gốc &gt; 30cm</v>
          </cell>
          <cell r="B961" t="str">
            <v>Đồng/cây</v>
          </cell>
          <cell r="C961" t="str">
            <v>660.000</v>
          </cell>
        </row>
        <row r="962">
          <cell r="A962" t="str">
            <v>Cây lựu</v>
          </cell>
        </row>
        <row r="963">
          <cell r="A963" t="str">
            <v>Cây lựu Mới trồng, chiều cao cây H ≥ 40cm</v>
          </cell>
          <cell r="B963" t="str">
            <v>Đồng/cây</v>
          </cell>
          <cell r="C963" t="str">
            <v>25.000</v>
          </cell>
        </row>
        <row r="964">
          <cell r="A964" t="str">
            <v>Cây lựu đường kính gốc 1 cm  ≤ ĐK gốc &lt; 2cm</v>
          </cell>
          <cell r="B964" t="str">
            <v>Đồng/cây</v>
          </cell>
          <cell r="C964" t="str">
            <v>30.000</v>
          </cell>
        </row>
        <row r="965">
          <cell r="A965" t="str">
            <v>Cây lựu đường kính gốc 2cm  ≤ ĐK gốc &lt; 5cm</v>
          </cell>
          <cell r="B965" t="str">
            <v>Đồng/cây</v>
          </cell>
          <cell r="C965" t="str">
            <v>50.000</v>
          </cell>
        </row>
        <row r="966">
          <cell r="A966" t="str">
            <v>Cây lựu đường kính gốc 5cm  ≤ ĐK gốc &lt; 7cm</v>
          </cell>
          <cell r="B966" t="str">
            <v>Đồng/cây</v>
          </cell>
          <cell r="C966" t="str">
            <v>84.000</v>
          </cell>
        </row>
        <row r="967">
          <cell r="A967" t="str">
            <v>Cây lựu đường kính gốc 7cm  ≤ ĐK gốc &lt; 9cm</v>
          </cell>
          <cell r="B967" t="str">
            <v>Đồng/cây</v>
          </cell>
          <cell r="C967" t="str">
            <v>120.000</v>
          </cell>
        </row>
        <row r="968">
          <cell r="A968" t="str">
            <v>Cây lựu đường kính gốc 9cm  ≤ ĐK gốc &lt; 12cm</v>
          </cell>
          <cell r="B968" t="str">
            <v>Đồng/cây</v>
          </cell>
          <cell r="C968" t="str">
            <v>156.000</v>
          </cell>
        </row>
        <row r="969">
          <cell r="A969" t="str">
            <v>Cây lựu đường kính gốc 12cm  ≤ ĐK gốc &lt; 15cm</v>
          </cell>
          <cell r="B969" t="str">
            <v>Đồng/cây</v>
          </cell>
          <cell r="C969" t="str">
            <v>204.000</v>
          </cell>
        </row>
        <row r="970">
          <cell r="A970" t="str">
            <v>Cây lựu đường kính gốc 15cm  ≤ ĐK gốc &lt; 20cm</v>
          </cell>
          <cell r="B970" t="str">
            <v>Đồng/cây</v>
          </cell>
          <cell r="C970" t="str">
            <v>300.000</v>
          </cell>
        </row>
        <row r="971">
          <cell r="A971" t="str">
            <v>Cây lựu ĐK gốc ≥ 20cm</v>
          </cell>
          <cell r="B971" t="str">
            <v>Đồng/cây</v>
          </cell>
          <cell r="C971" t="str">
            <v>420.000</v>
          </cell>
        </row>
        <row r="972">
          <cell r="A972" t="str">
            <v>Cây mai vàng</v>
          </cell>
        </row>
        <row r="973">
          <cell r="A973" t="str">
            <v>Cây mai vàng đường kính gốc 0,5cm ≤ ĐK gốc &lt; 1cm</v>
          </cell>
          <cell r="B973" t="str">
            <v>Đồng/cây</v>
          </cell>
          <cell r="C973" t="str">
            <v>40.000</v>
          </cell>
        </row>
        <row r="974">
          <cell r="A974" t="str">
            <v>Cây mai vàng đường kính gốc 1 cm ≤ ĐK gốc &lt; 2cm</v>
          </cell>
          <cell r="B974" t="str">
            <v>Đồng/cây</v>
          </cell>
          <cell r="C974" t="str">
            <v>50.000</v>
          </cell>
        </row>
        <row r="975">
          <cell r="A975" t="str">
            <v>Cây mai vàng đường kính gốc 2cm ≤ ĐK gốc &lt; 4cm</v>
          </cell>
          <cell r="B975" t="str">
            <v>Đồng/cây</v>
          </cell>
          <cell r="C975" t="str">
            <v>70.000</v>
          </cell>
        </row>
        <row r="976">
          <cell r="A976" t="str">
            <v>Cây mai vàng đường kính gốc 4cm ≤ ĐK gôc &lt; 6cm</v>
          </cell>
          <cell r="B976" t="str">
            <v>Đồng/cây</v>
          </cell>
          <cell r="C976" t="str">
            <v>80.000</v>
          </cell>
        </row>
        <row r="977">
          <cell r="A977" t="str">
            <v>Cây mai vàng đường kính gốc 6cm ≤ ĐK gốc &lt; 10cm</v>
          </cell>
          <cell r="B977" t="str">
            <v>Đồng/cây</v>
          </cell>
          <cell r="C977" t="str">
            <v>360.000</v>
          </cell>
        </row>
        <row r="978">
          <cell r="A978" t="str">
            <v>Cây mai vàng ĐK gốc ≥ 10cm</v>
          </cell>
          <cell r="B978" t="str">
            <v>Đồng/cây</v>
          </cell>
          <cell r="C978" t="str">
            <v>900.000</v>
          </cell>
        </row>
        <row r="979">
          <cell r="A979" t="str">
            <v>Vạn Tuế</v>
          </cell>
        </row>
        <row r="980">
          <cell r="A980" t="str">
            <v>Vạn Tuế ĐK gốc &lt; 10 cm</v>
          </cell>
          <cell r="B980" t="str">
            <v>Đồng/cây</v>
          </cell>
          <cell r="C980" t="str">
            <v>400.000</v>
          </cell>
        </row>
        <row r="981">
          <cell r="A981" t="str">
            <v>Vạn Tuế đường kính gốc 10 cm ≤ ĐK gốc &lt; 20 cm</v>
          </cell>
          <cell r="B981" t="str">
            <v>Đồng/cây</v>
          </cell>
          <cell r="C981" t="str">
            <v>700.000</v>
          </cell>
        </row>
        <row r="982">
          <cell r="A982" t="str">
            <v>Vạn Tuế đường kính gốc 20 cm ≤ ĐK gốc &lt; 30 cm</v>
          </cell>
          <cell r="B982" t="str">
            <v>Đồng/cây</v>
          </cell>
          <cell r="C982" t="str">
            <v>1.000.000</v>
          </cell>
        </row>
        <row r="983">
          <cell r="A983" t="str">
            <v>Vạn Tuế ĐK gốc ≥ 30 cm</v>
          </cell>
          <cell r="B983" t="str">
            <v>Đồng/cây</v>
          </cell>
          <cell r="C983" t="str">
            <v>1.500.000</v>
          </cell>
        </row>
        <row r="984">
          <cell r="A984" t="str">
            <v>NHÓM CÂY TÍNH THEO ĐƯỜNG KÍNH TÁN</v>
          </cell>
        </row>
        <row r="985">
          <cell r="A985" t="str">
            <v>Cây hồng xiêm</v>
          </cell>
        </row>
        <row r="986">
          <cell r="A986" t="str">
            <v>Cây hồng xiêm Cây giống đủ tiêu chuẩn mới trồng</v>
          </cell>
          <cell r="B986" t="str">
            <v>Đồng/cây</v>
          </cell>
          <cell r="C986" t="str">
            <v>25.000</v>
          </cell>
        </row>
        <row r="987">
          <cell r="A987" t="str">
            <v>Cây hồng xiêm ĐK tán ≤ 1,5 m</v>
          </cell>
          <cell r="B987" t="str">
            <v>Đồng/cây</v>
          </cell>
          <cell r="C987" t="str">
            <v>75.000</v>
          </cell>
        </row>
        <row r="988">
          <cell r="A988" t="str">
            <v>Cây hồng xiêm đường kính tán 1,5 m &lt; ĐK tán ≤2,5 m</v>
          </cell>
          <cell r="B988" t="str">
            <v>Đồng/cây</v>
          </cell>
          <cell r="C988">
            <v>187000</v>
          </cell>
        </row>
        <row r="989">
          <cell r="A989" t="str">
            <v>Cây hồng xiêm đường kính tán 2,5 m &lt; ĐK tán ≤ 3,5 m</v>
          </cell>
          <cell r="B989" t="str">
            <v>1 Đồng/cây</v>
          </cell>
          <cell r="C989" t="str">
            <v>311.000</v>
          </cell>
        </row>
        <row r="990">
          <cell r="A990" t="str">
            <v>Cây hồng xiêm đường kính tán 3,5 m &lt; ĐK tán ≤ 4,5 m</v>
          </cell>
          <cell r="B990" t="str">
            <v>Đồng/cây</v>
          </cell>
          <cell r="C990" t="str">
            <v>435.000</v>
          </cell>
        </row>
        <row r="991">
          <cell r="A991" t="str">
            <v>Cây hồng xiêm đường kính tán 4,5 m &lt; ĐK tán ≤ 5,5 m</v>
          </cell>
          <cell r="B991" t="str">
            <v>Đồng/cây</v>
          </cell>
          <cell r="C991" t="str">
            <v>560.000</v>
          </cell>
        </row>
        <row r="992">
          <cell r="A992" t="str">
            <v>Cây hồng xiêm đường kính tán 5,5 m &lt; ĐK tán ≤ 8 m</v>
          </cell>
          <cell r="B992" t="str">
            <v>Đồng/cây</v>
          </cell>
          <cell r="C992" t="str">
            <v>747.000</v>
          </cell>
        </row>
        <row r="993">
          <cell r="A993" t="str">
            <v>Cây hồng xiêm đường kính tán 8 m &lt; ĐK tán &lt; 10 m</v>
          </cell>
          <cell r="B993" t="str">
            <v>Đồng/cây</v>
          </cell>
          <cell r="C993" t="str">
            <v>995.000</v>
          </cell>
        </row>
        <row r="994">
          <cell r="A994" t="str">
            <v>Cây hồng xiêm ĐKtán &gt; 10 m</v>
          </cell>
          <cell r="B994" t="str">
            <v>Đồng/cây</v>
          </cell>
          <cell r="C994" t="str">
            <v>1.369.000</v>
          </cell>
        </row>
        <row r="995">
          <cell r="A995" t="str">
            <v>Cây roi</v>
          </cell>
        </row>
        <row r="996">
          <cell r="A996" t="str">
            <v>Cây roi Cây giống đủ tiêu chuẩn mới trồng</v>
          </cell>
          <cell r="B996" t="str">
            <v>Đồng/cây</v>
          </cell>
          <cell r="C996" t="str">
            <v>25.000</v>
          </cell>
        </row>
        <row r="997">
          <cell r="A997" t="str">
            <v>Cây roi đường kính tán 0,7m &lt; ĐK tán ≤ 1m</v>
          </cell>
          <cell r="B997" t="str">
            <v>Đồng/cây</v>
          </cell>
          <cell r="C997" t="str">
            <v>35.000</v>
          </cell>
        </row>
        <row r="998">
          <cell r="A998" t="str">
            <v>Cây roi đường kính tán 1 m ≤ĐK tán &lt; l,5m</v>
          </cell>
          <cell r="B998" t="str">
            <v>Đồng/cây</v>
          </cell>
          <cell r="C998" t="str">
            <v>66.000</v>
          </cell>
        </row>
        <row r="999">
          <cell r="A999" t="str">
            <v>Cây roi đường kính tán 1,5m ≤ ĐK tán ≤2m</v>
          </cell>
          <cell r="B999" t="str">
            <v>Đồng/cây</v>
          </cell>
          <cell r="C999" t="str">
            <v>108.000</v>
          </cell>
        </row>
        <row r="1000">
          <cell r="A1000" t="str">
            <v>Cây roi đường kính tán 2m ≤ ĐK tán ≤3m</v>
          </cell>
          <cell r="B1000" t="str">
            <v>Đồng/cây</v>
          </cell>
          <cell r="C1000" t="str">
            <v>168.000</v>
          </cell>
        </row>
        <row r="1001">
          <cell r="A1001" t="str">
            <v>Cây roi đường kính tán 3m ≤ ĐK tán ≤4m</v>
          </cell>
          <cell r="B1001" t="str">
            <v>Đồng/cây</v>
          </cell>
          <cell r="C1001" t="str">
            <v>264.000</v>
          </cell>
        </row>
        <row r="1002">
          <cell r="A1002" t="str">
            <v>Cây roi đường kính tán 4m ≤ ĐK tán ≤5m</v>
          </cell>
          <cell r="B1002" t="str">
            <v>Đồng/cây</v>
          </cell>
          <cell r="C1002" t="str">
            <v>372.000</v>
          </cell>
        </row>
        <row r="1003">
          <cell r="A1003" t="str">
            <v>Cây roi đường kính tán 5m ≤ ĐK tán ≤6m</v>
          </cell>
          <cell r="B1003" t="str">
            <v>Đồng/cây</v>
          </cell>
          <cell r="C1003" t="str">
            <v>480.000</v>
          </cell>
        </row>
        <row r="1004">
          <cell r="A1004" t="str">
            <v>Cây roi đường kính tán 6m ≤ ĐK tán ≤7m</v>
          </cell>
          <cell r="B1004" t="str">
            <v>Đồng/cây</v>
          </cell>
          <cell r="C1004" t="str">
            <v>588.000</v>
          </cell>
        </row>
        <row r="1005">
          <cell r="A1005" t="str">
            <v>Cây roi đường kính tán 7m ≤ ĐK tán ≤8m</v>
          </cell>
          <cell r="B1005" t="str">
            <v>Đồng/cây</v>
          </cell>
          <cell r="C1005" t="str">
            <v>720.000</v>
          </cell>
        </row>
        <row r="1006">
          <cell r="A1006" t="str">
            <v>Cây roi đường kính tán 8m ≤  ĐK tán ≤9m</v>
          </cell>
          <cell r="B1006" t="str">
            <v>Đồng/cây</v>
          </cell>
          <cell r="C1006" t="str">
            <v>864.000</v>
          </cell>
        </row>
        <row r="1007">
          <cell r="A1007" t="str">
            <v>Cây roi đường kính tán 9m ≤ ĐK tán ≤12m</v>
          </cell>
          <cell r="B1007" t="str">
            <v>Đồng/cây</v>
          </cell>
          <cell r="C1007" t="str">
            <v>1.020.000</v>
          </cell>
        </row>
        <row r="1008">
          <cell r="A1008" t="str">
            <v>Cây roi ĐK tán ≥ 12m</v>
          </cell>
          <cell r="B1008" t="str">
            <v>Đồng/cây</v>
          </cell>
          <cell r="C1008" t="str">
            <v>1.140.000</v>
          </cell>
        </row>
        <row r="1009">
          <cell r="A1009" t="str">
            <v>Cây hồng, cây cậy</v>
          </cell>
        </row>
        <row r="1010">
          <cell r="A1010" t="str">
            <v>Cây hồng, cây cậy Cây giống đủ tiêu chuẩn mới trồng, chiều cao cây H ≥ 40cm</v>
          </cell>
          <cell r="B1010" t="str">
            <v>Đồng/cây</v>
          </cell>
          <cell r="C1010" t="str">
            <v>20.000</v>
          </cell>
        </row>
        <row r="1011">
          <cell r="A1011" t="str">
            <v>Cây hồng, cây cậy ĐK tán ≤ 1,5m</v>
          </cell>
          <cell r="B1011" t="str">
            <v>Đồng/cây</v>
          </cell>
          <cell r="C1011" t="str">
            <v>75.000</v>
          </cell>
        </row>
        <row r="1012">
          <cell r="A1012" t="str">
            <v>Cây hồng, cây cậy đường kính tán 1,5 m &lt; ĐK tán ≤2,5 m</v>
          </cell>
          <cell r="B1012" t="str">
            <v>Đồng/cây</v>
          </cell>
          <cell r="C1012" t="str">
            <v>187.000</v>
          </cell>
        </row>
        <row r="1013">
          <cell r="A1013" t="str">
            <v>Cây hồng, cây cậy đường kính tán 2,5 m &lt; ĐK tán ≤3,5 m</v>
          </cell>
          <cell r="B1013" t="str">
            <v>Đồng/cây</v>
          </cell>
          <cell r="C1013" t="str">
            <v>311.000</v>
          </cell>
        </row>
        <row r="1014">
          <cell r="A1014" t="str">
            <v>Cây hồng, cây cậy đường kính tán 3,5 m &lt; ĐK tán ≤4,5 m</v>
          </cell>
          <cell r="B1014" t="str">
            <v>Đồng/cây</v>
          </cell>
          <cell r="C1014" t="str">
            <v>435.000</v>
          </cell>
        </row>
        <row r="1015">
          <cell r="A1015" t="str">
            <v>Cây hồng, cây cậy đường kính tán 4,5 m &lt; ĐK tán ≤5,5 m</v>
          </cell>
          <cell r="B1015" t="str">
            <v>Đồng/cây</v>
          </cell>
          <cell r="C1015" t="str">
            <v>560.000</v>
          </cell>
        </row>
        <row r="1016">
          <cell r="A1016" t="str">
            <v>Cây hồng, cây cậy đường kính tán 5,5 m &lt; ĐK tán ≤8 m</v>
          </cell>
          <cell r="B1016" t="str">
            <v>Đồng/cây</v>
          </cell>
          <cell r="C1016" t="str">
            <v>747.000</v>
          </cell>
        </row>
        <row r="1017">
          <cell r="A1017" t="str">
            <v>Cây hồng, cây cậy đường kính tán 8 m &lt; ĐK tán ≤10 m</v>
          </cell>
          <cell r="B1017" t="str">
            <v>Đồng/cây</v>
          </cell>
          <cell r="C1017" t="str">
            <v>995.000</v>
          </cell>
        </row>
        <row r="1018">
          <cell r="A1018" t="str">
            <v>Cây hồng, cây cậy ĐKtán &gt; 10 m</v>
          </cell>
          <cell r="B1018" t="str">
            <v>Đồng/cây</v>
          </cell>
          <cell r="C1018" t="str">
            <v>1.369.000</v>
          </cell>
        </row>
        <row r="1019">
          <cell r="A1019" t="str">
            <v>Cây chanh</v>
          </cell>
        </row>
        <row r="1020">
          <cell r="A1020" t="str">
            <v>Cây chanh Cây giống đủ tiêu chuẩn mới trồng, chiều cao cây H ≥ 40cm</v>
          </cell>
          <cell r="B1020" t="str">
            <v>Đồng/cây</v>
          </cell>
          <cell r="C1020" t="str">
            <v>25.000</v>
          </cell>
        </row>
        <row r="1021">
          <cell r="A1021" t="str">
            <v>Cây chanh ĐK tán ≤1 m</v>
          </cell>
          <cell r="B1021" t="str">
            <v>Đồng/cây</v>
          </cell>
          <cell r="C1021" t="str">
            <v>62.000</v>
          </cell>
        </row>
        <row r="1022">
          <cell r="A1022" t="str">
            <v>Cây chanh đường kính tán 1 m &lt; ĐK tán ≤ 1,5 m</v>
          </cell>
          <cell r="B1022" t="str">
            <v>Đồng/cây</v>
          </cell>
          <cell r="C1022" t="str">
            <v>124.000</v>
          </cell>
        </row>
        <row r="1023">
          <cell r="A1023" t="str">
            <v>Cây chanh đường kính tán 1,5 m &lt; ĐK tán ≤ 2 m</v>
          </cell>
          <cell r="B1023" t="str">
            <v>Đồng/cây</v>
          </cell>
          <cell r="C1023" t="str">
            <v>249.000</v>
          </cell>
        </row>
        <row r="1024">
          <cell r="A1024" t="str">
            <v>Cây chanh đường kính tán 2 m &lt; ĐK tán ≤ 3 m</v>
          </cell>
          <cell r="B1024" t="str">
            <v>Đồng/cây</v>
          </cell>
          <cell r="C1024" t="str">
            <v>373.000</v>
          </cell>
        </row>
        <row r="1025">
          <cell r="A1025" t="str">
            <v>Cây chanh đường kính tán 3 m &lt; ĐK tán ≤ 4 m</v>
          </cell>
          <cell r="B1025" t="str">
            <v>Đồng/cây</v>
          </cell>
          <cell r="C1025" t="str">
            <v>560.000</v>
          </cell>
        </row>
        <row r="1026">
          <cell r="A1026" t="str">
            <v>Cây chanh ĐKtán &gt; 4m</v>
          </cell>
          <cell r="B1026" t="str">
            <v>Đồng/cây</v>
          </cell>
          <cell r="C1026" t="str">
            <v>747.000</v>
          </cell>
        </row>
        <row r="1027">
          <cell r="A1027" t="str">
            <v>Cây cam</v>
          </cell>
        </row>
        <row r="1028">
          <cell r="A1028" t="str">
            <v>Cây cam giống Loại cây ghép có chiều cao cây 40cm ≤ H &lt; 1m</v>
          </cell>
          <cell r="B1028" t="str">
            <v>Đồng/cây</v>
          </cell>
          <cell r="C1028" t="str">
            <v>25.000</v>
          </cell>
        </row>
        <row r="1029">
          <cell r="A1029" t="str">
            <v>Cây cam giống Loại cây ghép có chiều cao cây H ≥ 1 m</v>
          </cell>
          <cell r="B1029" t="str">
            <v>Đồng/cây</v>
          </cell>
          <cell r="C1029" t="str">
            <v>30.000</v>
          </cell>
        </row>
        <row r="1030">
          <cell r="A1030" t="str">
            <v>Cây cam giống Loại cây chiết cành có chiều cao 40cm ≤ H &lt; 1m</v>
          </cell>
          <cell r="B1030" t="str">
            <v>Đồng/cây</v>
          </cell>
          <cell r="C1030" t="str">
            <v>30.000</v>
          </cell>
        </row>
        <row r="1031">
          <cell r="A1031" t="str">
            <v>Cây cam giống Loại cây chiết cành có chiều cao cây H ≥ 1m</v>
          </cell>
          <cell r="B1031" t="str">
            <v>Đồng/cây</v>
          </cell>
          <cell r="C1031" t="str">
            <v>40.000</v>
          </cell>
        </row>
        <row r="1032">
          <cell r="A1032" t="str">
            <v>Cây cam ĐK tán ≤1 m</v>
          </cell>
          <cell r="B1032" t="str">
            <v>Đông/cây</v>
          </cell>
          <cell r="C1032" t="str">
            <v>87.000</v>
          </cell>
        </row>
        <row r="1033">
          <cell r="A1033" t="str">
            <v>Cây cam đường kính tán 1 m &lt; ĐKtán ≤ 1,5 m</v>
          </cell>
          <cell r="B1033" t="str">
            <v>Đồng/cây</v>
          </cell>
          <cell r="C1033" t="str">
            <v>149.000</v>
          </cell>
        </row>
        <row r="1034">
          <cell r="A1034" t="str">
            <v>Cây cam đường kính tán 1,5 m &lt; ĐK tán ≤ 2 m</v>
          </cell>
          <cell r="B1034" t="str">
            <v>Đông/cây</v>
          </cell>
          <cell r="C1034" t="str">
            <v>249.000</v>
          </cell>
        </row>
        <row r="1035">
          <cell r="A1035" t="str">
            <v>Cây cam đường kính tán 2 m &lt; ĐK tán ≤ 3 m</v>
          </cell>
          <cell r="B1035" t="str">
            <v>Đồng/cây</v>
          </cell>
          <cell r="C1035" t="str">
            <v>560.000</v>
          </cell>
        </row>
        <row r="1036">
          <cell r="A1036" t="str">
            <v>Cây cam đường kính tán 3 m &lt; ĐK tán ≤ 5 m</v>
          </cell>
          <cell r="B1036" t="str">
            <v>Đông/cây</v>
          </cell>
          <cell r="C1036" t="str">
            <v>809.000</v>
          </cell>
        </row>
        <row r="1037">
          <cell r="A1037" t="str">
            <v>Cây cam ĐK tán &gt; 5 m</v>
          </cell>
          <cell r="B1037" t="str">
            <v>Đồng/cây</v>
          </cell>
          <cell r="C1037" t="str">
            <v>1.058.000</v>
          </cell>
        </row>
        <row r="1038">
          <cell r="A1038" t="str">
            <v>Cây quýt</v>
          </cell>
        </row>
        <row r="1039">
          <cell r="A1039" t="str">
            <v>Cây quýt ĐK tán ≤ 1,5 m</v>
          </cell>
          <cell r="B1039" t="str">
            <v>Đồng/cây</v>
          </cell>
          <cell r="C1039" t="str">
            <v>149.000</v>
          </cell>
        </row>
        <row r="1040">
          <cell r="A1040" t="str">
            <v>Cây quýt đường kính tán 1,5 m &lt; ĐK tán ≤ 2 m</v>
          </cell>
          <cell r="B1040" t="str">
            <v>Đông/cây</v>
          </cell>
          <cell r="C1040" t="str">
            <v>249.000</v>
          </cell>
        </row>
        <row r="1041">
          <cell r="A1041" t="str">
            <v>Cây quýt đường kính tán 2 m &lt; ĐK tán ≤ 3 m</v>
          </cell>
          <cell r="B1041" t="str">
            <v>Đồng/cây</v>
          </cell>
          <cell r="C1041" t="str">
            <v>560.000</v>
          </cell>
        </row>
        <row r="1042">
          <cell r="A1042" t="str">
            <v>Cây quýt đường kính tán 3 m &lt; ĐK tán ≤ 5 m</v>
          </cell>
          <cell r="B1042" t="str">
            <v>Đồng/cây</v>
          </cell>
          <cell r="C1042" t="str">
            <v>809.000</v>
          </cell>
        </row>
        <row r="1043">
          <cell r="A1043" t="str">
            <v>Cây quýt ĐK tán &gt; 5 m</v>
          </cell>
          <cell r="B1043" t="str">
            <v>Đông/cây</v>
          </cell>
          <cell r="C1043" t="str">
            <v>1.058.000</v>
          </cell>
        </row>
        <row r="1044">
          <cell r="A1044" t="str">
            <v>Cây quất</v>
          </cell>
        </row>
        <row r="1045">
          <cell r="A1045" t="str">
            <v>Cây quất Cây giống đủ tiêu chuẩn mới trồng</v>
          </cell>
          <cell r="B1045" t="str">
            <v>Đông/cây</v>
          </cell>
          <cell r="C1045" t="str">
            <v>7.000</v>
          </cell>
        </row>
        <row r="1046">
          <cell r="A1046" t="str">
            <v>Cây quất ĐK tán ≤1 m</v>
          </cell>
          <cell r="B1046" t="str">
            <v>Đồng/cây</v>
          </cell>
          <cell r="C1046" t="str">
            <v>149.000</v>
          </cell>
        </row>
        <row r="1047">
          <cell r="A1047" t="str">
            <v>Cây quất đường kính tán 1 m &lt; ĐK tán ≤2 m</v>
          </cell>
          <cell r="B1047" t="str">
            <v>Đồng/cây</v>
          </cell>
          <cell r="C1047" t="str">
            <v>311.000</v>
          </cell>
        </row>
        <row r="1048">
          <cell r="A1048" t="str">
            <v>Cây quất ĐK tán &gt; 2 m</v>
          </cell>
          <cell r="B1048" t="str">
            <v>Đồng/cây</v>
          </cell>
          <cell r="C1048" t="str">
            <v>547.000</v>
          </cell>
        </row>
        <row r="1049">
          <cell r="A1049" t="str">
            <v>Cây đào (lấy quả), cây mận (lấy quả), cây mơ (lấy quả)</v>
          </cell>
        </row>
        <row r="1050">
          <cell r="A1050" t="str">
            <v>Cây đào (lấy quả), cây mận (lấy quả), cây mơ (lấy quả) ĐK tán ≤1 m</v>
          </cell>
          <cell r="B1050" t="str">
            <v>Đồng/cây</v>
          </cell>
          <cell r="C1050" t="str">
            <v>81.000</v>
          </cell>
        </row>
        <row r="1051">
          <cell r="A1051" t="str">
            <v>Cây đào (lấy quả), cây mận (lấy quả), cây mơ (lấy quả) đường kính tán 1 m &lt; ĐK tán ≤1,5 m</v>
          </cell>
          <cell r="B1051" t="str">
            <v>Đồng/cấy</v>
          </cell>
          <cell r="C1051" t="str">
            <v>149.000</v>
          </cell>
        </row>
        <row r="1052">
          <cell r="A1052" t="str">
            <v>Cây đào (lấy quả), cây mận (lấy quả), cây mơ (lấy quả) đường kính tán  1,5 m &lt; ĐK tán ≤ 2 m</v>
          </cell>
          <cell r="B1052" t="str">
            <v>Đồng/cây</v>
          </cell>
          <cell r="C1052" t="str">
            <v>187.000</v>
          </cell>
        </row>
        <row r="1053">
          <cell r="A1053" t="str">
            <v>Cây đào (lấy quả), cây mận (lấy quả), cây mơ (lấy quả) đường kính tán 2 m &lt; ĐK tán ≤ 3 m</v>
          </cell>
          <cell r="B1053" t="str">
            <v>Đông/cây</v>
          </cell>
          <cell r="C1053" t="str">
            <v>224.000</v>
          </cell>
        </row>
        <row r="1054">
          <cell r="A1054" t="str">
            <v>Cây đào (lấy quả), cây mận (lấy quả), cây mơ (lấy quả) đường kính tán  3 m &lt; ĐK tán ≤ 5 m</v>
          </cell>
          <cell r="B1054" t="str">
            <v>Đồng/cây</v>
          </cell>
          <cell r="C1054" t="str">
            <v>435.000</v>
          </cell>
        </row>
        <row r="1055">
          <cell r="A1055" t="str">
            <v>Cây đào (lấy quả), cây mận (lấy quả), cây mơ (lấy quả) ĐK tán &gt; 5 m</v>
          </cell>
          <cell r="B1055" t="str">
            <v>Đồng/cây</v>
          </cell>
          <cell r="C1055" t="str">
            <v>796.000</v>
          </cell>
        </row>
        <row r="1056">
          <cell r="A1056" t="str">
            <v>Cây thanh trà (chanh trà)</v>
          </cell>
        </row>
        <row r="1057">
          <cell r="A1057" t="str">
            <v>Cây thanh trà (chanh trà) Cây giống đủ tiêu chuẩn mới trồng, chiều cao cây H ≥ 40cm</v>
          </cell>
          <cell r="B1057" t="str">
            <v>Đồng/cây</v>
          </cell>
          <cell r="C1057" t="str">
            <v>25.000</v>
          </cell>
        </row>
        <row r="1058">
          <cell r="A1058" t="str">
            <v>Cây thanh trà (chanh trà) ĐK tán ≤1 m</v>
          </cell>
          <cell r="B1058" t="str">
            <v>Đồng/cây</v>
          </cell>
          <cell r="C1058" t="str">
            <v>65.000</v>
          </cell>
        </row>
        <row r="1059">
          <cell r="A1059" t="str">
            <v>Cây thanh trà (chanh trà) đường kính tán 1 m &lt; ĐK tán ≤ 1,5 m</v>
          </cell>
          <cell r="B1059" t="str">
            <v>Đồng/cây</v>
          </cell>
          <cell r="C1059" t="str">
            <v>120.000</v>
          </cell>
        </row>
        <row r="1060">
          <cell r="A1060" t="str">
            <v>Cây thanh trà (chanh trà) đường kính tán 1,5 m &lt; ĐK tán ≤ 2 m</v>
          </cell>
          <cell r="B1060" t="str">
            <v>Đông/cây</v>
          </cell>
          <cell r="C1060" t="str">
            <v>150.000</v>
          </cell>
        </row>
        <row r="1061">
          <cell r="A1061" t="str">
            <v>Cây thanh trà (chanh trà) đường kính tán 2 m &lt; ĐK tán ≤ 3 m</v>
          </cell>
          <cell r="B1061" t="str">
            <v>Đồng/cây</v>
          </cell>
          <cell r="C1061" t="str">
            <v>180.000</v>
          </cell>
        </row>
        <row r="1062">
          <cell r="A1062" t="str">
            <v>Cây thanh trà (chanh trà) đường kính tán 3 m &lt; ĐK tán ≤ 5 m</v>
          </cell>
          <cell r="B1062" t="str">
            <v>Đồng/cây</v>
          </cell>
          <cell r="C1062" t="str">
            <v>350.000</v>
          </cell>
        </row>
        <row r="1063">
          <cell r="A1063" t="str">
            <v>Cây thanh trà (chanh trà) ĐK tán &gt; 5 m</v>
          </cell>
          <cell r="B1063" t="str">
            <v>Đồng/cây</v>
          </cell>
          <cell r="C1063" t="str">
            <v>640.000</v>
          </cell>
        </row>
        <row r="1064">
          <cell r="A1064" t="str">
            <v>Cây nhót</v>
          </cell>
        </row>
        <row r="1065">
          <cell r="A1065" t="str">
            <v>Cây nhót Cây giống mới trồng</v>
          </cell>
          <cell r="B1065" t="str">
            <v>Đồng/cây</v>
          </cell>
          <cell r="C1065" t="str">
            <v>20.000</v>
          </cell>
        </row>
        <row r="1066">
          <cell r="A1066" t="str">
            <v>Cây nhót ĐK tán ≤1,5 m</v>
          </cell>
          <cell r="B1066" t="str">
            <v>Đồng/cây</v>
          </cell>
          <cell r="C1066" t="str">
            <v>75.000</v>
          </cell>
        </row>
        <row r="1067">
          <cell r="A1067" t="str">
            <v>Cây nhót đường kính tán 1,5 m &lt; ĐK tán ≤2 m</v>
          </cell>
          <cell r="B1067" t="str">
            <v>Đồng/cây</v>
          </cell>
          <cell r="C1067" t="str">
            <v>124.000</v>
          </cell>
        </row>
        <row r="1068">
          <cell r="A1068" t="str">
            <v>Cây nhót đường kính tán 2 m &lt; ĐK tán ≤3 m</v>
          </cell>
          <cell r="B1068" t="str">
            <v>Đồng/cây</v>
          </cell>
          <cell r="C1068" t="str">
            <v>187.000</v>
          </cell>
        </row>
        <row r="1069">
          <cell r="A1069" t="str">
            <v>Cây nhót đường kính tán 3 m &lt; ĐK tán ≤5 m</v>
          </cell>
          <cell r="B1069" t="str">
            <v>Đông/cây</v>
          </cell>
          <cell r="C1069" t="str">
            <v>398.000</v>
          </cell>
        </row>
        <row r="1070">
          <cell r="A1070" t="str">
            <v>Cây nhót ĐK tán &gt; 5 m</v>
          </cell>
          <cell r="B1070" t="str">
            <v>Đồng/cây</v>
          </cell>
          <cell r="C1070" t="str">
            <v>622.000</v>
          </cell>
        </row>
        <row r="1071">
          <cell r="A1071" t="str">
            <v>Cây Thanh long</v>
          </cell>
        </row>
        <row r="1072">
          <cell r="A1072" t="str">
            <v>Cây Thanh long ĐK tán ≤1 m</v>
          </cell>
          <cell r="B1072" t="str">
            <v>đồng/trụ</v>
          </cell>
          <cell r="C1072" t="str">
            <v>150.000</v>
          </cell>
        </row>
        <row r="1073">
          <cell r="A1073" t="str">
            <v>Cây Thanh long đường kính tán 1 m &lt; ĐK tán ≤2 m</v>
          </cell>
          <cell r="B1073" t="str">
            <v>đồng/trụ</v>
          </cell>
          <cell r="C1073" t="str">
            <v>250.000</v>
          </cell>
        </row>
        <row r="1074">
          <cell r="A1074" t="str">
            <v>Cây Thanh long đường kính tán 2 m &lt; ĐK tán ≤3 m</v>
          </cell>
          <cell r="B1074" t="str">
            <v>đồng/trụ</v>
          </cell>
          <cell r="C1074" t="str">
            <v>300.000</v>
          </cell>
        </row>
        <row r="1075">
          <cell r="A1075" t="str">
            <v>Cây Thanh long ĐK tán &gt; 3 m</v>
          </cell>
          <cell r="B1075" t="str">
            <v>đồng/trụ</v>
          </cell>
          <cell r="C1075" t="str">
            <v>350.000</v>
          </cell>
        </row>
        <row r="1076">
          <cell r="A1076" t="str">
            <v>Cây chè</v>
          </cell>
        </row>
        <row r="1077">
          <cell r="A1077" t="str">
            <v>Cây chè Cây giống đủ tiêu chuẩn mới trồng</v>
          </cell>
          <cell r="B1077" t="str">
            <v>Đông/cây</v>
          </cell>
          <cell r="C1077" t="str">
            <v>5.000</v>
          </cell>
        </row>
        <row r="1078">
          <cell r="A1078" t="str">
            <v>Cây chè ĐK tán ≤0,8 m</v>
          </cell>
          <cell r="B1078" t="str">
            <v>Đồng/cây</v>
          </cell>
          <cell r="C1078" t="str">
            <v>25.000</v>
          </cell>
        </row>
        <row r="1079">
          <cell r="A1079" t="str">
            <v>Cây chè đường kính tán 0,8 m &lt; ĐK tán ≤1 m</v>
          </cell>
          <cell r="B1079" t="str">
            <v>Đồng/cây</v>
          </cell>
          <cell r="C1079" t="str">
            <v>87.000</v>
          </cell>
        </row>
        <row r="1080">
          <cell r="A1080" t="str">
            <v>Cây chè đường kính tán 1 m &lt; ĐK tán ≤1,2 m</v>
          </cell>
          <cell r="B1080" t="str">
            <v>Đồng/cây</v>
          </cell>
          <cell r="C1080" t="str">
            <v>187.000</v>
          </cell>
        </row>
        <row r="1081">
          <cell r="A1081" t="str">
            <v>Cây chè ĐK tán &gt; 1,2 m</v>
          </cell>
          <cell r="B1081" t="str">
            <v>Đồng/cây</v>
          </cell>
          <cell r="C1081" t="str">
            <v>373.000</v>
          </cell>
        </row>
        <row r="1082">
          <cell r="A1082" t="str">
            <v>Cây mẫu đơn ta</v>
          </cell>
        </row>
        <row r="1083">
          <cell r="A1083" t="str">
            <v>Cây mẫu đơn ta Cây giống đủ tiêu chuẩn mới trồng, chiều cao cây H &lt; 40cm</v>
          </cell>
          <cell r="B1083" t="str">
            <v>Đồng/cây</v>
          </cell>
          <cell r="C1083" t="str">
            <v>62.000</v>
          </cell>
        </row>
        <row r="1084">
          <cell r="A1084" t="str">
            <v>Cây mẫu đơn ta Cây giống đủ tiêu chuẩn mới trồng, chiều cao cây 40cm ≤ H &lt; 100cm</v>
          </cell>
          <cell r="B1084" t="str">
            <v>Đồng/cây</v>
          </cell>
          <cell r="C1084" t="str">
            <v>116.000</v>
          </cell>
        </row>
        <row r="1085">
          <cell r="A1085" t="str">
            <v>Cây mẫu đơn ta Cây giống đủ tiêu chuẩn mới trồng, chiều cao cây H ≥ 100cm</v>
          </cell>
          <cell r="B1085" t="str">
            <v>Đồng/cây</v>
          </cell>
          <cell r="C1085" t="str">
            <v>225.000</v>
          </cell>
        </row>
        <row r="1086">
          <cell r="A1086" t="str">
            <v>Cây mẫu đơn ta có ĐK tán &lt; 1m, gốc có 5-7 nhánh</v>
          </cell>
          <cell r="B1086" t="str">
            <v>Đồng/cây</v>
          </cell>
          <cell r="C1086" t="str">
            <v>440.000</v>
          </cell>
        </row>
        <row r="1087">
          <cell r="A1087" t="str">
            <v>Cây mẫu đơn ta có ĐK tán từ 1,0m đến 1,2m gốc có 5- 7 nhánh</v>
          </cell>
          <cell r="B1087" t="str">
            <v>Đồng/cây</v>
          </cell>
          <cell r="C1087" t="str">
            <v>660.000</v>
          </cell>
        </row>
        <row r="1088">
          <cell r="A1088" t="str">
            <v>Cây mẫu đơn ta có ĐK tán l,0m đến l,2m, gốc có 8-10 nhánh</v>
          </cell>
          <cell r="B1088" t="str">
            <v>Đồng/cây</v>
          </cell>
          <cell r="C1088" t="str">
            <v>1.100.000</v>
          </cell>
        </row>
        <row r="1089">
          <cell r="A1089" t="str">
            <v>Cây mẫu đơn ta có ĐK tán l,3m đến 1,5 m, gốc có 8- 10 nhánh</v>
          </cell>
          <cell r="B1089" t="str">
            <v>Đồng/cây</v>
          </cell>
          <cell r="C1089" t="str">
            <v>2.180.000</v>
          </cell>
        </row>
        <row r="1090">
          <cell r="A1090" t="str">
            <v>Cây mẫu đơn ta có ĐK tán l,6m đến 2m, gốc có trên 10 nhánh</v>
          </cell>
          <cell r="B1090" t="str">
            <v>Đồng/cây</v>
          </cell>
          <cell r="C1090" t="str">
            <v>3.280.000</v>
          </cell>
        </row>
        <row r="1091">
          <cell r="A1091" t="str">
            <v>Cây mẫu đơn ta có ĐK tán 2,0m đến 2,2 m, gốc có trên 10 nhánh</v>
          </cell>
          <cell r="B1091" t="str">
            <v>Đồng/cây</v>
          </cell>
          <cell r="C1091" t="str">
            <v>3.820.000</v>
          </cell>
        </row>
        <row r="1092">
          <cell r="A1092" t="str">
            <v>Cây mẫu đơn ta có ĐK tán &gt;2,2m đến 2,5m, gốc có trên 10 nhánh</v>
          </cell>
          <cell r="B1092" t="str">
            <v>Đồng/cây</v>
          </cell>
          <cell r="C1092" t="str">
            <v>4.940.000</v>
          </cell>
        </row>
        <row r="1093">
          <cell r="A1093" t="str">
            <v>Cây mẫu đơn ta có ĐK tán &gt;2,5 m, gôc có trên 10 nhánh</v>
          </cell>
          <cell r="B1093" t="str">
            <v>Đồng/cây</v>
          </cell>
          <cell r="C1093" t="str">
            <v>6.600.000</v>
          </cell>
        </row>
        <row r="1094">
          <cell r="A1094" t="str">
            <v>Cây thiên phúc (pháo hoa)</v>
          </cell>
        </row>
        <row r="1095">
          <cell r="A1095" t="str">
            <v>Cây thiên phúc (pháo hoa) Cây giống mới trồng</v>
          </cell>
          <cell r="B1095" t="str">
            <v>Đồng/cây</v>
          </cell>
          <cell r="C1095" t="str">
            <v>6.000</v>
          </cell>
        </row>
        <row r="1096">
          <cell r="A1096" t="str">
            <v>Cây thiên phúc (pháo hoa) đường kính tán 0,5 m &lt; ĐK tán ≤1 m</v>
          </cell>
          <cell r="B1096" t="str">
            <v>Đồng/cây</v>
          </cell>
          <cell r="C1096" t="str">
            <v>50.000</v>
          </cell>
        </row>
        <row r="1097">
          <cell r="A1097" t="str">
            <v>Cây thiên phúc (pháo hoa) đường kính tán 1 m &lt; ĐK tán ≤2,5 m</v>
          </cell>
          <cell r="B1097" t="str">
            <v>Đồng/cây</v>
          </cell>
          <cell r="C1097" t="str">
            <v>250.000</v>
          </cell>
        </row>
        <row r="1098">
          <cell r="A1098" t="str">
            <v>Cây thiên phúc (pháo hoa) ĐK tán &gt; 2,5 m</v>
          </cell>
          <cell r="B1098" t="str">
            <v>Đồng/cây</v>
          </cell>
          <cell r="C1098" t="str">
            <v>500.000</v>
          </cell>
        </row>
        <row r="1099">
          <cell r="A1099" t="str">
            <v>Cây mẫu đơn nhật</v>
          </cell>
        </row>
        <row r="1100">
          <cell r="A1100" t="str">
            <v>Cây mẫu đơn nhật Cây giống mới trồng</v>
          </cell>
          <cell r="B1100" t="str">
            <v>Đồng/cây</v>
          </cell>
          <cell r="C1100" t="str">
            <v>12.000</v>
          </cell>
        </row>
        <row r="1101">
          <cell r="A1101" t="str">
            <v>Cây mẫu đơn nhật đường kính tán 1 m &lt; ĐK tán ≤ 1,5 m</v>
          </cell>
          <cell r="B1101" t="str">
            <v>Đồng/cây</v>
          </cell>
          <cell r="C1101" t="str">
            <v>150.000</v>
          </cell>
        </row>
        <row r="1102">
          <cell r="A1102" t="str">
            <v>Cây mẫu đơn nhật đường kính tán 1,5 m &lt; ĐK tán ≤ 2m</v>
          </cell>
          <cell r="B1102" t="str">
            <v>Đồng/cây</v>
          </cell>
          <cell r="C1102" t="str">
            <v>300.000</v>
          </cell>
        </row>
        <row r="1103">
          <cell r="A1103" t="str">
            <v>Cây mẫu đơn nhật ĐK tán &gt; 2 m</v>
          </cell>
          <cell r="B1103" t="str">
            <v>Đồng/cây</v>
          </cell>
          <cell r="C1103" t="str">
            <v>450.000</v>
          </cell>
        </row>
        <row r="1104">
          <cell r="A1104" t="str">
            <v>Cây dâm bụt, cây ngũ sắc</v>
          </cell>
        </row>
        <row r="1105">
          <cell r="A1105" t="str">
            <v>Cây dâm bụt, cây ngũ sắc Cây giống mới trồng</v>
          </cell>
          <cell r="B1105" t="str">
            <v>Đồng/cây</v>
          </cell>
          <cell r="C1105" t="str">
            <v>7.000</v>
          </cell>
        </row>
        <row r="1106">
          <cell r="A1106" t="str">
            <v>Cây dâm bụt, cây ngũ sắc đường kính tán 0,5 m &lt; ĐK tán ≤ 1 m</v>
          </cell>
          <cell r="B1106" t="str">
            <v>Đồng/cây</v>
          </cell>
          <cell r="C1106" t="str">
            <v>40.000</v>
          </cell>
        </row>
        <row r="1107">
          <cell r="A1107" t="str">
            <v>Cây dâm bụt, cây ngũ sắc đường kính tán 1 m &lt; ĐK tán ≤ 1,5 m</v>
          </cell>
          <cell r="B1107" t="str">
            <v>Đông/cây</v>
          </cell>
          <cell r="C1107" t="str">
            <v>80.000</v>
          </cell>
        </row>
        <row r="1108">
          <cell r="A1108" t="str">
            <v>Cây dâm bụt, cây ngũ sắc đường kính tán 1,5 m &lt; ĐK tán ≤ 2 m</v>
          </cell>
          <cell r="B1108" t="str">
            <v>Đồng/cây</v>
          </cell>
          <cell r="C1108" t="str">
            <v>150.000</v>
          </cell>
        </row>
        <row r="1109">
          <cell r="A1109" t="str">
            <v>Cây dâm bụt, cây ngũ sắc đường kính tán 2 m &lt; ĐK tán ≤ 3 m</v>
          </cell>
          <cell r="B1109" t="str">
            <v>Đồng/cây</v>
          </cell>
          <cell r="C1109" t="str">
            <v>250.000</v>
          </cell>
        </row>
        <row r="1110">
          <cell r="A1110" t="str">
            <v>Cây dâm bụt, cây ngũ sắc ĐK tán &gt; 3 m</v>
          </cell>
          <cell r="B1110" t="str">
            <v>Đồng/cây</v>
          </cell>
          <cell r="C1110" t="str">
            <v>300.000</v>
          </cell>
        </row>
        <row r="1111">
          <cell r="A1111" t="str">
            <v>Cây hoa sứ</v>
          </cell>
          <cell r="B1111" t="str">
            <v>Đồng/cây</v>
          </cell>
          <cell r="C1111" t="str">
            <v>350.000</v>
          </cell>
        </row>
        <row r="1112">
          <cell r="A1112" t="str">
            <v>Cây hoa sứ Cây giống đủ tiêu chuẩn mới trồng, chưa ra hoa</v>
          </cell>
          <cell r="B1112" t="str">
            <v>Đồng/cây</v>
          </cell>
          <cell r="C1112" t="str">
            <v>50.000</v>
          </cell>
        </row>
        <row r="1113">
          <cell r="A1113" t="str">
            <v>Cây hoa sứ đường kính tán 0,5 m &lt; ĐK tán ≤1 m</v>
          </cell>
          <cell r="B1113" t="str">
            <v>Đồng/cây</v>
          </cell>
          <cell r="C1113" t="str">
            <v>80.000</v>
          </cell>
        </row>
        <row r="1114">
          <cell r="A1114" t="str">
            <v>Cây hoa sứ đường kính tán 1 m &lt; ĐK tán ≤2 m</v>
          </cell>
          <cell r="B1114" t="str">
            <v>Đồng/cây</v>
          </cell>
          <cell r="C1114" t="str">
            <v>180.000</v>
          </cell>
        </row>
        <row r="1115">
          <cell r="A1115" t="str">
            <v>Cây hoa sứ đường kính tán 2 m &lt; ĐK tán ≤3 m</v>
          </cell>
          <cell r="B1115" t="str">
            <v>Đồng/cây</v>
          </cell>
          <cell r="C1115" t="str">
            <v>250.000</v>
          </cell>
        </row>
        <row r="1116">
          <cell r="A1116" t="str">
            <v>Cây hoa sứ đường kính tán 3 m &lt; ĐK tán ≤4 m</v>
          </cell>
          <cell r="B1116" t="str">
            <v>Đồng/cây</v>
          </cell>
          <cell r="C1116" t="str">
            <v>350.000</v>
          </cell>
        </row>
        <row r="1117">
          <cell r="A1117" t="str">
            <v>Cây hoa sứ ĐK tán &gt; 4 m</v>
          </cell>
          <cell r="B1117" t="str">
            <v>Đồng/cây</v>
          </cell>
          <cell r="C1117" t="str">
            <v>500.000</v>
          </cell>
        </row>
        <row r="1118">
          <cell r="A1118" t="str">
            <v>Cây ngâu, cây tứ quý</v>
          </cell>
        </row>
        <row r="1119">
          <cell r="A1119" t="str">
            <v>Cây ngâu, cây tứ quý Cây giống đủ tiêu chuẩn mới trồng, chưa ra hoa</v>
          </cell>
          <cell r="B1119" t="str">
            <v>Đồng/cây</v>
          </cell>
          <cell r="C1119" t="str">
            <v>50.000</v>
          </cell>
        </row>
        <row r="1120">
          <cell r="A1120" t="str">
            <v>Cây ngâu, cây tứ quý đường kính tán 0,5 m &lt; ĐK tán ≤1 m</v>
          </cell>
          <cell r="B1120" t="str">
            <v>Đồng/cây</v>
          </cell>
          <cell r="C1120" t="str">
            <v>70.000</v>
          </cell>
        </row>
        <row r="1121">
          <cell r="A1121" t="str">
            <v>Cây ngâu, cây tứ quý đường kính tán 1 m &lt; ĐK tán ≤1,5 m</v>
          </cell>
          <cell r="B1121" t="str">
            <v>Đông/cây</v>
          </cell>
          <cell r="C1121" t="str">
            <v>170.000</v>
          </cell>
        </row>
        <row r="1122">
          <cell r="A1122" t="str">
            <v>Cây ngâu, cây tứ quý đường kính tán 1,5 m &lt; ĐK tán ≤2 m</v>
          </cell>
          <cell r="B1122" t="str">
            <v>Đồng/cây</v>
          </cell>
          <cell r="C1122" t="str">
            <v>220.000</v>
          </cell>
        </row>
        <row r="1123">
          <cell r="A1123" t="str">
            <v>Cây ngâu, cây tứ quý đường kính tán 2 m &lt; ĐK tán ≤3 m</v>
          </cell>
          <cell r="B1123" t="str">
            <v>Đồng/cây</v>
          </cell>
          <cell r="C1123" t="str">
            <v>320.000</v>
          </cell>
        </row>
        <row r="1124">
          <cell r="A1124" t="str">
            <v>Cây ngâu, cây tứ quý đường kính tán 3 m &lt; ĐK tán ≤4,5 m</v>
          </cell>
          <cell r="B1124" t="str">
            <v>Đồng/cây</v>
          </cell>
          <cell r="C1124" t="str">
            <v>420.000</v>
          </cell>
        </row>
        <row r="1125">
          <cell r="A1125" t="str">
            <v>Cây ngâu, cây tứ quý đường kính tán 4,5 m &lt; ĐK tán ≤6 m</v>
          </cell>
          <cell r="B1125" t="str">
            <v>Đồng/cây</v>
          </cell>
          <cell r="C1125" t="str">
            <v>550.000</v>
          </cell>
        </row>
        <row r="1126">
          <cell r="A1126" t="str">
            <v>Cây ngâu, cây tứ quý đường kính tán 6 m &lt; ĐK tán ≤8 m</v>
          </cell>
          <cell r="B1126" t="str">
            <v>Đồng/cây</v>
          </cell>
          <cell r="C1126" t="str">
            <v>700.000</v>
          </cell>
        </row>
        <row r="1127">
          <cell r="A1127" t="str">
            <v>Cây ngâu, cây tứ quý ĐK tán &gt; 8 m</v>
          </cell>
          <cell r="B1127" t="str">
            <v>Đồng/cây</v>
          </cell>
          <cell r="C1127" t="str">
            <v>1.000.000</v>
          </cell>
        </row>
        <row r="1128">
          <cell r="A1128" t="str">
            <v>Cây hoa nhài</v>
          </cell>
        </row>
        <row r="1129">
          <cell r="A1129" t="str">
            <v>Cây hoa nhài giống mới trồng</v>
          </cell>
          <cell r="B1129" t="str">
            <v>Đồng/cây</v>
          </cell>
          <cell r="C1129" t="str">
            <v>8.000</v>
          </cell>
        </row>
        <row r="1130">
          <cell r="A1130" t="str">
            <v>Cây hoa nhài đường kính tán 0,5 m &lt; ĐK tán ≤1,5 m</v>
          </cell>
          <cell r="B1130" t="str">
            <v>Đồng/cây</v>
          </cell>
          <cell r="C1130" t="str">
            <v>45.000</v>
          </cell>
        </row>
        <row r="1131">
          <cell r="A1131" t="str">
            <v>Cây hoa nhài ĐK tán &gt;1,5 m</v>
          </cell>
          <cell r="B1131" t="str">
            <v>Đồng/cây</v>
          </cell>
          <cell r="C1131" t="str">
            <v>100.000</v>
          </cell>
        </row>
        <row r="1132">
          <cell r="A1132" t="str">
            <v>Cây hương thảo, tuyết sơn phi hồng</v>
          </cell>
        </row>
        <row r="1133">
          <cell r="A1133" t="str">
            <v>Cây hương thảo, tuyết sơn phi hồng giống</v>
          </cell>
          <cell r="B1133" t="str">
            <v>Đồng/cây</v>
          </cell>
          <cell r="C1133" t="str">
            <v>30.000</v>
          </cell>
        </row>
        <row r="1134">
          <cell r="A1134" t="str">
            <v>Cây hương thảo, tuyết sơn phi hồng đường kính tán 0,2 m &lt; ĐK tán ≤0,5 m</v>
          </cell>
          <cell r="B1134" t="str">
            <v>Đồng/cây</v>
          </cell>
          <cell r="C1134" t="str">
            <v>70.000</v>
          </cell>
        </row>
        <row r="1135">
          <cell r="A1135" t="str">
            <v>Cây hương thảo, tuyết sơn phi hồng đường kính tán 0,5 m &lt; ĐK tán ≤1 m</v>
          </cell>
          <cell r="B1135" t="str">
            <v>Đồng/cây</v>
          </cell>
          <cell r="C1135" t="str">
            <v>185.000</v>
          </cell>
        </row>
        <row r="1136">
          <cell r="A1136" t="str">
            <v>Cây hương thảo, tuyết sơn phi hồng ĐK tán &gt;1 m</v>
          </cell>
          <cell r="B1136" t="str">
            <v>Đông/cây</v>
          </cell>
          <cell r="C1136" t="str">
            <v>320.000</v>
          </cell>
        </row>
        <row r="1137">
          <cell r="A1137" t="str">
            <v>Cây nhàu</v>
          </cell>
        </row>
        <row r="1138">
          <cell r="A1138" t="str">
            <v>Cây nhàu giống mới trồng</v>
          </cell>
          <cell r="B1138" t="str">
            <v>Đồng/cây</v>
          </cell>
          <cell r="C1138" t="str">
            <v>30.000</v>
          </cell>
        </row>
        <row r="1139">
          <cell r="A1139" t="str">
            <v>Cây nhàu đường kính tán 0,5 m &lt; ĐK tán ≤1 m</v>
          </cell>
          <cell r="B1139" t="str">
            <v>Đông/cây</v>
          </cell>
          <cell r="C1139" t="str">
            <v>120.000</v>
          </cell>
        </row>
        <row r="1140">
          <cell r="A1140" t="str">
            <v>Cây nhàu đường kính tán 1 m &lt; ĐK tán ≤2 m</v>
          </cell>
          <cell r="B1140" t="str">
            <v>Đồng/cây</v>
          </cell>
          <cell r="C1140" t="str">
            <v>250.000</v>
          </cell>
        </row>
        <row r="1141">
          <cell r="A1141" t="str">
            <v>Cây nhàu ĐK tán &gt; 2 m</v>
          </cell>
          <cell r="B1141" t="str">
            <v>Đồng/cây</v>
          </cell>
          <cell r="C1141" t="str">
            <v>440.000</v>
          </cell>
        </row>
        <row r="1142">
          <cell r="A1142" t="str">
            <v>Cây hoa hòe</v>
          </cell>
        </row>
        <row r="1143">
          <cell r="A1143" t="str">
            <v>Cây hoa hòe giống đủ tiêu chuẩn mới trồng</v>
          </cell>
          <cell r="B1143" t="str">
            <v>Đồng/cây</v>
          </cell>
          <cell r="C1143" t="str">
            <v>25.000</v>
          </cell>
        </row>
        <row r="1144">
          <cell r="A1144" t="str">
            <v>Cây hoa hòe đường kính tán 0,1m &lt; ĐK tán ≤0,5m</v>
          </cell>
          <cell r="B1144" t="str">
            <v>Đồng/cây</v>
          </cell>
          <cell r="C1144" t="str">
            <v>85.000</v>
          </cell>
        </row>
        <row r="1145">
          <cell r="A1145" t="str">
            <v>Cây hoa hòe đường kính tán 0,5m &lt; ĐK tán ≤ 1m</v>
          </cell>
          <cell r="B1145" t="str">
            <v>Đồng/cây</v>
          </cell>
          <cell r="C1145" t="str">
            <v>170.000</v>
          </cell>
        </row>
        <row r="1146">
          <cell r="A1146" t="str">
            <v>Cây hoa hòe đường kính tán 1 m ≤ ĐK tán &lt; 1,5m</v>
          </cell>
          <cell r="B1146" t="str">
            <v>Đồng/cây</v>
          </cell>
          <cell r="C1146" t="str">
            <v>385.000</v>
          </cell>
        </row>
        <row r="1147">
          <cell r="A1147" t="str">
            <v>Cây hoa hòe đường kính tán 1,5m ≤ ĐK tán &lt; 2m</v>
          </cell>
          <cell r="B1147" t="str">
            <v>Đồng/cây</v>
          </cell>
          <cell r="C1147" t="str">
            <v>660.000</v>
          </cell>
        </row>
        <row r="1148">
          <cell r="A1148" t="str">
            <v>Cây hoa hòe đường kính tán 2m ≤ ĐK tán &lt; 3m</v>
          </cell>
          <cell r="B1148" t="str">
            <v>Đồng/cây</v>
          </cell>
          <cell r="C1148" t="str">
            <v>1.080.000</v>
          </cell>
        </row>
        <row r="1149">
          <cell r="A1149" t="str">
            <v>Cây hoa hòe đường kính tán 3m ≤ ĐK tán &lt; 4m</v>
          </cell>
          <cell r="B1149" t="str">
            <v>Đồng/cây</v>
          </cell>
          <cell r="C1149" t="str">
            <v>1.800.000</v>
          </cell>
        </row>
        <row r="1150">
          <cell r="A1150" t="str">
            <v>Cây hoa hòe đường kính tán 4m ≤ ĐK tán &lt; 5m</v>
          </cell>
          <cell r="B1150" t="str">
            <v>Đồng/cây</v>
          </cell>
          <cell r="C1150" t="str">
            <v>2.400.000</v>
          </cell>
        </row>
        <row r="1151">
          <cell r="A1151" t="str">
            <v>Cây hoa hòe đường kính tán 5m ≤ ĐK tán &lt; 6m</v>
          </cell>
          <cell r="B1151" t="str">
            <v>Đồng/cây</v>
          </cell>
          <cell r="C1151" t="str">
            <v>3.000.000</v>
          </cell>
        </row>
        <row r="1152">
          <cell r="A1152" t="str">
            <v>Cây hoa hòe đường kính tán 6m ≤ ĐK tán &lt; 7m</v>
          </cell>
          <cell r="B1152" t="str">
            <v>Đồng/cây</v>
          </cell>
          <cell r="C1152" t="str">
            <v>3.600.000</v>
          </cell>
        </row>
        <row r="1153">
          <cell r="A1153" t="str">
            <v>Cây hoa hòe đường kính tán 7m ≤ ĐK tán &lt; 8m</v>
          </cell>
          <cell r="B1153" t="str">
            <v>Đồng/cây</v>
          </cell>
          <cell r="C1153" t="str">
            <v>4.200.000</v>
          </cell>
        </row>
        <row r="1154">
          <cell r="A1154" t="str">
            <v>Cây hoa hòe đường kính tán 8m ≤ ĐK tán&lt; 9m</v>
          </cell>
          <cell r="B1154" t="str">
            <v>Đồng/cây</v>
          </cell>
          <cell r="C1154" t="str">
            <v>4.800.000</v>
          </cell>
        </row>
        <row r="1155">
          <cell r="A1155" t="str">
            <v>Cây hoa hòe đường kính tán 9m ≤ ĐK tán &lt; 12m</v>
          </cell>
          <cell r="B1155" t="str">
            <v>Đồng/cây</v>
          </cell>
          <cell r="C1155" t="str">
            <v>5.400.000</v>
          </cell>
        </row>
        <row r="1156">
          <cell r="A1156" t="str">
            <v>Cây hoa hòe ĐK tán ≥ 12m</v>
          </cell>
          <cell r="B1156" t="str">
            <v>Đồng/cây</v>
          </cell>
          <cell r="C1156" t="str">
            <v>6.000.000</v>
          </cell>
        </row>
        <row r="1157">
          <cell r="A1157" t="str">
            <v>Xạ đen</v>
          </cell>
        </row>
        <row r="1158">
          <cell r="A1158" t="str">
            <v>Xạ đen giống đủ tiêu chuẩn mới trồng</v>
          </cell>
          <cell r="B1158" t="str">
            <v>Đồng/cây</v>
          </cell>
          <cell r="C1158" t="str">
            <v>35.000</v>
          </cell>
        </row>
        <row r="1159">
          <cell r="A1159" t="str">
            <v>Xạ đen đường kính tán 0,1 ≤ ĐK tán &lt; 0,5m</v>
          </cell>
          <cell r="B1159" t="str">
            <v>Đồng/cây</v>
          </cell>
          <cell r="C1159" t="str">
            <v>120.000</v>
          </cell>
        </row>
        <row r="1160">
          <cell r="A1160" t="str">
            <v>Xạ đen đường kính tán 0,5m  ≤ ĐK tán ≤ 1m</v>
          </cell>
          <cell r="B1160" t="str">
            <v>Đồngzcây</v>
          </cell>
          <cell r="C1160" t="str">
            <v>180.000</v>
          </cell>
        </row>
        <row r="1161">
          <cell r="A1161" t="str">
            <v>Xạ đen đường kính tán 1m ≤ ĐK tán &lt; 1,5m</v>
          </cell>
          <cell r="B1161" t="str">
            <v>Đồng/cây</v>
          </cell>
          <cell r="C1161" t="str">
            <v>240.000</v>
          </cell>
        </row>
        <row r="1162">
          <cell r="A1162" t="str">
            <v>Xạ đen đường kính tán 1,5m  ≤ ĐK tán &lt; 2m</v>
          </cell>
          <cell r="B1162" t="str">
            <v>Đongzcây</v>
          </cell>
          <cell r="C1162" t="str">
            <v>360.000</v>
          </cell>
        </row>
        <row r="1163">
          <cell r="A1163" t="str">
            <v>Xạ đen đường kính tán 2m  ≤  ĐK tán &lt; 3m</v>
          </cell>
          <cell r="B1163" t="str">
            <v>Đồng/cây</v>
          </cell>
          <cell r="C1163" t="str">
            <v>600.000</v>
          </cell>
        </row>
        <row r="1164">
          <cell r="A1164" t="str">
            <v>Xạ đen đường kính tán 3m  ≤  ĐK tán &lt; 4m</v>
          </cell>
          <cell r="B1164" t="str">
            <v>Đồng/cây</v>
          </cell>
          <cell r="C1164" t="str">
            <v>720.000</v>
          </cell>
        </row>
        <row r="1165">
          <cell r="A1165" t="str">
            <v>Xạ đen ĐK tán ≥ 4m</v>
          </cell>
          <cell r="B1165" t="str">
            <v>Đồng/cây</v>
          </cell>
          <cell r="C1165" t="str">
            <v>960.000</v>
          </cell>
        </row>
        <row r="1166">
          <cell r="A1166" t="str">
            <v>NHÓM CÂY TÍNH THEO MÉT VUÔNG GIÀN</v>
          </cell>
        </row>
        <row r="1167">
          <cell r="A1167" t="str">
            <v>Cây thiênlý</v>
          </cell>
          <cell r="B1167" t="str">
            <v>đồng/m2</v>
          </cell>
          <cell r="C1167" t="str">
            <v>60.000</v>
          </cell>
        </row>
        <row r="1168">
          <cell r="A1168" t="str">
            <v>Cây gấc</v>
          </cell>
        </row>
        <row r="1169">
          <cell r="A1169" t="str">
            <v>Cây gấc (Tính theo m2 giàn)</v>
          </cell>
          <cell r="B1169" t="str">
            <v>đồng/m2</v>
          </cell>
          <cell r="C1169" t="str">
            <v>20.000</v>
          </cell>
        </row>
        <row r="1170">
          <cell r="A1170" t="str">
            <v>Tính theo khóm gốc</v>
          </cell>
        </row>
        <row r="1171">
          <cell r="A1171" t="str">
            <v>Cây gấc (Tính theo khóm gốc) Chiều dài dây leo L &lt; 3m</v>
          </cell>
          <cell r="B1171" t="str">
            <v>Đồng/khóm gốc</v>
          </cell>
          <cell r="C1171" t="str">
            <v>50.000</v>
          </cell>
        </row>
        <row r="1172">
          <cell r="A1172" t="str">
            <v>Cây gấc (Tính theo khóm gốc) Chiều dài dây leo 3m ≤ L &lt; 10m</v>
          </cell>
          <cell r="B1172" t="str">
            <v>Đồng/khóm gốc</v>
          </cell>
          <cell r="C1172" t="str">
            <v>78.000</v>
          </cell>
        </row>
        <row r="1173">
          <cell r="A1173" t="str">
            <v>Cây gấc (Tính theo khóm gốc) Chiều dài dây leo L &gt; 10m</v>
          </cell>
          <cell r="B1173" t="str">
            <v>Đông/khóm gốc</v>
          </cell>
          <cell r="C1173" t="str">
            <v>120.000</v>
          </cell>
        </row>
        <row r="1174">
          <cell r="A1174" t="str">
            <v>Cây nho</v>
          </cell>
          <cell r="B1174" t="str">
            <v>đồng/m2</v>
          </cell>
          <cell r="C1174" t="str">
            <v>10.000</v>
          </cell>
        </row>
        <row r="1175">
          <cell r="A1175" t="str">
            <v>NHÓM CÂY KHÁC</v>
          </cell>
        </row>
        <row r="1176">
          <cell r="A1176" t="str">
            <v>Tre lấy măng</v>
          </cell>
        </row>
        <row r="1177">
          <cell r="A1177" t="str">
            <v>Tre lấy măng Loại 1 thân</v>
          </cell>
          <cell r="B1177" t="str">
            <v>Đồng/khóm</v>
          </cell>
          <cell r="C1177" t="str">
            <v>35.000</v>
          </cell>
        </row>
        <row r="1178">
          <cell r="A1178" t="str">
            <v>Tre lấy măng Loại 2-3 thân</v>
          </cell>
          <cell r="B1178" t="str">
            <v>Đồng/khóm</v>
          </cell>
          <cell r="C1178" t="str">
            <v>87.000</v>
          </cell>
        </row>
        <row r="1179">
          <cell r="A1179" t="str">
            <v>Tre lấy măng Loại 4-5 thân</v>
          </cell>
          <cell r="B1179" t="str">
            <v>Đồng/khóm</v>
          </cell>
          <cell r="C1179" t="str">
            <v>137.000</v>
          </cell>
        </row>
        <row r="1180">
          <cell r="A1180" t="str">
            <v>Măng tây</v>
          </cell>
          <cell r="B1180" t="str">
            <v>đồng/m2</v>
          </cell>
          <cell r="C1180" t="str">
            <v>40.000</v>
          </cell>
        </row>
        <row r="1181">
          <cell r="A1181" t="str">
            <v>Cà gai leo</v>
          </cell>
          <cell r="B1181" t="str">
            <v>Đồng/cây</v>
          </cell>
          <cell r="C1181" t="str">
            <v>18.000</v>
          </cell>
        </row>
        <row r="1182">
          <cell r="A1182" t="str">
            <v>Cây ngũ gia bì, kim ngân</v>
          </cell>
        </row>
        <row r="1183">
          <cell r="A1183" t="str">
            <v>Cây ngũ gia bì, kim ngân giống</v>
          </cell>
          <cell r="B1183" t="str">
            <v>Đồng/cây</v>
          </cell>
          <cell r="C1183" t="str">
            <v>9.000</v>
          </cell>
        </row>
        <row r="1184">
          <cell r="A1184" t="str">
            <v>Cây ngũ gia bì, kim ngân đang phát triển</v>
          </cell>
          <cell r="B1184" t="str">
            <v>Đồng/cây</v>
          </cell>
          <cell r="C1184" t="str">
            <v>45.000</v>
          </cell>
        </row>
        <row r="1185">
          <cell r="A1185" t="str">
            <v>Cây trúc mây, trúc nhật</v>
          </cell>
        </row>
        <row r="1186">
          <cell r="A1186" t="str">
            <v>Cây trúc mây, trúc nhật giống</v>
          </cell>
          <cell r="B1186" t="str">
            <v>Đồng/khóm</v>
          </cell>
          <cell r="C1186" t="str">
            <v>10.000</v>
          </cell>
        </row>
        <row r="1187">
          <cell r="A1187" t="str">
            <v>Cây trúc mây, trúc nhật Khóm từ 1-2 cây</v>
          </cell>
          <cell r="B1187" t="str">
            <v>Đồng/khóm</v>
          </cell>
          <cell r="C1187" t="str">
            <v>18.000</v>
          </cell>
        </row>
        <row r="1188">
          <cell r="A1188" t="str">
            <v>Cây trúc mây, trúc nhật Khóm từ 3-5 cây</v>
          </cell>
          <cell r="B1188" t="str">
            <v>Đồng/khóm</v>
          </cell>
          <cell r="C1188" t="str">
            <v>32.000</v>
          </cell>
        </row>
        <row r="1189">
          <cell r="A1189" t="str">
            <v>Cây trúc mây, trúc nhật Khóm trên 5 cây</v>
          </cell>
          <cell r="B1189" t="str">
            <v>Đồng/khóm</v>
          </cell>
          <cell r="C1189" t="str">
            <v>75.000</v>
          </cell>
        </row>
        <row r="1190">
          <cell r="A1190" t="str">
            <v>Cây trúc phật bà</v>
          </cell>
        </row>
        <row r="1191">
          <cell r="A1191" t="str">
            <v>Cây trúc phật bà Khóm từ 1-2 cây</v>
          </cell>
          <cell r="B1191" t="str">
            <v>Đồng/khóm</v>
          </cell>
          <cell r="C1191" t="str">
            <v>25.000</v>
          </cell>
        </row>
        <row r="1192">
          <cell r="A1192" t="str">
            <v>Cây trúc phật bà Khóm từ 3-5 cây</v>
          </cell>
          <cell r="B1192" t="str">
            <v>Đồng/khóm</v>
          </cell>
          <cell r="C1192" t="str">
            <v>50.000</v>
          </cell>
        </row>
        <row r="1193">
          <cell r="A1193" t="str">
            <v>Cây trúc phật bà Khóm trên 5 cây</v>
          </cell>
          <cell r="B1193" t="str">
            <v>Đồng/khóm</v>
          </cell>
          <cell r="C1193" t="str">
            <v>100.000</v>
          </cell>
        </row>
        <row r="1194">
          <cell r="A1194" t="str">
            <v>Cây trúc quân tử</v>
          </cell>
        </row>
        <row r="1195">
          <cell r="A1195" t="str">
            <v>Cây trúc quân tử Khóm từ 1-2 cây</v>
          </cell>
          <cell r="B1195" t="str">
            <v>Đồng/khóm</v>
          </cell>
          <cell r="C1195" t="str">
            <v>15.000</v>
          </cell>
        </row>
        <row r="1196">
          <cell r="A1196" t="str">
            <v>Cây trúc quân tử Khóm từ 3-5 cây</v>
          </cell>
          <cell r="B1196" t="str">
            <v>Đồng/khóm</v>
          </cell>
          <cell r="C1196" t="str">
            <v>25.000</v>
          </cell>
        </row>
        <row r="1197">
          <cell r="A1197" t="str">
            <v>Cây trúc quân tử Khóm trên 5 cây</v>
          </cell>
          <cell r="B1197" t="str">
            <v>Đồng/khóm</v>
          </cell>
          <cell r="C1197" t="str">
            <v>45.000</v>
          </cell>
        </row>
        <row r="1198">
          <cell r="A1198" t="str">
            <v>Cây thủy trúc</v>
          </cell>
          <cell r="B1198" t="str">
            <v>Đồng/khóm</v>
          </cell>
          <cell r="C1198" t="str">
            <v>25.000</v>
          </cell>
        </row>
        <row r="1199">
          <cell r="A1199" t="str">
            <v>Cây cọ</v>
          </cell>
        </row>
        <row r="1200">
          <cell r="A1200" t="str">
            <v>Cây cọ giống mới trồng</v>
          </cell>
          <cell r="B1200" t="str">
            <v>Đồng/cây</v>
          </cell>
          <cell r="C1200" t="str">
            <v>10.000</v>
          </cell>
        </row>
        <row r="1201">
          <cell r="A1201" t="str">
            <v>Cây cọ Cây bóc bẹ từ 1-2 lá</v>
          </cell>
          <cell r="B1201" t="str">
            <v>Đồng/cây</v>
          </cell>
          <cell r="C1201" t="str">
            <v>50.000</v>
          </cell>
        </row>
        <row r="1202">
          <cell r="A1202" t="str">
            <v>Cây cọ Cây bóc bẹ từ 3-5 lá</v>
          </cell>
          <cell r="B1202" t="str">
            <v>Đồng/cây</v>
          </cell>
          <cell r="C1202" t="str">
            <v>120.000</v>
          </cell>
        </row>
        <row r="1203">
          <cell r="A1203" t="str">
            <v>Cây cọ Cây bóc bẹ trên 5 lá</v>
          </cell>
          <cell r="B1203" t="str">
            <v>Đồng/cây</v>
          </cell>
          <cell r="C1203" t="str">
            <v>220.000</v>
          </cell>
        </row>
        <row r="1204">
          <cell r="A1204" t="str">
            <v>Cây cau Ha Oai</v>
          </cell>
        </row>
        <row r="1205">
          <cell r="A1205" t="str">
            <v>Cây cau Ha Oai giống mới trồng</v>
          </cell>
          <cell r="B1205" t="str">
            <v>Đồng/khóm</v>
          </cell>
          <cell r="C1205" t="str">
            <v>20.000</v>
          </cell>
        </row>
        <row r="1206">
          <cell r="A1206" t="str">
            <v>Cây cau Ha Oai Khóm 1-2 cây</v>
          </cell>
          <cell r="B1206" t="str">
            <v>Đồng/khóm</v>
          </cell>
          <cell r="C1206" t="str">
            <v>55.000</v>
          </cell>
        </row>
        <row r="1207">
          <cell r="A1207" t="str">
            <v>Cây cau Ha Oai Khóm trên 3-5 cây</v>
          </cell>
          <cell r="B1207" t="str">
            <v>Đồng/khóm</v>
          </cell>
          <cell r="C1207" t="str">
            <v>140.000</v>
          </cell>
        </row>
        <row r="1208">
          <cell r="A1208" t="str">
            <v>Cây cau Ha Oai Khóm trên 5 cây</v>
          </cell>
          <cell r="B1208" t="str">
            <v>Đông/khóm</v>
          </cell>
          <cell r="C1208" t="str">
            <v>220.000</v>
          </cell>
        </row>
        <row r="1209">
          <cell r="A1209" t="str">
            <v>Cây mây, song</v>
          </cell>
        </row>
        <row r="1210">
          <cell r="A1210" t="str">
            <v>Cây mây, song giống mới trồng</v>
          </cell>
          <cell r="B1210" t="str">
            <v>Đồng/khóm</v>
          </cell>
          <cell r="C1210" t="str">
            <v>10.000</v>
          </cell>
        </row>
        <row r="1211">
          <cell r="A1211" t="str">
            <v>Cây mây, song Cây dưới 3 năm tuối (chưa cho thu hoạch)</v>
          </cell>
          <cell r="B1211" t="str">
            <v>Đồng/khóm</v>
          </cell>
          <cell r="C1211" t="str">
            <v>35.000</v>
          </cell>
        </row>
        <row r="1212">
          <cell r="A1212" t="str">
            <v>Cây mây, song Cây từ 3-7 năm tuổi (bắt đầu cho thu hoạch)</v>
          </cell>
          <cell r="B1212" t="str">
            <v>Đồng/khóm</v>
          </cell>
          <cell r="C1212" t="str">
            <v>60.000</v>
          </cell>
        </row>
        <row r="1213">
          <cell r="A1213" t="str">
            <v>Cây mây, song Cây từ 7 năm tuổi trở lên (chiều dài thân 3-4 m)</v>
          </cell>
          <cell r="B1213" t="str">
            <v>Đồng/khóm</v>
          </cell>
          <cell r="C1213" t="str">
            <v>90.000</v>
          </cell>
        </row>
        <row r="1214">
          <cell r="A1214" t="str">
            <v>Cây đỗ quyên</v>
          </cell>
        </row>
        <row r="1215">
          <cell r="A1215" t="str">
            <v>Cây đỗ quyên giống mới trồng</v>
          </cell>
          <cell r="B1215" t="str">
            <v>Đông/cây</v>
          </cell>
          <cell r="C1215">
            <v>15000</v>
          </cell>
        </row>
        <row r="1216">
          <cell r="A1216" t="str">
            <v>Cây đỗ quyên đã ra hoa</v>
          </cell>
          <cell r="B1216" t="str">
            <v>Đồng/cây</v>
          </cell>
          <cell r="C1216" t="str">
            <v>60.000</v>
          </cell>
        </row>
        <row r="1217">
          <cell r="A1217" t="str">
            <v>Cây trân châu</v>
          </cell>
          <cell r="B1217" t="str">
            <v>Đồng/cây</v>
          </cell>
          <cell r="C1217" t="str">
            <v>22.000</v>
          </cell>
        </row>
        <row r="1218">
          <cell r="A1218" t="str">
            <v>Cây dành dành</v>
          </cell>
          <cell r="B1218" t="str">
            <v>Đồng/cây</v>
          </cell>
          <cell r="C1218">
            <v>18000</v>
          </cell>
        </row>
        <row r="1219">
          <cell r="A1219" t="str">
            <v>Cây lan dừ</v>
          </cell>
          <cell r="B1219" t="str">
            <v>Đồng/khóm</v>
          </cell>
          <cell r="C1219" t="str">
            <v>12.000</v>
          </cell>
        </row>
        <row r="1220">
          <cell r="A1220" t="str">
            <v>Cây lan ý</v>
          </cell>
          <cell r="B1220" t="str">
            <v>Đồng/khóm</v>
          </cell>
          <cell r="C1220" t="str">
            <v>40.000</v>
          </cell>
        </row>
        <row r="1221">
          <cell r="A1221" t="str">
            <v>Cây cô tòng</v>
          </cell>
          <cell r="B1221" t="str">
            <v>Đồng/khóm</v>
          </cell>
          <cell r="C1221" t="str">
            <v>60.000</v>
          </cell>
        </row>
        <row r="1222">
          <cell r="A1222" t="str">
            <v>Cây cô tòng đuôi lươn</v>
          </cell>
          <cell r="B1222" t="str">
            <v>Đồng/khóm</v>
          </cell>
          <cell r="C1222" t="str">
            <v>50.000</v>
          </cell>
        </row>
        <row r="1223">
          <cell r="A1223" t="str">
            <v>Cây cẩm tú cầu, thủy tiên</v>
          </cell>
        </row>
        <row r="1224">
          <cell r="A1224" t="str">
            <v>Cây cẩm tú cầu, thủy tiên chưa có hoa</v>
          </cell>
          <cell r="B1224" t="str">
            <v>Đồng/khóm</v>
          </cell>
          <cell r="C1224" t="str">
            <v>20.000</v>
          </cell>
        </row>
        <row r="1225">
          <cell r="A1225" t="str">
            <v>Cây cẩm tú cầu, thủy tiên đang có hoa</v>
          </cell>
          <cell r="B1225" t="str">
            <v>Đồng/khóm</v>
          </cell>
          <cell r="C1225" t="str">
            <v>55.000</v>
          </cell>
        </row>
        <row r="1226">
          <cell r="A1226" t="str">
            <v>Cây vạn niên thanh</v>
          </cell>
        </row>
        <row r="1227">
          <cell r="A1227" t="str">
            <v>Cây vạn niên thanh Khóm 1-2 cây</v>
          </cell>
          <cell r="B1227" t="str">
            <v>Đồng/khóm</v>
          </cell>
          <cell r="C1227" t="str">
            <v>70.000</v>
          </cell>
        </row>
        <row r="1228">
          <cell r="A1228" t="str">
            <v>Cây vạn niên thanh Khóm 3-5 cây</v>
          </cell>
          <cell r="B1228" t="str">
            <v>Đồng/khóm</v>
          </cell>
          <cell r="C1228" t="str">
            <v>150.000</v>
          </cell>
        </row>
        <row r="1229">
          <cell r="A1229" t="str">
            <v>Cây trầu bà</v>
          </cell>
        </row>
        <row r="1230">
          <cell r="A1230" t="str">
            <v>Cây trầu bà Khóm 1-2 cây</v>
          </cell>
          <cell r="B1230" t="str">
            <v>Đồng/khóm</v>
          </cell>
          <cell r="C1230" t="str">
            <v>70.000</v>
          </cell>
        </row>
        <row r="1231">
          <cell r="A1231" t="str">
            <v>Cây trầu bà Khóm 3-5 cây</v>
          </cell>
          <cell r="B1231" t="str">
            <v>Đồng/khóm</v>
          </cell>
          <cell r="C1231" t="str">
            <v>150.000</v>
          </cell>
        </row>
        <row r="1232">
          <cell r="A1232" t="str">
            <v>Cây dứa cảnh, ké, lưỡi hổ</v>
          </cell>
          <cell r="B1232" t="str">
            <v>Đồng/khóm</v>
          </cell>
          <cell r="C1232" t="str">
            <v>14.000</v>
          </cell>
        </row>
        <row r="1233">
          <cell r="A1233" t="str">
            <v>Cây chu định lan/lan hạc đỉnh</v>
          </cell>
          <cell r="B1233" t="str">
            <v>Đồng/khóm</v>
          </cell>
          <cell r="C1233" t="str">
            <v>15.000</v>
          </cell>
        </row>
        <row r="1234">
          <cell r="A1234" t="str">
            <v>Cây hoa ti gôn, hoa pháo</v>
          </cell>
        </row>
        <row r="1235">
          <cell r="A1235" t="str">
            <v>Cây hoa ti gôn, hoa pháo chưa leo giàn</v>
          </cell>
          <cell r="B1235" t="str">
            <v>Đồng/cây</v>
          </cell>
          <cell r="C1235" t="str">
            <v>10.000</v>
          </cell>
        </row>
        <row r="1236">
          <cell r="A1236" t="str">
            <v>Cây hoa ti gôn, hoa pháo đã leo giàn</v>
          </cell>
          <cell r="B1236" t="str">
            <v>Đồng/m2</v>
          </cell>
          <cell r="C1236" t="str">
            <v>15.000</v>
          </cell>
        </row>
        <row r="1237">
          <cell r="A1237" t="str">
            <v>Cây hoa đá</v>
          </cell>
          <cell r="B1237" t="str">
            <v>Đồng/cây</v>
          </cell>
          <cell r="C1237" t="str">
            <v>8.000</v>
          </cell>
        </row>
        <row r="1238">
          <cell r="A1238" t="str">
            <v>Cây ắc ó</v>
          </cell>
          <cell r="B1238" t="str">
            <v>Đồng/cây</v>
          </cell>
          <cell r="C1238" t="str">
            <v>15.000</v>
          </cell>
        </row>
        <row r="1239">
          <cell r="A1239" t="str">
            <v>Cây bướm bạc</v>
          </cell>
          <cell r="B1239" t="str">
            <v>Đồng/cây</v>
          </cell>
          <cell r="C1239" t="str">
            <v>32.000</v>
          </cell>
        </row>
        <row r="1240">
          <cell r="A1240" t="str">
            <v>Cây huỳnh anh</v>
          </cell>
          <cell r="B1240" t="str">
            <v>Đồng/cây</v>
          </cell>
          <cell r="C1240" t="str">
            <v>30.000</v>
          </cell>
        </row>
        <row r="1241">
          <cell r="A1241" t="str">
            <v>Cây môn cuống đỏ</v>
          </cell>
          <cell r="B1241" t="str">
            <v>Đồng/cây</v>
          </cell>
          <cell r="C1241" t="str">
            <v>35.000</v>
          </cell>
        </row>
        <row r="1242">
          <cell r="A1242" t="str">
            <v>Cây lan huệ</v>
          </cell>
          <cell r="B1242" t="str">
            <v>Đồng/cây</v>
          </cell>
          <cell r="C1242" t="str">
            <v>30.000</v>
          </cell>
        </row>
        <row r="1243">
          <cell r="A1243" t="str">
            <v>Cây ngọc nữ, ngọc dạ minh châu</v>
          </cell>
          <cell r="B1243" t="str">
            <v>Đồng/cây</v>
          </cell>
          <cell r="C1243" t="str">
            <v>35.000</v>
          </cell>
        </row>
        <row r="1244">
          <cell r="A1244" t="str">
            <v>Cây cốt khí</v>
          </cell>
          <cell r="B1244" t="str">
            <v>Đồng/cây</v>
          </cell>
          <cell r="C1244" t="str">
            <v>30.000</v>
          </cell>
        </row>
        <row r="1245">
          <cell r="A1245" t="str">
            <v>Cây chuông vàng</v>
          </cell>
          <cell r="B1245" t="str">
            <v>Đồng/cây</v>
          </cell>
          <cell r="C1245" t="str">
            <v>32.000</v>
          </cell>
        </row>
        <row r="1246">
          <cell r="A1246" t="str">
            <v>Cây náng</v>
          </cell>
          <cell r="B1246" t="str">
            <v>Đồng/cây</v>
          </cell>
          <cell r="C1246" t="str">
            <v>10.000</v>
          </cell>
        </row>
        <row r="1247">
          <cell r="A1247" t="str">
            <v>Cây hoa mào gà, cầy bóng nước</v>
          </cell>
        </row>
        <row r="1248">
          <cell r="A1248" t="str">
            <v>Cây hoa mào gà, cầy bóng nước chưa có hoa</v>
          </cell>
          <cell r="B1248" t="str">
            <v>Đồng/cây</v>
          </cell>
          <cell r="C1248" t="str">
            <v>15.000</v>
          </cell>
        </row>
        <row r="1249">
          <cell r="A1249" t="str">
            <v>Cây hoa mào gà, cầy bóng nước đã có hoa</v>
          </cell>
          <cell r="B1249" t="str">
            <v>Đồng/cây</v>
          </cell>
          <cell r="C1249" t="str">
            <v>35.000</v>
          </cell>
        </row>
        <row r="1250">
          <cell r="A1250" t="str">
            <v>Cây dứa</v>
          </cell>
        </row>
        <row r="1251">
          <cell r="A1251" t="str">
            <v>Cây dứa Chưa ra quả</v>
          </cell>
          <cell r="B1251" t="str">
            <v>Đồng/cây</v>
          </cell>
          <cell r="C1251" t="str">
            <v>6.000</v>
          </cell>
        </row>
        <row r="1252">
          <cell r="A1252" t="str">
            <v>Cây dứa Đang ra quả</v>
          </cell>
          <cell r="B1252" t="str">
            <v>Đồng/cây</v>
          </cell>
          <cell r="C1252" t="str">
            <v>8.000</v>
          </cell>
        </row>
        <row r="1253">
          <cell r="A1253" t="str">
            <v>Cây hoa quỳnh</v>
          </cell>
        </row>
        <row r="1254">
          <cell r="A1254" t="str">
            <v>Cây hoa quỳnh chưa có hoa</v>
          </cell>
          <cell r="B1254" t="str">
            <v>Đồng/khóm</v>
          </cell>
          <cell r="C1254" t="str">
            <v>14.000</v>
          </cell>
        </row>
        <row r="1255">
          <cell r="A1255" t="str">
            <v>Cây hoa quỳnh có hoa</v>
          </cell>
          <cell r="B1255" t="str">
            <v>Đồng/khóm</v>
          </cell>
          <cell r="C1255" t="str">
            <v>50.000</v>
          </cell>
        </row>
        <row r="1256">
          <cell r="A1256" t="str">
            <v>Cây thuần tía (thài lài tía)</v>
          </cell>
        </row>
        <row r="1257">
          <cell r="A1257" t="str">
            <v>Cây thuần tía (thài lài tía) mới trồng</v>
          </cell>
          <cell r="B1257" t="str">
            <v>Đông/m2</v>
          </cell>
          <cell r="C1257" t="str">
            <v>15.000</v>
          </cell>
        </row>
        <row r="1258">
          <cell r="A1258" t="str">
            <v>Cây thuần tía (thài lài tía) trưởng thành</v>
          </cell>
          <cell r="B1258" t="str">
            <v>Đồng/m2</v>
          </cell>
          <cell r="C1258" t="str">
            <v>35.000</v>
          </cell>
        </row>
        <row r="1259">
          <cell r="A1259" t="str">
            <v>Cây bỏng, cây xác pháo</v>
          </cell>
        </row>
        <row r="1260">
          <cell r="A1260" t="str">
            <v>Cây bỏng, cây xác pháo Cây non</v>
          </cell>
          <cell r="B1260" t="str">
            <v>Đồng/cây</v>
          </cell>
          <cell r="C1260" t="str">
            <v>6.000</v>
          </cell>
        </row>
        <row r="1261">
          <cell r="A1261" t="str">
            <v>Cây bỏng, cây xác pháo đã ra hoa</v>
          </cell>
          <cell r="B1261" t="str">
            <v>Đồng/cây</v>
          </cell>
          <cell r="C1261" t="str">
            <v>14.000</v>
          </cell>
        </row>
        <row r="1262">
          <cell r="A1262" t="str">
            <v>Cây sống đời (cây phát lộc)</v>
          </cell>
        </row>
        <row r="1263">
          <cell r="A1263" t="str">
            <v>Cây sống đời (cây phát lộc) cây non</v>
          </cell>
          <cell r="B1263" t="str">
            <v>Đồng/cây</v>
          </cell>
          <cell r="C1263" t="str">
            <v>8.000</v>
          </cell>
        </row>
        <row r="1264">
          <cell r="A1264" t="str">
            <v>Cây sống đời (cây phát lộc) đã ra hoa</v>
          </cell>
          <cell r="B1264" t="str">
            <v>Đồng/cây</v>
          </cell>
          <cell r="C1264" t="str">
            <v>14.000</v>
          </cell>
        </row>
        <row r="1265">
          <cell r="A1265" t="str">
            <v>Cây sử quân tử</v>
          </cell>
          <cell r="C1265" t="str">
            <v>-k</v>
          </cell>
        </row>
        <row r="1266">
          <cell r="A1266" t="str">
            <v>Cây sử quân tử giống</v>
          </cell>
          <cell r="B1266" t="str">
            <v>Đồng/cây</v>
          </cell>
          <cell r="C1266" t="str">
            <v>15.000</v>
          </cell>
        </row>
        <row r="1267">
          <cell r="A1267" t="str">
            <v>Cây sử quân tử có hoa</v>
          </cell>
          <cell r="B1267" t="str">
            <v>Đồng/m2</v>
          </cell>
          <cell r="C1267" t="str">
            <v>25.000</v>
          </cell>
        </row>
        <row r="1268">
          <cell r="A1268" t="str">
            <v>Cây xương rồng</v>
          </cell>
        </row>
        <row r="1269">
          <cell r="A1269" t="str">
            <v>Cây xương rồng Chưa ra hoa</v>
          </cell>
          <cell r="B1269" t="str">
            <v>Đồng/khóm</v>
          </cell>
          <cell r="C1269" t="str">
            <v>20.000</v>
          </cell>
        </row>
        <row r="1270">
          <cell r="A1270" t="str">
            <v>Cây xương rồng đã ra hoa</v>
          </cell>
          <cell r="B1270" t="str">
            <v>Đồng/khóm</v>
          </cell>
          <cell r="C1270" t="str">
            <v>70.000</v>
          </cell>
        </row>
        <row r="1271">
          <cell r="A1271" t="str">
            <v>Cây thuốc: bạch chỉ, cau xi, địa liền, ngưu tất, sa nhân, bồ công anh, mã đề, diệp hạ châu (chó đẻ), cầy thuốc Băc, thuốc Nam các loại</v>
          </cell>
        </row>
        <row r="1272">
          <cell r="A1272" t="str">
            <v>Cây thuốc: bạch chỉ, cau xi, địa liền, ngưu tất, sa nhân, bồ công anh, mã đề, diệp hạ châu (chó đẻ), cầy thuốc Băc, thuốc Nam các loại chưa trưởng thành</v>
          </cell>
          <cell r="B1272" t="str">
            <v>Đồng/m2</v>
          </cell>
          <cell r="C1272" t="str">
            <v>30.000</v>
          </cell>
        </row>
        <row r="1273">
          <cell r="A1273" t="str">
            <v>Cây thuốc: bạch chỉ, cau xi, địa liền, ngưu tất, sa nhân, bồ công anh, mã đề, diệp hạ châu (chó đẻ), cầy thuốc Băc, thuốc Nam các loại trưởng thành</v>
          </cell>
          <cell r="B1273" t="str">
            <v>Đông/m2</v>
          </cell>
          <cell r="C1273" t="str">
            <v>40.000</v>
          </cell>
        </row>
        <row r="1274">
          <cell r="A1274" t="str">
            <v>Cây thiên môn, mạch môn</v>
          </cell>
          <cell r="B1274" t="str">
            <v>Đồng/khóm</v>
          </cell>
          <cell r="C1274" t="str">
            <v>50.000</v>
          </cell>
        </row>
        <row r="1275">
          <cell r="A1275" t="str">
            <v>Cây mơ lông</v>
          </cell>
        </row>
        <row r="1276">
          <cell r="A1276" t="str">
            <v>Cây mơ lông giống</v>
          </cell>
          <cell r="B1276" t="str">
            <v>Đông/cãy</v>
          </cell>
          <cell r="C1276" t="str">
            <v>6.000</v>
          </cell>
        </row>
        <row r="1277">
          <cell r="A1277" t="str">
            <v>Cây mơ lông trưởng thành</v>
          </cell>
          <cell r="B1277" t="str">
            <v>Đồng/m2</v>
          </cell>
          <cell r="C1277" t="str">
            <v>30.000</v>
          </cell>
        </row>
        <row r="1278">
          <cell r="A1278" t="str">
            <v>Cây trầu không</v>
          </cell>
        </row>
        <row r="1279">
          <cell r="A1279" t="str">
            <v>Cây trầu không giống</v>
          </cell>
          <cell r="B1279" t="str">
            <v>Đồng/cây</v>
          </cell>
          <cell r="C1279" t="str">
            <v>6.000</v>
          </cell>
        </row>
        <row r="1280">
          <cell r="A1280" t="str">
            <v>Cây trầu không trường thành</v>
          </cell>
          <cell r="B1280" t="str">
            <v>Đông/m2</v>
          </cell>
          <cell r="C1280" t="str">
            <v>30.000</v>
          </cell>
        </row>
        <row r="1281">
          <cell r="A1281" t="str">
            <v>Cây diếp cá, rau sam, rau ngổ, lá cẩm</v>
          </cell>
          <cell r="B1281" t="str">
            <v>Đồng/m2</v>
          </cell>
          <cell r="C1281" t="str">
            <v>10.000</v>
          </cell>
        </row>
        <row r="1282">
          <cell r="A1282" t="str">
            <v>Cỏ nhật</v>
          </cell>
          <cell r="B1282" t="str">
            <v>Đồng/m2</v>
          </cell>
          <cell r="C1282" t="str">
            <v>34.000</v>
          </cell>
        </row>
        <row r="1283">
          <cell r="A1283" t="str">
            <v>Cây thanh táo</v>
          </cell>
          <cell r="B1283" t="str">
            <v>Đồng/m2</v>
          </cell>
          <cell r="C1283" t="str">
            <v>30.000</v>
          </cell>
        </row>
        <row r="1284">
          <cell r="A1284" t="str">
            <v>Cây dừa cạn</v>
          </cell>
          <cell r="B1284" t="str">
            <v>Đồng/m2</v>
          </cell>
          <cell r="C1284" t="str">
            <v>22.000</v>
          </cell>
        </row>
        <row r="1285">
          <cell r="A1285" t="str">
            <v>Cây tầm bỏi</v>
          </cell>
        </row>
        <row r="1286">
          <cell r="A1286" t="str">
            <v>Cây tầm bỏi giống</v>
          </cell>
          <cell r="B1286" t="str">
            <v>Đồng/cây</v>
          </cell>
          <cell r="C1286" t="str">
            <v>5.000</v>
          </cell>
        </row>
        <row r="1287">
          <cell r="A1287" t="str">
            <v>Cây tầm bỏi trưởng thành</v>
          </cell>
          <cell r="B1287" t="str">
            <v>Đồng/m2</v>
          </cell>
          <cell r="C1287" t="str">
            <v>15.000</v>
          </cell>
        </row>
        <row r="1288">
          <cell r="A1288" t="str">
            <v>Cây ráng làm chổi</v>
          </cell>
          <cell r="B1288" t="str">
            <v>Đồng/m2</v>
          </cell>
          <cell r="C1288" t="str">
            <v>15.000</v>
          </cell>
        </row>
        <row r="1289">
          <cell r="A1289" t="str">
            <v>Cây nha đam</v>
          </cell>
        </row>
        <row r="1290">
          <cell r="A1290" t="str">
            <v>Cây nha đam giống</v>
          </cell>
          <cell r="B1290" t="str">
            <v>Đồng/cây</v>
          </cell>
          <cell r="C1290" t="str">
            <v>6.000</v>
          </cell>
        </row>
        <row r="1291">
          <cell r="A1291" t="str">
            <v>Cây nha đam trưởng thành</v>
          </cell>
          <cell r="B1291" t="str">
            <v>Đồng/cây</v>
          </cell>
          <cell r="C1291" t="str">
            <v>15.000</v>
          </cell>
        </row>
        <row r="1292">
          <cell r="A1292" t="str">
            <v>Cây kim tiền</v>
          </cell>
          <cell r="B1292" t="str">
            <v>Đồng/m2</v>
          </cell>
          <cell r="C1292" t="str">
            <v>95.000</v>
          </cell>
        </row>
        <row r="1293">
          <cell r="A1293" t="str">
            <v>Cây hoa thanh tú</v>
          </cell>
          <cell r="B1293" t="str">
            <v>Đồng/m2</v>
          </cell>
          <cell r="C1293" t="str">
            <v>25.000</v>
          </cell>
        </row>
        <row r="1294">
          <cell r="A1294" t="str">
            <v>Đối với cây ươm, gieo hoặc cây trồng hàng năm xen dưới tán lá cây lầu nãm (tính bình quân trên diện tích cây trồng chiếm chỗ)</v>
          </cell>
          <cell r="B1294" t="str">
            <v>Đồng/m2</v>
          </cell>
          <cell r="C1294" t="str">
            <v>10.000</v>
          </cell>
        </row>
        <row r="1295">
          <cell r="A1295" t="str">
            <v>Đối vói lâm sản phụ trồng trên diện tích nông nghiệp do Nhà nước giao cho hộ gia đình, cá nhân để trồng, khoanh, nuôi, bảo vệ, tái sinh rừng, mà khi giao là đất trống, đồi núi trọc... hộ gia đình, cá nhân tự bỏ vốn đầu tư trồng rừng (tính bình quân trên diện tích cây trồng chiếm chỗ)</v>
          </cell>
          <cell r="B1295" t="str">
            <v>Đồng/m2</v>
          </cell>
          <cell r="C1295" t="str">
            <v>10.000</v>
          </cell>
        </row>
        <row r="1296">
          <cell r="A1296" t="str">
            <v>GIÓNG CÂỲ CẢNH</v>
          </cell>
        </row>
        <row r="1297">
          <cell r="A1297" t="str">
            <v>Cây giống đào, hoa cảnh</v>
          </cell>
        </row>
        <row r="1298">
          <cell r="A1298" t="str">
            <v>Cây giống đào, hoa cảnh Gieo, ươm hạt thành luông chưa ghép</v>
          </cell>
          <cell r="B1298" t="str">
            <v>Đồng/cây</v>
          </cell>
          <cell r="C1298" t="str">
            <v>2.000</v>
          </cell>
        </row>
        <row r="1299">
          <cell r="A1299" t="str">
            <v>Cây giống đào, hoa cảnh Gieo, ươm hạt thành luống đã ghép</v>
          </cell>
          <cell r="B1299" t="str">
            <v>Đồng/cây</v>
          </cell>
          <cell r="C1299" t="str">
            <v>5.000</v>
          </cell>
        </row>
        <row r="1300">
          <cell r="A1300" t="str">
            <v>Cây giống đào hoa cảnh đã ghép đủ tiêu chuẩn</v>
          </cell>
          <cell r="B1300" t="str">
            <v>Đồng/cây</v>
          </cell>
          <cell r="C1300" t="str">
            <v>30.000</v>
          </cell>
        </row>
        <row r="1301">
          <cell r="A1301" t="str">
            <v>Cây giống trồng từ đào mạ, không ghép trồng thành luống</v>
          </cell>
          <cell r="C1301" t="str">
            <v>15.000</v>
          </cell>
        </row>
        <row r="1302">
          <cell r="A1302" t="str">
            <v>Cây giống lộc vừng, sanh, si</v>
          </cell>
        </row>
        <row r="1303">
          <cell r="A1303" t="str">
            <v>Cây giống lộc vừng, sanh, si gieo ươm từ hạt</v>
          </cell>
        </row>
        <row r="1304">
          <cell r="A1304" t="str">
            <v>Cây giống lộc vừng, sanh, si Giống ươm gieo hạt chiều cao cây H &lt;  20cm</v>
          </cell>
          <cell r="B1304" t="str">
            <v>Đồng/cây</v>
          </cell>
          <cell r="C1304" t="str">
            <v>700</v>
          </cell>
        </row>
        <row r="1305">
          <cell r="A1305" t="str">
            <v>Cây giống lộc vừng, sanh, si Giống ươm gieo hạt chiều cao cây H &gt; 20cm</v>
          </cell>
          <cell r="B1305" t="str">
            <v>Đồng/cây</v>
          </cell>
          <cell r="C1305" t="str">
            <v>800</v>
          </cell>
        </row>
        <row r="1306">
          <cell r="A1306" t="str">
            <v>Cây giống lộc vừng, sanh, si Từ cây ươm gieo hạt tách ra đựng trong bầu nilong hoặc trồng thành luống</v>
          </cell>
        </row>
        <row r="1307">
          <cell r="A1307" t="str">
            <v>Cây giống lộc vừng, sanh, si Chiều cao cây 20cm ≤ H &lt; 50cm</v>
          </cell>
          <cell r="B1307" t="str">
            <v>Đồng/cây</v>
          </cell>
          <cell r="C1307" t="str">
            <v>4.000</v>
          </cell>
        </row>
        <row r="1308">
          <cell r="A1308" t="str">
            <v>Cây giống lộc vừng, sanh, si Chiều cao cây 50cm ≤ H &lt; 70cm</v>
          </cell>
          <cell r="B1308" t="str">
            <v>Đồng/cây</v>
          </cell>
          <cell r="C1308" t="str">
            <v>5.000</v>
          </cell>
        </row>
        <row r="1309">
          <cell r="A1309" t="str">
            <v>Cây giống lộc vừng, sanh, si Chiều cao cây 70cm ≤ H &lt;100cm</v>
          </cell>
          <cell r="B1309" t="str">
            <v>Đồng/cây</v>
          </cell>
          <cell r="C1309" t="str">
            <v>6.000</v>
          </cell>
        </row>
        <row r="1310">
          <cell r="A1310" t="str">
            <v>Cây giống cau cảnh</v>
          </cell>
        </row>
        <row r="1311">
          <cell r="A1311" t="str">
            <v>Cây giống cau cảnh gieo ươm từ hạt</v>
          </cell>
          <cell r="B1311" t="str">
            <v>•</v>
          </cell>
        </row>
        <row r="1312">
          <cell r="A1312" t="str">
            <v>Cây giống cau cảnh Giống ươm gieo hạt thành luống, vạt chiều cao cây H &lt; 20cm</v>
          </cell>
          <cell r="B1312" t="str">
            <v>Đồng/cây</v>
          </cell>
          <cell r="C1312" t="str">
            <v>1.200</v>
          </cell>
        </row>
        <row r="1313">
          <cell r="A1313" t="str">
            <v>Cây giống cau cảnh Giống ươm gieo hạt thành luống, vạt chiều cao cây H ≥ 20cm</v>
          </cell>
          <cell r="B1313" t="str">
            <v>Đồng/cây</v>
          </cell>
          <cell r="C1313" t="str">
            <v>1.400</v>
          </cell>
        </row>
        <row r="1314">
          <cell r="A1314" t="str">
            <v>Cây giống cau cảnh Từ cây ươm gieo hạt tách ra đựng trong bầu nilong hoặc trồng thành luống Chiều cao cây H &lt; 20cm</v>
          </cell>
          <cell r="B1314" t="str">
            <v>Đồng/cây</v>
          </cell>
          <cell r="C1314" t="str">
            <v>4.000</v>
          </cell>
        </row>
        <row r="1315">
          <cell r="A1315" t="str">
            <v>Cây giống cau cảnh Chiều cao cây 20cm ≤ H &lt; 50cm</v>
          </cell>
          <cell r="B1315" t="str">
            <v>Đồng/cây</v>
          </cell>
          <cell r="C1315" t="str">
            <v>5.000</v>
          </cell>
        </row>
        <row r="1316">
          <cell r="A1316" t="str">
            <v>Cây giống cau cảnh Chiều cao cây H ≥ 50cm</v>
          </cell>
          <cell r="B1316" t="str">
            <v>Đồng/cây</v>
          </cell>
          <cell r="C1316" t="str">
            <v>6.000</v>
          </cell>
        </row>
        <row r="1317">
          <cell r="A1317" t="str">
            <v>Đào tán (đào hoa cảnh có đặc điếm tán lá hình tròn, hình tháp, thân chính không uốn tạo thế phát triển tự nhiên, chỉ cắt tỉa cành nhỏ; trồng trên đất đã được chuyển mục đích theo quy định, bao gồm: Đào cây, các loại cây khác trồng xen canh, bể chứa nước, bể chứa phân.. .tính trên diện tích 1 sào =360m2).</v>
          </cell>
        </row>
        <row r="1318">
          <cell r="A1318" t="str">
            <v>Đào tán loại 1 (số cây có đường kính tán từ 0,8m đến Im, cao từ Im đến l,5m chiếm trên 50% diện tích; quy đổi 1 cây/l,8m2)</v>
          </cell>
          <cell r="B1318" t="str">
            <v>Đồng/sào</v>
          </cell>
          <cell r="C1318" t="str">
            <v>20.000.000</v>
          </cell>
        </row>
        <row r="1319">
          <cell r="A1319" t="str">
            <v>Đào tán loại 2 (số cây có đường kính tán từ 0,8m đến Im, cao từ lm đến l,5m chiếm từ 40% đến 50% diện tích; quy đổi 1 cây/l,8m2)</v>
          </cell>
          <cell r="B1319" t="str">
            <v>Đồng/sào</v>
          </cell>
          <cell r="C1319" t="str">
            <v>15.000.000</v>
          </cell>
        </row>
        <row r="1320">
          <cell r="A1320" t="str">
            <v>Đào tán loại 3 (số cây có đường kính tán từ 0,8m đến Im, cao từ Im đến l,5m chiếm từ 30% đến 40% diện tích; quy đổi 1 cây/l,8m2)</v>
          </cell>
          <cell r="B1320" t="str">
            <v>Đồng/sào</v>
          </cell>
          <cell r="C1320" t="str">
            <v>12.000.000</v>
          </cell>
        </row>
        <row r="1321">
          <cell r="A1321" t="str">
            <v>Đào tán loại 4 (số cây có đường kính tán từ 0,8m đến Im, cao từ Im đến l,5m chiếm dưới 30% diện tích; quy đổi 1 cây/l,2m2)</v>
          </cell>
          <cell r="B1321" t="str">
            <v>Đồng/sào</v>
          </cell>
          <cell r="C1321" t="str">
            <v>10.000.000</v>
          </cell>
        </row>
        <row r="1322">
          <cell r="A1322" t="str">
            <v>Đào thế (đào trồng trên đát đã được chuyển mục đích theo quy định, bao gồm: Đào cây, các loại cây khác trồng xen canh, bể chứa nước, bể chứa phân.. .tính trên diện tích 1 sào =360m2)</v>
          </cell>
        </row>
        <row r="1323">
          <cell r="A1323" t="str">
            <v>Đào thế loại 1 (số cây có chiều cao từ Im đến l,5m chiếm trên 50% diện tích; quy đổi 1 cây/l,8m2)</v>
          </cell>
          <cell r="B1323" t="str">
            <v>Đồng/sào</v>
          </cell>
          <cell r="C1323" t="str">
            <v>30.000.000</v>
          </cell>
        </row>
        <row r="1324">
          <cell r="A1324" t="str">
            <v>Đào thế loại 2 (số cây có chiều cao từ 1 m đến l,5m chiếm từ 40% đến 50% diện tích; quy đổi 1 cây/l,8m2)</v>
          </cell>
          <cell r="B1324" t="str">
            <v>Đồng/sào</v>
          </cell>
          <cell r="C1324" t="str">
            <v>25.000.000</v>
          </cell>
        </row>
        <row r="1325">
          <cell r="A1325" t="str">
            <v>Đào thế loại 3 (số cây có chiều cao từ Im đến l,5m chiếm dưới 40% diện tích; quy đổi 1 cây/l,2m2)</v>
          </cell>
          <cell r="B1325" t="str">
            <v>Đồng/sào</v>
          </cell>
          <cell r="C1325" t="str">
            <v>20.000.000</v>
          </cell>
        </row>
        <row r="1326">
          <cell r="A1326" t="str">
            <v>Cỏ cảnh lá tre (trồng dày đặc)</v>
          </cell>
          <cell r="B1326" t="str">
            <v>Đồng/m2</v>
          </cell>
          <cell r="C1326" t="str">
            <v>40.000</v>
          </cell>
        </row>
        <row r="1327">
          <cell r="A1327" t="str">
            <v>Hương nhu, lá ngải, lá nếp, lưỡi hổ, láng tía, ngũ gia bì</v>
          </cell>
          <cell r="B1327" t="str">
            <v>Đồng/m2</v>
          </cell>
          <cell r="C1327" t="str">
            <v>10.000</v>
          </cell>
        </row>
        <row r="1328">
          <cell r="A1328" t="str">
            <v>Hương bài</v>
          </cell>
          <cell r="B1328" t="str">
            <v>Đồng/m2</v>
          </cell>
          <cell r="C1328" t="str">
            <v>8.000</v>
          </cell>
        </row>
        <row r="1329">
          <cell r="A1329" t="str">
            <v>GIÓNG CÂY ĂN QUẢ</v>
          </cell>
        </row>
        <row r="1330">
          <cell r="A1330" t="str">
            <v>Thanh long</v>
          </cell>
        </row>
        <row r="1331">
          <cell r="A1331" t="str">
            <v>Thanh long giống Cành mới ươm chưa ra rễ</v>
          </cell>
          <cell r="B1331" t="str">
            <v>Đồng/cành</v>
          </cell>
          <cell r="C1331" t="str">
            <v>1.000</v>
          </cell>
        </row>
        <row r="1332">
          <cell r="A1332" t="str">
            <v>Thanh long Cây ươm đã ra rễ và mầm, thời gian trồng &lt;01 tháng</v>
          </cell>
          <cell r="B1332" t="str">
            <v>Đồng/khóm</v>
          </cell>
          <cell r="C1332" t="str">
            <v>5.000</v>
          </cell>
        </row>
        <row r="1333">
          <cell r="A1333" t="str">
            <v>Thanh long Cây ươm đã ra rê và mâm, từ 01 tháng đên &lt; 02 tháng</v>
          </cell>
          <cell r="B1333" t="str">
            <v>Đồng/khóm</v>
          </cell>
          <cell r="C1333" t="str">
            <v>10.000</v>
          </cell>
        </row>
        <row r="1334">
          <cell r="A1334" t="str">
            <v>Thanh long Cây ươm đã ra rễ và mầm, thời gian trồng ≥ 02 tháng</v>
          </cell>
          <cell r="B1334" t="str">
            <v>Đồng/khóm</v>
          </cell>
          <cell r="C1334" t="str">
            <v>20.000</v>
          </cell>
        </row>
        <row r="1335">
          <cell r="A1335" t="str">
            <v>Cây giống cây ăn quả</v>
          </cell>
        </row>
        <row r="1336">
          <cell r="A1336" t="str">
            <v>Loại ươm gieo hạt (thành luống, dảnh)</v>
          </cell>
        </row>
        <row r="1337">
          <cell r="A1337" t="str">
            <v>Cây giống cây ăn quả, Loại ươm gieo hạt (thành luống, dảnh) Chiều cao cây H &lt; 20cm</v>
          </cell>
          <cell r="B1337" t="str">
            <v>Đồng/cây</v>
          </cell>
          <cell r="C1337" t="str">
            <v>1.000</v>
          </cell>
        </row>
        <row r="1338">
          <cell r="A1338" t="str">
            <v>Cây giống cây ăn quả, Loại ươm gieo hạt (thành luống, dảnh Chiều cao cây H ≥ 20cm</v>
          </cell>
          <cell r="B1338" t="str">
            <v>Đồng/cây</v>
          </cell>
          <cell r="C1338" t="str">
            <v>1.200</v>
          </cell>
        </row>
        <row r="1339">
          <cell r="A1339" t="str">
            <v>Cây giống vải, nhãn, doi, bưởi, thị, na, xoài, muỗm, quéo, trứng gà, sấu, táo, ổi, chay, me, khế, mận, mơ (từ cây ươm gieo hạt, đựng trong bầu nilon hoặc trồng thành luống chưa ghép)</v>
          </cell>
        </row>
        <row r="1340">
          <cell r="A1340" t="str">
            <v>Cây giống vải, nhãn, doi, bưởi, thị, na, xoài, muỗm, quéo, trứng gà, sấu, táo, ổi, chay, me, khế, mận, mơ (từ cây ươm gieo hạt, đựng trong bầu nilon hoặc trồng thành luống chưa ghép) Chiều cao cây H &lt; 40cm</v>
          </cell>
          <cell r="B1340" t="str">
            <v>Đồng/cây</v>
          </cell>
          <cell r="C1340" t="str">
            <v>4.000</v>
          </cell>
        </row>
        <row r="1341">
          <cell r="A1341" t="str">
            <v>Cây giống vải, nhãn, doi, bưởi, thị, na, xoài, muỗm, quéo, trứng gà, sấu, táo, ổi, chay, me, khế, mận, mơ (từ cây ươm gieo hạt, đựng trong bầu nilon hoặc trồng thành luống chưa ghép) Chiều cao cây 40cm ≤ H &lt; 100cn</v>
          </cell>
          <cell r="B1341" t="str">
            <v>Đồng/cây</v>
          </cell>
          <cell r="C1341" t="str">
            <v>6.000</v>
          </cell>
        </row>
        <row r="1342">
          <cell r="A1342" t="str">
            <v>Cây giống vải, nhãn, doi, bưởi, thị, na, xoài, muỗm, quéo, trứng gà, sấu, táo, ổi, chay, me, khế, mận, mơ (từ cây ươm gieo hạt, đựng trong bầu nilon hoặc trồng thành luống chưa ghép) Chiều cao cây H  ≥ 100cm</v>
          </cell>
          <cell r="B1342" t="str">
            <v>Đồng/cây</v>
          </cell>
          <cell r="C1342" t="str">
            <v>8.000</v>
          </cell>
        </row>
        <row r="1343">
          <cell r="A1343" t="str">
            <v>Cây giống vải, nhãn, cam, bưởi, táo, ổi, khế (gieo hạt ươm thành luống đã ghép)</v>
          </cell>
        </row>
        <row r="1344">
          <cell r="A1344" t="str">
            <v>Cây giống vải, nhãn, cam, bưởi, táo, ổi, khế (gieo hạt ươm thành luống đã ghép) Chiều cao cây H &lt; 40cm</v>
          </cell>
          <cell r="B1344" t="str">
            <v>Đồng/cây</v>
          </cell>
          <cell r="C1344" t="str">
            <v>5.000</v>
          </cell>
        </row>
        <row r="1345">
          <cell r="A1345" t="str">
            <v>Cây giống vải, nhãn, cam, bưởi, táo, ổi, khế (gieo hạt ươm thành luống đã ghép) Chiều cao cây 40cm ≤ H &lt; 100cm</v>
          </cell>
          <cell r="B1345" t="str">
            <v>Đồng/cây</v>
          </cell>
          <cell r="C1345" t="str">
            <v>7.000</v>
          </cell>
        </row>
        <row r="1346">
          <cell r="A1346" t="str">
            <v>Cây giống vải, nhãn, cam, bưởi, táo, ổi, khế (gieo hạt ươm thành luống đã ghép) Chiều cao cây H ≥ 100cm</v>
          </cell>
          <cell r="B1346" t="str">
            <v>Đồng/cây</v>
          </cell>
          <cell r="C1346" t="str">
            <v>10.000</v>
          </cell>
        </row>
        <row r="1347">
          <cell r="A1347" t="str">
            <v>Cây giống vải, nhãn, cam, bưởi, doi, hông xiêm ... đang chiết cành (đã có rễ) chưa đem trồng</v>
          </cell>
          <cell r="C1347" t="str">
            <v>10.000</v>
          </cell>
        </row>
        <row r="1348">
          <cell r="A1348" t="str">
            <v>Giống Vải, Nhãn đã chiết cành, đã đem dâm ra vườn</v>
          </cell>
        </row>
        <row r="1349">
          <cell r="A1349" t="str">
            <v>Giống Vải, Nhãn đã chiết cành, đã đem dâm ra vườn Chiều cao cây H &lt; 40cm</v>
          </cell>
          <cell r="B1349" t="str">
            <v>Đông/cây</v>
          </cell>
          <cell r="C1349" t="str">
            <v>10.000</v>
          </cell>
        </row>
        <row r="1350">
          <cell r="A1350" t="str">
            <v>Giống Vải, Nhãn đã chiết cành, đã đem dâm ra vườn Chiều cao cây 40cm ≤ H &lt; 1,0m</v>
          </cell>
          <cell r="B1350" t="str">
            <v>Đồng/cây</v>
          </cell>
          <cell r="C1350" t="str">
            <v>15.000</v>
          </cell>
        </row>
        <row r="1351">
          <cell r="A1351" t="str">
            <v>Giống Vải, Nhãn đã chiết cành, đã đem dâm ra vườn Chiều cao cây H ≥ l,0m</v>
          </cell>
          <cell r="B1351" t="str">
            <v>Đồng/cây</v>
          </cell>
          <cell r="C1351" t="str">
            <v>20.000</v>
          </cell>
        </row>
        <row r="1352">
          <cell r="A1352" t="str">
            <v>Cây giống cam, bưởi, doi, hồng xiêm đã chiết cành dâm ra vườn</v>
          </cell>
          <cell r="C1352" t="str">
            <v>20.000</v>
          </cell>
        </row>
        <row r="1353">
          <cell r="A1353" t="str">
            <v>Cây giống cây lấy gỗ, cây lấy lá...ươm gieo hạt thành luống, vạt</v>
          </cell>
        </row>
        <row r="1354">
          <cell r="A1354" t="str">
            <v>Cây giống cây lấy gỗ, cây lấy lá...ươm gieo hạt thành luống, vạt Chiều cao cây H &lt; 20cm</v>
          </cell>
          <cell r="B1354" t="str">
            <v>Đông/cây</v>
          </cell>
          <cell r="C1354" t="str">
            <v>600</v>
          </cell>
        </row>
        <row r="1355">
          <cell r="A1355" t="str">
            <v>Cây giống cây lấy gỗ, cây lấy lá...ươm gieo hạt thành luống, vạt Chiều cao cây H &gt; 20cm</v>
          </cell>
          <cell r="B1355" t="str">
            <v>Đồng/cây</v>
          </cell>
          <cell r="C1355" t="str">
            <v>1.000</v>
          </cell>
        </row>
        <row r="1356">
          <cell r="A1356" t="str">
            <v>Cây cảnh trồng trong chậu (tính chi phí di chuyển cả cây và chậu)</v>
          </cell>
        </row>
        <row r="1357">
          <cell r="A1357" t="str">
            <v>Di chuyển Chậu có đường kính &lt; 0,5m</v>
          </cell>
          <cell r="B1357" t="str">
            <v>đồng/chậu</v>
          </cell>
          <cell r="C1357" t="str">
            <v>20.000</v>
          </cell>
        </row>
        <row r="1358">
          <cell r="A1358" t="str">
            <v>Di chuyển Chậu có đường kính 0,5m ≤ ĐK &lt; 0,7m</v>
          </cell>
          <cell r="B1358" t="str">
            <v>đồng/chậu</v>
          </cell>
          <cell r="C1358" t="str">
            <v>30.000</v>
          </cell>
        </row>
        <row r="1359">
          <cell r="A1359" t="str">
            <v>Di chuyển Chậu có đường kính 0,7m ≤ ĐK &lt; 1m</v>
          </cell>
          <cell r="B1359" t="str">
            <v>đồng/chậu</v>
          </cell>
          <cell r="C1359" t="str">
            <v>100.000</v>
          </cell>
        </row>
        <row r="1360">
          <cell r="A1360" t="str">
            <v>Di chuyển Chậu có đường kính 1m ≤ ĐK &lt; 1,5m</v>
          </cell>
          <cell r="B1360" t="str">
            <v>đồng/chậu</v>
          </cell>
          <cell r="C1360" t="str">
            <v>200.000</v>
          </cell>
        </row>
        <row r="1361">
          <cell r="A1361" t="str">
            <v>Di chuyển Chậu có đường kính ≥ 1,5m</v>
          </cell>
          <cell r="B1361" t="str">
            <v>đông/chậu</v>
          </cell>
          <cell r="C1361" t="str">
            <v>300.000</v>
          </cell>
        </row>
      </sheetData>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UNIVNI"/>
    </sheetNames>
    <definedNames>
      <definedName name="uni"/>
    </definedNames>
    <sheetDataSet>
      <sheetData sheetId="0"/>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octien"/>
    </sheetNames>
    <definedNames>
      <definedName name="vnd"/>
    </definedNames>
    <sheetDataSet>
      <sheetData sheetId="0"/>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ocso"/>
    </sheetNames>
    <definedNames>
      <definedName name="vnd"/>
    </definedNames>
    <sheetDataSet>
      <sheetData sheetId="0"/>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ài sản"/>
      <sheetName val="Đơn giá cây cối"/>
      <sheetName val="Động-Gái"/>
      <sheetName val="Mạnh"/>
      <sheetName val="Mạnh (Tài sản)"/>
      <sheetName val="Minh"/>
      <sheetName val="Đoan"/>
      <sheetName val="Miên"/>
      <sheetName val="Đỏ"/>
      <sheetName val="Mây"/>
      <sheetName val="Lộc"/>
      <sheetName val="Tân"/>
      <sheetName val="Ban"/>
      <sheetName val="Sơn"/>
      <sheetName val="Nam Doanh"/>
      <sheetName val="Giang"/>
      <sheetName val="Cường"/>
      <sheetName val="Hiền"/>
      <sheetName val="Đạo"/>
      <sheetName val="Nguyễn Đức Minh"/>
      <sheetName val="Sinh Năm"/>
    </sheetNames>
    <sheetDataSet>
      <sheetData sheetId="0" refreshError="1"/>
      <sheetData sheetId="1" refreshError="1">
        <row r="2">
          <cell r="A2" t="str">
            <v>Nhóm cây lương thực</v>
          </cell>
        </row>
        <row r="3">
          <cell r="A3" t="str">
            <v>Lúa</v>
          </cell>
          <cell r="B3" t="str">
            <v>đồng/m2</v>
          </cell>
          <cell r="C3">
            <v>10000</v>
          </cell>
        </row>
        <row r="4">
          <cell r="A4" t="str">
            <v>Ngô (bắp)</v>
          </cell>
          <cell r="B4" t="str">
            <v>đồng/m2</v>
          </cell>
          <cell r="C4">
            <v>8000</v>
          </cell>
        </row>
        <row r="5">
          <cell r="A5" t="str">
            <v>Khoai lang</v>
          </cell>
          <cell r="B5" t="str">
            <v>đồng/m2</v>
          </cell>
          <cell r="C5">
            <v>13000</v>
          </cell>
        </row>
        <row r="6">
          <cell r="A6" t="str">
            <v>Sắn (mỳ)</v>
          </cell>
          <cell r="B6" t="str">
            <v>đồng/m2</v>
          </cell>
          <cell r="C6">
            <v>7900</v>
          </cell>
        </row>
        <row r="7">
          <cell r="A7" t="str">
            <v>Nhóm cây rau, màu</v>
          </cell>
        </row>
        <row r="8">
          <cell r="A8" t="str">
            <v>Khoai sọ</v>
          </cell>
          <cell r="B8" t="str">
            <v>đồng/m2</v>
          </cell>
          <cell r="C8">
            <v>11800</v>
          </cell>
        </row>
        <row r="9">
          <cell r="A9" t="str">
            <v>Khoai mỡ, củ canh</v>
          </cell>
          <cell r="B9" t="str">
            <v>đồng/m2</v>
          </cell>
          <cell r="C9">
            <v>12800</v>
          </cell>
        </row>
        <row r="10">
          <cell r="A10" t="str">
            <v>Khoai môn</v>
          </cell>
          <cell r="B10" t="str">
            <v>đồng/m2</v>
          </cell>
          <cell r="C10">
            <v>11000</v>
          </cell>
        </row>
        <row r="11">
          <cell r="A11" t="str">
            <v>Khoai tây</v>
          </cell>
          <cell r="B11" t="str">
            <v>đồng/m2</v>
          </cell>
          <cell r="C11">
            <v>22900</v>
          </cell>
        </row>
        <row r="12">
          <cell r="A12" t="str">
            <v>Dong riềng</v>
          </cell>
          <cell r="B12" t="str">
            <v>đồng/m2</v>
          </cell>
          <cell r="C12">
            <v>10600</v>
          </cell>
        </row>
        <row r="13">
          <cell r="A13" t="str">
            <v>Sắn dây</v>
          </cell>
          <cell r="B13" t="str">
            <v>đồng/m2</v>
          </cell>
          <cell r="C13">
            <v>22000</v>
          </cell>
        </row>
        <row r="14">
          <cell r="A14" t="str">
            <v>Củ từ</v>
          </cell>
          <cell r="B14" t="str">
            <v>đồng/m2</v>
          </cell>
          <cell r="C14">
            <v>21500</v>
          </cell>
        </row>
        <row r="15">
          <cell r="A15" t="str">
            <v>Mía</v>
          </cell>
          <cell r="B15" t="str">
            <v>đồng/m2</v>
          </cell>
          <cell r="C15">
            <v>14700</v>
          </cell>
        </row>
        <row r="16">
          <cell r="A16" t="str">
            <v>Thuốc lào</v>
          </cell>
          <cell r="B16" t="str">
            <v>đồng/m2</v>
          </cell>
          <cell r="C16">
            <v>38700</v>
          </cell>
        </row>
        <row r="17">
          <cell r="A17" t="str">
            <v>Cói</v>
          </cell>
          <cell r="B17" t="str">
            <v>đồng/m2</v>
          </cell>
          <cell r="C17">
            <v>6700</v>
          </cell>
        </row>
        <row r="18">
          <cell r="A18" t="str">
            <v xml:space="preserve"> Đậu tương (đậu nành) lấy hạt</v>
          </cell>
          <cell r="B18" t="str">
            <v>đồng/m2</v>
          </cell>
          <cell r="C18">
            <v>6000</v>
          </cell>
        </row>
        <row r="19">
          <cell r="A19" t="str">
            <v>Lạc (đậu phộng)</v>
          </cell>
          <cell r="B19" t="str">
            <v>đồng/m2</v>
          </cell>
          <cell r="C19">
            <v>8100</v>
          </cell>
        </row>
        <row r="20">
          <cell r="A20" t="str">
            <v>Vừng (mè)</v>
          </cell>
          <cell r="B20" t="str">
            <v>đồng/m2</v>
          </cell>
          <cell r="C20">
            <v>7000</v>
          </cell>
        </row>
        <row r="21">
          <cell r="A21" t="str">
            <v>Rau muống</v>
          </cell>
          <cell r="B21" t="str">
            <v>đồng/m2</v>
          </cell>
          <cell r="C21">
            <v>13000</v>
          </cell>
        </row>
        <row r="22">
          <cell r="A22" t="str">
            <v>Cải canh</v>
          </cell>
          <cell r="B22" t="str">
            <v>đồng/m2</v>
          </cell>
          <cell r="C22">
            <v>15600</v>
          </cell>
        </row>
        <row r="23">
          <cell r="A23" t="str">
            <v>Cải chíp</v>
          </cell>
          <cell r="B23" t="str">
            <v>đồng/m2</v>
          </cell>
          <cell r="C23">
            <v>13200</v>
          </cell>
        </row>
        <row r="24">
          <cell r="A24" t="str">
            <v>Cải ngồng</v>
          </cell>
          <cell r="B24" t="str">
            <v>đồng/m2</v>
          </cell>
          <cell r="C24">
            <v>14000</v>
          </cell>
        </row>
        <row r="25">
          <cell r="A25" t="str">
            <v>Cải bẹ</v>
          </cell>
          <cell r="B25" t="str">
            <v>đồng/m2</v>
          </cell>
          <cell r="C25">
            <v>13300</v>
          </cell>
        </row>
        <row r="26">
          <cell r="A26" t="str">
            <v>Cải làn</v>
          </cell>
          <cell r="B26" t="str">
            <v>đồng/m2</v>
          </cell>
          <cell r="C26">
            <v>13400</v>
          </cell>
        </row>
        <row r="27">
          <cell r="A27" t="str">
            <v>Cải bó xôi</v>
          </cell>
          <cell r="B27" t="str">
            <v>đồng/m2</v>
          </cell>
          <cell r="C27">
            <v>13500</v>
          </cell>
        </row>
        <row r="28">
          <cell r="A28" t="str">
            <v>Cải ngọt</v>
          </cell>
          <cell r="B28" t="str">
            <v>đồng/m2</v>
          </cell>
          <cell r="C28">
            <v>11600</v>
          </cell>
        </row>
        <row r="29">
          <cell r="A29" t="str">
            <v>Cải xoong</v>
          </cell>
          <cell r="B29" t="str">
            <v>đồng/m2</v>
          </cell>
          <cell r="C29">
            <v>11000</v>
          </cell>
        </row>
        <row r="30">
          <cell r="A30" t="str">
            <v>Cải thảo</v>
          </cell>
          <cell r="B30" t="str">
            <v>đồng/m2</v>
          </cell>
          <cell r="C30">
            <v>18000</v>
          </cell>
        </row>
        <row r="31">
          <cell r="A31" t="str">
            <v>Cải cúc</v>
          </cell>
          <cell r="B31" t="str">
            <v>đồng/m2</v>
          </cell>
          <cell r="C31">
            <v>11500</v>
          </cell>
        </row>
        <row r="32">
          <cell r="A32" t="str">
            <v>Cải kale</v>
          </cell>
          <cell r="B32" t="str">
            <v>đồng/m2</v>
          </cell>
          <cell r="C32">
            <v>42700</v>
          </cell>
        </row>
        <row r="33">
          <cell r="A33" t="str">
            <v>Cải bắp</v>
          </cell>
          <cell r="B33" t="str">
            <v>đồng/m2</v>
          </cell>
          <cell r="C33">
            <v>18000</v>
          </cell>
        </row>
        <row r="34">
          <cell r="A34" t="str">
            <v>Rau mùng tơi</v>
          </cell>
          <cell r="B34" t="str">
            <v>đồng/m2</v>
          </cell>
          <cell r="C34">
            <v>15300</v>
          </cell>
        </row>
        <row r="35">
          <cell r="A35" t="str">
            <v>Rau đay</v>
          </cell>
          <cell r="B35" t="str">
            <v>đồng/m2</v>
          </cell>
          <cell r="C35">
            <v>13200</v>
          </cell>
        </row>
        <row r="36">
          <cell r="A36" t="str">
            <v>Rau ngót</v>
          </cell>
          <cell r="B36" t="str">
            <v>đồng/m2</v>
          </cell>
          <cell r="C36">
            <v>16300</v>
          </cell>
        </row>
        <row r="37">
          <cell r="A37" t="str">
            <v>Rau má</v>
          </cell>
          <cell r="B37" t="str">
            <v>đồng/m2</v>
          </cell>
          <cell r="C37">
            <v>16800</v>
          </cell>
        </row>
        <row r="38">
          <cell r="A38" t="str">
            <v>Rau diếp/xà lách</v>
          </cell>
          <cell r="B38" t="str">
            <v>đồng/m2</v>
          </cell>
          <cell r="C38">
            <v>15100</v>
          </cell>
        </row>
        <row r="39">
          <cell r="A39" t="str">
            <v>Rau dền</v>
          </cell>
          <cell r="B39" t="str">
            <v>đồng/m2</v>
          </cell>
          <cell r="C39">
            <v>12200</v>
          </cell>
        </row>
        <row r="40">
          <cell r="A40" t="str">
            <v>Súp lơ</v>
          </cell>
          <cell r="B40" t="str">
            <v>đồng/m2</v>
          </cell>
          <cell r="C40">
            <v>18500</v>
          </cell>
        </row>
        <row r="41">
          <cell r="A41" t="str">
            <v>Su su (lấy ngọn)</v>
          </cell>
          <cell r="B41" t="str">
            <v>đồng/m2</v>
          </cell>
          <cell r="C41">
            <v>23500</v>
          </cell>
        </row>
        <row r="42">
          <cell r="A42" t="str">
            <v>Ngô rau</v>
          </cell>
          <cell r="B42" t="str">
            <v>đồng/m2</v>
          </cell>
          <cell r="C42">
            <v>5900</v>
          </cell>
        </row>
        <row r="43">
          <cell r="A43" t="str">
            <v>Dưa hấu</v>
          </cell>
          <cell r="B43" t="str">
            <v>đồng/m2</v>
          </cell>
          <cell r="C43">
            <v>22200</v>
          </cell>
        </row>
        <row r="44">
          <cell r="A44" t="str">
            <v>Dưa lê</v>
          </cell>
          <cell r="B44" t="str">
            <v>đồng/m2</v>
          </cell>
          <cell r="C44">
            <v>24000</v>
          </cell>
        </row>
        <row r="45">
          <cell r="A45" t="str">
            <v>Dưa vàng</v>
          </cell>
          <cell r="B45" t="str">
            <v>đồng/m2</v>
          </cell>
          <cell r="C45">
            <v>29700</v>
          </cell>
        </row>
        <row r="46">
          <cell r="A46" t="str">
            <v>Dưa lưới</v>
          </cell>
          <cell r="B46" t="str">
            <v>đồng/m2</v>
          </cell>
          <cell r="C46">
            <v>39000</v>
          </cell>
        </row>
        <row r="47">
          <cell r="A47" t="str">
            <v>Dưa bở</v>
          </cell>
          <cell r="B47" t="str">
            <v>đồng/m2</v>
          </cell>
          <cell r="C47">
            <v>32900</v>
          </cell>
        </row>
        <row r="48">
          <cell r="A48" t="str">
            <v>Dưa gang</v>
          </cell>
          <cell r="B48" t="str">
            <v>đồng/m2</v>
          </cell>
          <cell r="C48">
            <v>27100</v>
          </cell>
        </row>
        <row r="49">
          <cell r="A49" t="str">
            <v>Dưa chuột/ dưa leo</v>
          </cell>
          <cell r="B49" t="str">
            <v>đồng/m2</v>
          </cell>
          <cell r="C49">
            <v>23200</v>
          </cell>
        </row>
        <row r="50">
          <cell r="A50" t="str">
            <v>Đậu tương rau</v>
          </cell>
          <cell r="B50" t="str">
            <v>đồng/m2</v>
          </cell>
          <cell r="C50">
            <v>9800</v>
          </cell>
        </row>
        <row r="51">
          <cell r="A51" t="str">
            <v>Đậu/ đỗ đũa</v>
          </cell>
          <cell r="B51" t="str">
            <v>đồng/m2</v>
          </cell>
          <cell r="C51">
            <v>11800</v>
          </cell>
        </row>
        <row r="52">
          <cell r="A52" t="str">
            <v>Đậu/ đỗ cove</v>
          </cell>
          <cell r="B52" t="str">
            <v>đồng/m2</v>
          </cell>
          <cell r="C52">
            <v>17100</v>
          </cell>
        </row>
        <row r="53">
          <cell r="A53" t="str">
            <v>Đậu/ đỗ Hà Lan</v>
          </cell>
          <cell r="B53" t="str">
            <v>đồng/m2</v>
          </cell>
          <cell r="C53">
            <v>22500</v>
          </cell>
        </row>
        <row r="54">
          <cell r="A54" t="str">
            <v>Đậu/ đỗ rồng</v>
          </cell>
          <cell r="B54" t="str">
            <v>đồng/m2</v>
          </cell>
          <cell r="C54">
            <v>15200</v>
          </cell>
        </row>
        <row r="55">
          <cell r="A55" t="str">
            <v>Đậu/ đỗ ván</v>
          </cell>
          <cell r="B55" t="str">
            <v>đồng/m2</v>
          </cell>
          <cell r="C55">
            <v>15200</v>
          </cell>
        </row>
        <row r="56">
          <cell r="A56" t="str">
            <v>Đậu bắp</v>
          </cell>
          <cell r="B56" t="str">
            <v>đồng/m2</v>
          </cell>
          <cell r="C56">
            <v>12300</v>
          </cell>
        </row>
        <row r="57">
          <cell r="A57" t="str">
            <v>Cà chua</v>
          </cell>
          <cell r="B57" t="str">
            <v>đồng/m2</v>
          </cell>
          <cell r="C57">
            <v>19400</v>
          </cell>
        </row>
        <row r="58">
          <cell r="A58" t="str">
            <v>Cà tím</v>
          </cell>
          <cell r="B58" t="str">
            <v>đồng/m2</v>
          </cell>
          <cell r="C58">
            <v>25500</v>
          </cell>
        </row>
        <row r="59">
          <cell r="A59" t="str">
            <v>Cà bát</v>
          </cell>
          <cell r="B59" t="str">
            <v>đồng/m2</v>
          </cell>
          <cell r="C59">
            <v>24900</v>
          </cell>
        </row>
        <row r="60">
          <cell r="A60" t="str">
            <v>Cà pháo</v>
          </cell>
          <cell r="B60" t="str">
            <v>đồng/m2</v>
          </cell>
          <cell r="C60">
            <v>26000</v>
          </cell>
        </row>
        <row r="61">
          <cell r="A61" t="str">
            <v>Bí ngô</v>
          </cell>
          <cell r="B61" t="str">
            <v>đồng/m2</v>
          </cell>
          <cell r="C61">
            <v>12500</v>
          </cell>
        </row>
        <row r="62">
          <cell r="A62" t="str">
            <v>Bí xanh</v>
          </cell>
          <cell r="B62" t="str">
            <v>đồng/m2</v>
          </cell>
          <cell r="C62">
            <v>12400</v>
          </cell>
        </row>
        <row r="63">
          <cell r="A63" t="str">
            <v>Bí ngòi</v>
          </cell>
          <cell r="B63" t="str">
            <v>đồng/m2</v>
          </cell>
          <cell r="C63">
            <v>18600</v>
          </cell>
        </row>
        <row r="64">
          <cell r="A64" t="str">
            <v>Bầu</v>
          </cell>
          <cell r="B64" t="str">
            <v>đồng/m2</v>
          </cell>
          <cell r="C64">
            <v>11100</v>
          </cell>
        </row>
        <row r="65">
          <cell r="A65" t="str">
            <v>Mướp</v>
          </cell>
          <cell r="B65" t="str">
            <v>đồng/m2</v>
          </cell>
          <cell r="C65">
            <v>10800</v>
          </cell>
        </row>
        <row r="66">
          <cell r="A66" t="str">
            <v>Mướp đắng</v>
          </cell>
          <cell r="B66" t="str">
            <v>đồng/m2</v>
          </cell>
          <cell r="C66">
            <v>8300</v>
          </cell>
        </row>
        <row r="67">
          <cell r="A67" t="str">
            <v>Su su (lấy quả)</v>
          </cell>
          <cell r="B67" t="str">
            <v>đồng/m2</v>
          </cell>
          <cell r="C67">
            <v>20500</v>
          </cell>
        </row>
        <row r="68">
          <cell r="A68" t="str">
            <v>Ớt ngọt</v>
          </cell>
          <cell r="B68" t="str">
            <v>đồng/m2</v>
          </cell>
          <cell r="C68">
            <v>42600</v>
          </cell>
        </row>
        <row r="69">
          <cell r="A69" t="str">
            <v>Su hào</v>
          </cell>
          <cell r="B69" t="str">
            <v>đồng/m2</v>
          </cell>
          <cell r="C69">
            <v>16100</v>
          </cell>
        </row>
        <row r="70">
          <cell r="A70" t="str">
            <v>Cà rốt</v>
          </cell>
          <cell r="B70" t="str">
            <v>đồng/m2</v>
          </cell>
          <cell r="C70">
            <v>17900</v>
          </cell>
        </row>
        <row r="71">
          <cell r="A71" t="str">
            <v xml:space="preserve"> Củ cải trắng</v>
          </cell>
          <cell r="B71" t="str">
            <v>đồng/m2</v>
          </cell>
          <cell r="C71">
            <v>17000</v>
          </cell>
        </row>
        <row r="72">
          <cell r="A72" t="str">
            <v>Củ dền</v>
          </cell>
          <cell r="B72" t="str">
            <v>đồng/m2</v>
          </cell>
          <cell r="C72">
            <v>16500</v>
          </cell>
        </row>
        <row r="73">
          <cell r="A73" t="str">
            <v>Củ đậu</v>
          </cell>
          <cell r="B73" t="str">
            <v>đồng/m2</v>
          </cell>
          <cell r="C73">
            <v>15000</v>
          </cell>
        </row>
        <row r="74">
          <cell r="A74" t="str">
            <v>Tỏi lấy củ</v>
          </cell>
          <cell r="B74" t="str">
            <v>đồng/m2</v>
          </cell>
          <cell r="C74">
            <v>37100</v>
          </cell>
        </row>
        <row r="75">
          <cell r="A75" t="str">
            <v>Tỏi tây</v>
          </cell>
          <cell r="B75" t="str">
            <v>đồng/m2</v>
          </cell>
          <cell r="C75">
            <v>27700</v>
          </cell>
        </row>
        <row r="76">
          <cell r="A76" t="str">
            <v>Hành tây</v>
          </cell>
          <cell r="B76" t="str">
            <v>đồng/m2</v>
          </cell>
          <cell r="C76">
            <v>29400</v>
          </cell>
        </row>
        <row r="77">
          <cell r="A77" t="str">
            <v>Hành hoa</v>
          </cell>
          <cell r="B77" t="str">
            <v>đồng/m2</v>
          </cell>
          <cell r="C77">
            <v>22000</v>
          </cell>
        </row>
        <row r="78">
          <cell r="A78" t="str">
            <v>Hành củ</v>
          </cell>
          <cell r="B78" t="str">
            <v>đồng/m2</v>
          </cell>
          <cell r="C78">
            <v>24300</v>
          </cell>
        </row>
        <row r="79">
          <cell r="A79" t="str">
            <v>Hành paro</v>
          </cell>
          <cell r="B79" t="str">
            <v>đồng/m2</v>
          </cell>
          <cell r="C79">
            <v>25300</v>
          </cell>
        </row>
        <row r="80">
          <cell r="A80" t="str">
            <v>Sen lấy củ</v>
          </cell>
          <cell r="B80" t="str">
            <v>đồng/m2</v>
          </cell>
          <cell r="C80">
            <v>18700</v>
          </cell>
        </row>
        <row r="81">
          <cell r="A81" t="str">
            <v>Sen lấy ngó</v>
          </cell>
          <cell r="B81" t="str">
            <v>đồng/m2</v>
          </cell>
          <cell r="C81">
            <v>9400</v>
          </cell>
        </row>
        <row r="82">
          <cell r="A82" t="str">
            <v>Rau cần ta</v>
          </cell>
          <cell r="B82" t="str">
            <v>đồng/m2</v>
          </cell>
          <cell r="C82">
            <v>16000</v>
          </cell>
        </row>
        <row r="83">
          <cell r="A83" t="str">
            <v>Rau cần tây</v>
          </cell>
          <cell r="B83" t="str">
            <v>đồng/m2</v>
          </cell>
          <cell r="C83">
            <v>22900</v>
          </cell>
        </row>
        <row r="84">
          <cell r="A84" t="str">
            <v>Dọc mùng</v>
          </cell>
          <cell r="B84" t="str">
            <v>đồng/m2</v>
          </cell>
          <cell r="C84">
            <v>11500</v>
          </cell>
        </row>
        <row r="85">
          <cell r="A85" t="str">
            <v>Rau rút</v>
          </cell>
          <cell r="B85" t="str">
            <v>đồng/m2</v>
          </cell>
          <cell r="C85">
            <v>10700</v>
          </cell>
        </row>
        <row r="86">
          <cell r="A86" t="str">
            <v>Rau dớn</v>
          </cell>
          <cell r="B86" t="str">
            <v>đồng/m2</v>
          </cell>
          <cell r="C86">
            <v>10200</v>
          </cell>
        </row>
        <row r="87">
          <cell r="A87" t="str">
            <v>Khoai nước (lấy mầm)</v>
          </cell>
          <cell r="B87" t="str">
            <v>đồng/m2</v>
          </cell>
          <cell r="C87">
            <v>14200</v>
          </cell>
        </row>
        <row r="88">
          <cell r="A88" t="str">
            <v>Đậu/đỗ đen</v>
          </cell>
          <cell r="B88" t="str">
            <v>đồng/m2</v>
          </cell>
          <cell r="C88">
            <v>7100</v>
          </cell>
        </row>
        <row r="89">
          <cell r="A89" t="str">
            <v>Đậu/đỗ xanh</v>
          </cell>
          <cell r="B89" t="str">
            <v>đồng/m2</v>
          </cell>
          <cell r="C89">
            <v>7100</v>
          </cell>
        </row>
        <row r="90">
          <cell r="A90" t="str">
            <v xml:space="preserve"> Đậu/đỗ đỏ</v>
          </cell>
          <cell r="B90" t="str">
            <v>đồng/m2</v>
          </cell>
          <cell r="C90">
            <v>7100</v>
          </cell>
        </row>
        <row r="91">
          <cell r="A91" t="str">
            <v>Nhóm cây hoa</v>
          </cell>
        </row>
        <row r="92">
          <cell r="A92" t="str">
            <v>Hoa cúc</v>
          </cell>
          <cell r="B92" t="str">
            <v>đồng/m2</v>
          </cell>
          <cell r="C92">
            <v>57200</v>
          </cell>
        </row>
        <row r="93">
          <cell r="A93" t="str">
            <v>Hoa lay ơn</v>
          </cell>
          <cell r="B93" t="str">
            <v>đồng/m2</v>
          </cell>
          <cell r="C93">
            <v>89300</v>
          </cell>
        </row>
        <row r="94">
          <cell r="A94" t="str">
            <v>Hoa cẩm chướng</v>
          </cell>
          <cell r="B94" t="str">
            <v>đồng/m2</v>
          </cell>
          <cell r="C94">
            <v>139300</v>
          </cell>
        </row>
        <row r="95">
          <cell r="A95" t="str">
            <v>Hoa lily</v>
          </cell>
          <cell r="B95" t="str">
            <v>đồng/m2</v>
          </cell>
          <cell r="C95">
            <v>362000</v>
          </cell>
        </row>
        <row r="96">
          <cell r="A96" t="str">
            <v>Hoa loa kèn</v>
          </cell>
          <cell r="B96" t="str">
            <v>đồng/m2</v>
          </cell>
          <cell r="C96">
            <v>98500</v>
          </cell>
        </row>
        <row r="97">
          <cell r="A97" t="str">
            <v>Hoa đồng tiền</v>
          </cell>
          <cell r="B97" t="str">
            <v>đồng/m2</v>
          </cell>
          <cell r="C97">
            <v>75000</v>
          </cell>
        </row>
        <row r="98">
          <cell r="A98" t="str">
            <v>Hoa thạch thảo</v>
          </cell>
          <cell r="B98" t="str">
            <v>đồng/m2</v>
          </cell>
          <cell r="C98">
            <v>94100</v>
          </cell>
        </row>
        <row r="99">
          <cell r="A99" t="str">
            <v>Hoa cát tường</v>
          </cell>
          <cell r="B99" t="str">
            <v>đồng/m2</v>
          </cell>
          <cell r="C99">
            <v>167600</v>
          </cell>
        </row>
        <row r="100">
          <cell r="A100" t="str">
            <v>Hoa hướng dương</v>
          </cell>
          <cell r="B100" t="str">
            <v>đồng/m2</v>
          </cell>
          <cell r="C100">
            <v>17800</v>
          </cell>
        </row>
        <row r="101">
          <cell r="A101" t="str">
            <v>Hoa huệ</v>
          </cell>
          <cell r="B101" t="str">
            <v>đồng/m2</v>
          </cell>
          <cell r="C101">
            <v>73300</v>
          </cell>
        </row>
        <row r="102">
          <cell r="A102" t="str">
            <v>Hoa cánh bướm</v>
          </cell>
          <cell r="B102" t="str">
            <v>đồng/m2</v>
          </cell>
          <cell r="C102">
            <v>9800</v>
          </cell>
        </row>
        <row r="103">
          <cell r="A103" t="str">
            <v>Hoa phi yến</v>
          </cell>
          <cell r="B103" t="str">
            <v>đồng/m2</v>
          </cell>
          <cell r="C103">
            <v>90000</v>
          </cell>
        </row>
        <row r="104">
          <cell r="A104" t="str">
            <v>Hoa sen lấy hoa</v>
          </cell>
          <cell r="B104" t="str">
            <v>đồng/m2</v>
          </cell>
          <cell r="C104">
            <v>9300</v>
          </cell>
        </row>
        <row r="105">
          <cell r="A105" t="str">
            <v>Hoa súng</v>
          </cell>
          <cell r="B105" t="str">
            <v>đồng/m2</v>
          </cell>
          <cell r="C105">
            <v>6800</v>
          </cell>
        </row>
        <row r="106">
          <cell r="A106" t="str">
            <v>Violet, cosmot</v>
          </cell>
          <cell r="B106" t="str">
            <v>đồng/m2</v>
          </cell>
        </row>
        <row r="107">
          <cell r="A107" t="str">
            <v>Violet, cosmot cây chưa có hoa</v>
          </cell>
          <cell r="B107" t="str">
            <v>đồng/m2</v>
          </cell>
          <cell r="C107">
            <v>35000</v>
          </cell>
        </row>
        <row r="108">
          <cell r="A108" t="str">
            <v>Violet, cosmot cây có hoa</v>
          </cell>
          <cell r="B108" t="str">
            <v>đồng/m2</v>
          </cell>
          <cell r="C108">
            <v>95000</v>
          </cell>
        </row>
        <row r="109">
          <cell r="A109" t="str">
            <v>Cây hoa mười giờ, cây hoa sam, tóc tiên</v>
          </cell>
          <cell r="B109" t="str">
            <v>đồng/m2</v>
          </cell>
          <cell r="C109">
            <v>25000</v>
          </cell>
        </row>
        <row r="110">
          <cell r="A110" t="str">
            <v>Cây dạ yến thảo, cây ngọc thảo</v>
          </cell>
          <cell r="B110" t="str">
            <v>đồng/m2</v>
          </cell>
          <cell r="C110">
            <v>55000</v>
          </cell>
        </row>
        <row r="111">
          <cell r="A111" t="str">
            <v>Cây salem</v>
          </cell>
          <cell r="B111" t="str">
            <v>đồng/m2</v>
          </cell>
        </row>
        <row r="112">
          <cell r="A112" t="str">
            <v>Cây salem chưa có hoa</v>
          </cell>
          <cell r="B112" t="str">
            <v>đồng/m2</v>
          </cell>
          <cell r="C112">
            <v>20000</v>
          </cell>
        </row>
        <row r="113">
          <cell r="A113" t="str">
            <v>Cây salem có hoa</v>
          </cell>
          <cell r="B113" t="str">
            <v>đồng/m2</v>
          </cell>
          <cell r="C113">
            <v>40000</v>
          </cell>
        </row>
        <row r="114">
          <cell r="A114" t="str">
            <v>Nhóm cây gia vị</v>
          </cell>
        </row>
        <row r="115">
          <cell r="A115" t="str">
            <v>Ớt cay</v>
          </cell>
          <cell r="B115" t="str">
            <v>đồng/m2</v>
          </cell>
          <cell r="C115">
            <v>23300</v>
          </cell>
        </row>
        <row r="116">
          <cell r="A116" t="str">
            <v>Gừng</v>
          </cell>
          <cell r="B116" t="str">
            <v>đồng/m2</v>
          </cell>
          <cell r="C116">
            <v>19000</v>
          </cell>
        </row>
        <row r="117">
          <cell r="A117" t="str">
            <v>Nghệ</v>
          </cell>
          <cell r="B117" t="str">
            <v>đồng/m2</v>
          </cell>
          <cell r="C117">
            <v>18700</v>
          </cell>
        </row>
        <row r="118">
          <cell r="A118" t="str">
            <v>Riềng</v>
          </cell>
          <cell r="B118" t="str">
            <v>đồng/m2</v>
          </cell>
          <cell r="C118">
            <v>24600</v>
          </cell>
        </row>
        <row r="119">
          <cell r="A119" t="str">
            <v>Sả</v>
          </cell>
          <cell r="B119" t="str">
            <v>đồng/m2</v>
          </cell>
          <cell r="C119">
            <v>11000</v>
          </cell>
        </row>
        <row r="120">
          <cell r="A120" t="str">
            <v>Tía tô</v>
          </cell>
          <cell r="B120" t="str">
            <v>đồng/m2</v>
          </cell>
          <cell r="C120">
            <v>16200</v>
          </cell>
        </row>
        <row r="121">
          <cell r="A121" t="str">
            <v>Kinh giới, húng tép</v>
          </cell>
          <cell r="B121" t="str">
            <v>đồng/m2</v>
          </cell>
          <cell r="C121">
            <v>12100</v>
          </cell>
        </row>
        <row r="122">
          <cell r="A122" t="str">
            <v>Húng bąc hà, húng Hà Nội</v>
          </cell>
          <cell r="B122" t="str">
            <v>đồng/m2</v>
          </cell>
          <cell r="C122">
            <v>11200</v>
          </cell>
        </row>
        <row r="123">
          <cell r="A123" t="str">
            <v>Húng quế (húng chó)</v>
          </cell>
          <cell r="B123" t="str">
            <v>đồng/m2</v>
          </cell>
          <cell r="C123">
            <v>21700</v>
          </cell>
        </row>
        <row r="124">
          <cell r="A124" t="str">
            <v>Rau mùi</v>
          </cell>
          <cell r="B124" t="str">
            <v>đồng/m2</v>
          </cell>
          <cell r="C124">
            <v>12800</v>
          </cell>
        </row>
        <row r="125">
          <cell r="A125" t="str">
            <v>Mùi tàu (răng cua, ngò gai)</v>
          </cell>
          <cell r="B125" t="str">
            <v>đồng/m2</v>
          </cell>
          <cell r="C125">
            <v>18200</v>
          </cell>
        </row>
        <row r="126">
          <cell r="A126" t="str">
            <v>Ngải cứu</v>
          </cell>
          <cell r="B126" t="str">
            <v>đồng/m2</v>
          </cell>
          <cell r="C126">
            <v>11000</v>
          </cell>
        </row>
        <row r="127">
          <cell r="A127" t="str">
            <v>Thì là</v>
          </cell>
          <cell r="B127" t="str">
            <v>đồng/m2</v>
          </cell>
          <cell r="C127">
            <v>16500</v>
          </cell>
        </row>
        <row r="128">
          <cell r="A128" t="str">
            <v>Rau rám</v>
          </cell>
          <cell r="B128" t="str">
            <v>đồng/m2</v>
          </cell>
          <cell r="C128">
            <v>12300</v>
          </cell>
        </row>
        <row r="129">
          <cell r="A129" t="str">
            <v>Lá nốt</v>
          </cell>
          <cell r="B129" t="str">
            <v>đồng/m2</v>
          </cell>
          <cell r="C129">
            <v>16800</v>
          </cell>
        </row>
        <row r="130">
          <cell r="A130" t="str">
            <v>Nhóm cây dược liệu</v>
          </cell>
        </row>
        <row r="131">
          <cell r="A131" t="str">
            <v>Hương nhu</v>
          </cell>
          <cell r="B131" t="str">
            <v>đồng/m2</v>
          </cell>
          <cell r="C131">
            <v>23900</v>
          </cell>
        </row>
        <row r="132">
          <cell r="A132" t="str">
            <v>Cúc dược liệu (Cúc chi)</v>
          </cell>
          <cell r="B132" t="str">
            <v>đồng/m2</v>
          </cell>
          <cell r="C132">
            <v>21500</v>
          </cell>
        </row>
        <row r="133">
          <cell r="A133" t="str">
            <v>Húng chanh</v>
          </cell>
          <cell r="B133" t="str">
            <v>đồng/m2</v>
          </cell>
          <cell r="C133">
            <v>18500</v>
          </cell>
        </row>
        <row r="134">
          <cell r="A134" t="str">
            <v>Lá nếp</v>
          </cell>
          <cell r="B134" t="str">
            <v>đồng/m2</v>
          </cell>
          <cell r="C134">
            <v>17100</v>
          </cell>
        </row>
        <row r="135">
          <cell r="A135" t="str">
            <v>Xương sông</v>
          </cell>
          <cell r="B135" t="str">
            <v>đồng/m2</v>
          </cell>
          <cell r="C135">
            <v>17400</v>
          </cell>
        </row>
        <row r="136">
          <cell r="A136" t="str">
            <v>Hoàn ngọc (cây lá khỉ)</v>
          </cell>
          <cell r="B136" t="str">
            <v>đồng/m2</v>
          </cell>
          <cell r="C136">
            <v>16000</v>
          </cell>
        </row>
        <row r="137">
          <cell r="A137" t="str">
            <v>Atiso đỏ</v>
          </cell>
          <cell r="B137" t="str">
            <v>đồng/m2</v>
          </cell>
          <cell r="C137">
            <v>22000</v>
          </cell>
        </row>
        <row r="138">
          <cell r="A138" t="str">
            <v>Nhóm cây hàng năm khác</v>
          </cell>
        </row>
        <row r="139">
          <cell r="A139" t="str">
            <v xml:space="preserve"> Ấu</v>
          </cell>
          <cell r="B139" t="str">
            <v>đồng/m2</v>
          </cell>
          <cell r="C139">
            <v>20000</v>
          </cell>
        </row>
        <row r="140">
          <cell r="A140" t="str">
            <v>Thạch đen</v>
          </cell>
          <cell r="B140" t="str">
            <v>đồng/m2</v>
          </cell>
          <cell r="C140">
            <v>14700</v>
          </cell>
        </row>
        <row r="141">
          <cell r="A141" t="str">
            <v>Hương bài</v>
          </cell>
          <cell r="B141" t="str">
            <v>đồng/m2</v>
          </cell>
          <cell r="C141">
            <v>17500</v>
          </cell>
        </row>
        <row r="142">
          <cell r="A142" t="str">
            <v>Cỏ voi</v>
          </cell>
          <cell r="B142" t="str">
            <v>đồng/m2</v>
          </cell>
          <cell r="C142">
            <v>4700</v>
          </cell>
        </row>
        <row r="143">
          <cell r="A143" t="str">
            <v>Cỏ nhung</v>
          </cell>
          <cell r="B143" t="str">
            <v>đồng/m2</v>
          </cell>
          <cell r="C143">
            <v>40000</v>
          </cell>
        </row>
        <row r="144">
          <cell r="A144" t="str">
            <v>Ngô sinh khối</v>
          </cell>
          <cell r="B144" t="str">
            <v>đồng/m2</v>
          </cell>
          <cell r="C144">
            <v>8000</v>
          </cell>
        </row>
        <row r="145">
          <cell r="A145" t="str">
            <v>Nấm rơm</v>
          </cell>
          <cell r="B145" t="str">
            <v>đồng/m2</v>
          </cell>
          <cell r="C145">
            <v>92100</v>
          </cell>
        </row>
        <row r="146">
          <cell r="A146" t="str">
            <v>Nấm mỡ</v>
          </cell>
          <cell r="B146" t="str">
            <v>đồng/m2</v>
          </cell>
          <cell r="C146">
            <v>106700</v>
          </cell>
        </row>
        <row r="147">
          <cell r="A147" t="str">
            <v>Đay</v>
          </cell>
          <cell r="B147" t="str">
            <v>đồng/m2</v>
          </cell>
          <cell r="C147">
            <v>9000</v>
          </cell>
        </row>
        <row r="148">
          <cell r="A148" t="str">
            <v>Gai</v>
          </cell>
          <cell r="B148" t="str">
            <v>đồng/m2</v>
          </cell>
          <cell r="C148">
            <v>7000</v>
          </cell>
        </row>
        <row r="149">
          <cell r="A149" t="str">
            <v>Dứa sợi</v>
          </cell>
          <cell r="B149" t="str">
            <v>đồng/m2</v>
          </cell>
          <cell r="C149">
            <v>7000</v>
          </cell>
        </row>
        <row r="150">
          <cell r="A150" t="str">
            <v>NHÓM CÂY TÍNH THEO CHIỀU CAO THÂN</v>
          </cell>
        </row>
        <row r="151">
          <cell r="A151" t="str">
            <v>Cây na xiêm</v>
          </cell>
        </row>
        <row r="152">
          <cell r="A152" t="str">
            <v>Cây na xiêm chiều cao cây H ≤ 1,5 m</v>
          </cell>
          <cell r="B152" t="str">
            <v>Đồng/cây</v>
          </cell>
          <cell r="C152">
            <v>9000</v>
          </cell>
        </row>
        <row r="153">
          <cell r="A153" t="str">
            <v>Cây na xiêm chiều cao cây 1,5 m &lt; H ≤ 3 m</v>
          </cell>
          <cell r="B153" t="str">
            <v>Đồng/cây</v>
          </cell>
          <cell r="C153">
            <v>22000</v>
          </cell>
        </row>
        <row r="154">
          <cell r="A154" t="str">
            <v>Cây na xiêm chiều cao cây H &gt; 3 m</v>
          </cell>
          <cell r="B154" t="str">
            <v>Đồng/cây</v>
          </cell>
          <cell r="C154">
            <v>56000</v>
          </cell>
        </row>
        <row r="155">
          <cell r="A155" t="str">
            <v>Cây sắn thuyền</v>
          </cell>
        </row>
        <row r="156">
          <cell r="A156" t="str">
            <v>Cây sắn thuyền chiều cao cây H ≤ 1,5 m</v>
          </cell>
          <cell r="B156" t="str">
            <v>Đồng/cây</v>
          </cell>
          <cell r="C156">
            <v>25000</v>
          </cell>
        </row>
        <row r="157">
          <cell r="A157" t="str">
            <v>Cây sắn thuyền chiều cao cây 1,5 m &lt; H ≤ 3 m</v>
          </cell>
          <cell r="B157" t="str">
            <v>Đồng/cây</v>
          </cell>
          <cell r="C157">
            <v>149000</v>
          </cell>
        </row>
        <row r="158">
          <cell r="A158" t="str">
            <v>Cây sắn thuyền chiều cao cây H &gt; 3 m</v>
          </cell>
          <cell r="B158" t="str">
            <v>Đồng/cây</v>
          </cell>
          <cell r="C158">
            <v>373000</v>
          </cell>
        </row>
        <row r="159">
          <cell r="A159" t="str">
            <v>Cau ta ăn quả</v>
          </cell>
        </row>
        <row r="160">
          <cell r="A160" t="str">
            <v>Cau ta ăn quả giống đủ tiêu chuẩn mới trồng, chiều cao cây H ≥ 40cm</v>
          </cell>
          <cell r="B160" t="str">
            <v>Đồng/cây</v>
          </cell>
          <cell r="C160">
            <v>25000</v>
          </cell>
        </row>
        <row r="161">
          <cell r="A161" t="str">
            <v>Cau ta ăn quả chiều cao cây H &lt; 1,5 m</v>
          </cell>
          <cell r="B161" t="str">
            <v>Đồng/cây</v>
          </cell>
          <cell r="C161">
            <v>75000</v>
          </cell>
        </row>
        <row r="162">
          <cell r="A162" t="str">
            <v>Cau ta ăn quả chiều cao cây 1,5 m ≤  H &lt; 3 m</v>
          </cell>
          <cell r="B162" t="str">
            <v>Đồng/cây</v>
          </cell>
          <cell r="C162">
            <v>249000</v>
          </cell>
        </row>
        <row r="163">
          <cell r="A163" t="str">
            <v>Cau ta ăn quả chiều cao cây 3 m ≤  H &lt; 4 m</v>
          </cell>
          <cell r="B163" t="str">
            <v>Đồng/cây</v>
          </cell>
          <cell r="C163">
            <v>560000</v>
          </cell>
        </row>
        <row r="164">
          <cell r="A164" t="str">
            <v>Cau ta ăn quả chiều cao cây H ≥ 4 m</v>
          </cell>
          <cell r="B164" t="str">
            <v>Đồng/cây</v>
          </cell>
          <cell r="C164">
            <v>1120000</v>
          </cell>
        </row>
        <row r="165">
          <cell r="A165" t="str">
            <v>Cây cau lợn cọ (độ cao bóc bẹ)</v>
          </cell>
        </row>
        <row r="166">
          <cell r="A166" t="str">
            <v>Cây cau lợn cọ giống mới trồng</v>
          </cell>
          <cell r="B166" t="str">
            <v>Đồng/cây</v>
          </cell>
          <cell r="C166">
            <v>150000</v>
          </cell>
        </row>
        <row r="167">
          <cell r="A167" t="str">
            <v>Cây cau lợn cọ (độ cao bóc bẹ)  H &lt; 15 cm</v>
          </cell>
          <cell r="B167" t="str">
            <v>Đồng/cây</v>
          </cell>
          <cell r="C167">
            <v>300000</v>
          </cell>
        </row>
        <row r="168">
          <cell r="A168" t="str">
            <v>Cây cau lợn cọ (độ cao bóc bẹ) 15 cm &lt; H ≤ 30 cm</v>
          </cell>
          <cell r="B168" t="str">
            <v>Đồng/cây</v>
          </cell>
          <cell r="C168">
            <v>580000</v>
          </cell>
        </row>
        <row r="169">
          <cell r="A169" t="str">
            <v>Cây cau lợn cọ (độ cao bóc bẹ) 30 cm &lt; H ≤ 45 cm</v>
          </cell>
          <cell r="B169" t="str">
            <v>Đồng/cây</v>
          </cell>
          <cell r="C169">
            <v>760000</v>
          </cell>
        </row>
        <row r="170">
          <cell r="A170" t="str">
            <v>Cây cau lợn cọ (độ cao bóc bẹ)  45 cm &lt; H ≤ 60 cm</v>
          </cell>
          <cell r="B170" t="str">
            <v>Đồng/cây</v>
          </cell>
          <cell r="C170">
            <v>810000</v>
          </cell>
        </row>
        <row r="171">
          <cell r="A171" t="str">
            <v>Cây cau lợn cọ (độ cao bóc bẹ)  60 cm &lt; H ≤ 75 cm</v>
          </cell>
          <cell r="B171" t="str">
            <v>Đồng/cây</v>
          </cell>
          <cell r="C171">
            <v>850000</v>
          </cell>
        </row>
        <row r="172">
          <cell r="A172" t="str">
            <v>Cây cau lợn cọ (độ cao bóc bẹ) 75 cm &lt; H ≤ 90 cm</v>
          </cell>
          <cell r="B172" t="str">
            <v>Đồng/cây</v>
          </cell>
          <cell r="C172">
            <v>900000</v>
          </cell>
        </row>
        <row r="173">
          <cell r="A173" t="str">
            <v>Cây cau lợn cọ (độ cao bóc bẹ) H &gt; 90 cm</v>
          </cell>
          <cell r="B173" t="str">
            <v>Đồng/cây</v>
          </cell>
          <cell r="C173">
            <v>950000</v>
          </cell>
        </row>
        <row r="174">
          <cell r="A174" t="str">
            <v>Cây cau trắng (độ cao bóc bẹ)</v>
          </cell>
          <cell r="C174">
            <v>0</v>
          </cell>
        </row>
        <row r="175">
          <cell r="A175" t="str">
            <v>Cây cau trắng giống mới trồng</v>
          </cell>
          <cell r="B175" t="str">
            <v>Đồng/cây</v>
          </cell>
          <cell r="C175">
            <v>15000</v>
          </cell>
        </row>
        <row r="176">
          <cell r="A176" t="str">
            <v>Cây cau trắng (độ cao bóc bẹ) H ≤ 15 cm</v>
          </cell>
          <cell r="B176" t="str">
            <v>Đồng/cây</v>
          </cell>
          <cell r="C176">
            <v>50000</v>
          </cell>
        </row>
        <row r="177">
          <cell r="A177" t="str">
            <v>Cây cau trắng (độ cao bóc bẹ) 15 cm &lt; H ≤ 30 cm</v>
          </cell>
          <cell r="B177" t="str">
            <v>Đồng/cây</v>
          </cell>
          <cell r="C177">
            <v>100000</v>
          </cell>
        </row>
        <row r="178">
          <cell r="A178" t="str">
            <v>Cây cau trắng (độ cao bóc bẹ) 30 cm &lt; H ≤ 45 cm</v>
          </cell>
          <cell r="B178" t="str">
            <v>Đồng/cây</v>
          </cell>
          <cell r="C178">
            <v>150000</v>
          </cell>
        </row>
        <row r="179">
          <cell r="A179" t="str">
            <v>Cây cau trắng (độ cao bóc bẹ) 45 cm &lt; H ≤ 60 cm</v>
          </cell>
          <cell r="B179" t="str">
            <v>Đồng/cây</v>
          </cell>
          <cell r="C179">
            <v>200000</v>
          </cell>
        </row>
        <row r="180">
          <cell r="A180" t="str">
            <v>Cây cau trắng (độ cao bóc bẹ) 60 cm &lt; H ≤ 75 cm</v>
          </cell>
          <cell r="B180" t="str">
            <v>Đồng/cây</v>
          </cell>
          <cell r="C180">
            <v>250000</v>
          </cell>
        </row>
        <row r="181">
          <cell r="A181" t="str">
            <v>Cây cau trắng (độ cao bóc bẹ) 75 cm &lt; H ≤ 90 cm</v>
          </cell>
          <cell r="B181" t="str">
            <v>Đồng/cây</v>
          </cell>
          <cell r="C181">
            <v>300000</v>
          </cell>
        </row>
        <row r="182">
          <cell r="A182" t="str">
            <v>Cây cau trắng (độ cao bóc bẹ) 90 cm &lt; H ≤ 150 cm</v>
          </cell>
          <cell r="B182" t="str">
            <v>Đồng/cây</v>
          </cell>
          <cell r="C182">
            <v>350000</v>
          </cell>
        </row>
        <row r="183">
          <cell r="A183" t="str">
            <v>Cây cau trắng (độ cao bóc bẹ) 150 cm &lt; H ≤ 250 cm</v>
          </cell>
          <cell r="B183" t="str">
            <v>Đồng/cây</v>
          </cell>
          <cell r="C183">
            <v>450000</v>
          </cell>
        </row>
        <row r="184">
          <cell r="A184" t="str">
            <v>Cây cau trắng (độ cao bóc bẹ) H &gt; 250 cm</v>
          </cell>
          <cell r="B184" t="str">
            <v>Đồng/cây</v>
          </cell>
          <cell r="C184">
            <v>600000</v>
          </cell>
        </row>
        <row r="185">
          <cell r="A185" t="str">
            <v>Cây cau đẻ (độ cao bóc bẹ)</v>
          </cell>
          <cell r="C185">
            <v>0</v>
          </cell>
        </row>
        <row r="186">
          <cell r="A186" t="str">
            <v>Cây cau đẻ giống mới trồng</v>
          </cell>
          <cell r="B186" t="str">
            <v>Đồng/cây</v>
          </cell>
          <cell r="C186">
            <v>9000</v>
          </cell>
        </row>
        <row r="187">
          <cell r="A187" t="str">
            <v>Cây cau đẻ (độ cao bóc bẹ) H ≤ 15 cm</v>
          </cell>
          <cell r="B187" t="str">
            <v>Đồng/cây</v>
          </cell>
          <cell r="C187">
            <v>25000</v>
          </cell>
        </row>
        <row r="188">
          <cell r="A188" t="str">
            <v>Cây cau đẻ (độ cao bóc bẹ) 15 cm &lt; H ≤ 30 cm</v>
          </cell>
          <cell r="B188" t="str">
            <v>Đồng/cây</v>
          </cell>
          <cell r="C188">
            <v>45000</v>
          </cell>
        </row>
        <row r="189">
          <cell r="A189" t="str">
            <v>Cây cau đẻ (độ cao bóc bẹ) 30 cm &lt; H ≤ 45 cm</v>
          </cell>
          <cell r="B189" t="str">
            <v>Đồng/cây</v>
          </cell>
          <cell r="C189">
            <v>75000</v>
          </cell>
        </row>
        <row r="190">
          <cell r="A190" t="str">
            <v>Cây cau đẻ (độ cao bóc bẹ) 45 cm &lt; H ≤ 60 cm</v>
          </cell>
          <cell r="B190" t="str">
            <v>Đồng/cây</v>
          </cell>
          <cell r="C190">
            <v>100000</v>
          </cell>
        </row>
        <row r="191">
          <cell r="A191" t="str">
            <v>Cây cau đẻ (độ cao bóc bẹ) 60 cm &lt; H ≤ 75 cm</v>
          </cell>
          <cell r="B191" t="str">
            <v>Đồng/cây</v>
          </cell>
          <cell r="C191">
            <v>150000</v>
          </cell>
        </row>
        <row r="192">
          <cell r="A192" t="str">
            <v>Cây cau đẻ (độ cao bóc bẹ) 75 cm &lt; H ≤ 90 cm</v>
          </cell>
          <cell r="B192" t="str">
            <v>Đồng/cây</v>
          </cell>
          <cell r="C192">
            <v>200000</v>
          </cell>
        </row>
        <row r="193">
          <cell r="A193" t="str">
            <v>Cây cau đẻ (độ cao bóc bẹ) 90 cm &lt; H ≤ 150 cm</v>
          </cell>
          <cell r="B193" t="str">
            <v>Đồng/cây</v>
          </cell>
          <cell r="C193">
            <v>250000</v>
          </cell>
        </row>
        <row r="194">
          <cell r="A194" t="str">
            <v>Cây cau đẻ (độ cao bóc bẹ) 150 cm &lt; H ≤ 250 cm</v>
          </cell>
          <cell r="B194" t="str">
            <v>Đồng/cây</v>
          </cell>
          <cell r="C194">
            <v>300000</v>
          </cell>
        </row>
        <row r="195">
          <cell r="A195" t="str">
            <v>Cây cau đẻ (độ cao bóc bẹ) H &gt; 250 cm</v>
          </cell>
          <cell r="B195" t="str">
            <v>Đồng/cây</v>
          </cell>
          <cell r="C195">
            <v>400000</v>
          </cell>
        </row>
        <row r="196">
          <cell r="A196" t="str">
            <v>Cây thiên tuế</v>
          </cell>
          <cell r="C196">
            <v>0</v>
          </cell>
        </row>
        <row r="197">
          <cell r="A197" t="str">
            <v>Cây thiên tuế giống mới trồng</v>
          </cell>
          <cell r="B197" t="str">
            <v>Đồng/cây</v>
          </cell>
          <cell r="C197">
            <v>15000</v>
          </cell>
        </row>
        <row r="198">
          <cell r="A198" t="str">
            <v>Cây thiên tuế chiều cao cây H &lt; 15 cm</v>
          </cell>
          <cell r="B198" t="str">
            <v>Đồng/cây</v>
          </cell>
          <cell r="C198">
            <v>60000</v>
          </cell>
        </row>
        <row r="199">
          <cell r="A199" t="str">
            <v>Cây thiên tuế chiều cao cây 15 cm &lt; H ≤ 30 cm</v>
          </cell>
          <cell r="B199" t="str">
            <v>Đồng/cây</v>
          </cell>
          <cell r="C199">
            <v>120000</v>
          </cell>
        </row>
        <row r="200">
          <cell r="A200" t="str">
            <v>Cây thiên tuế chiều cao cây 30 cm &lt; H ≤ 45 cm</v>
          </cell>
          <cell r="B200" t="str">
            <v>Đồng/cây</v>
          </cell>
          <cell r="C200">
            <v>250000</v>
          </cell>
        </row>
        <row r="201">
          <cell r="A201" t="str">
            <v>Cây thiên tuế chiều cao cây 45 cm &lt; H ≤ 60 cm</v>
          </cell>
          <cell r="B201" t="str">
            <v>Đồng/cây</v>
          </cell>
          <cell r="C201">
            <v>340000</v>
          </cell>
        </row>
        <row r="202">
          <cell r="A202" t="str">
            <v>Cây thiên tuế chiều cao cây 60 cm &lt; H ≤ 75 cm</v>
          </cell>
          <cell r="B202" t="str">
            <v>Đồng/cây</v>
          </cell>
          <cell r="C202">
            <v>780000</v>
          </cell>
        </row>
        <row r="203">
          <cell r="A203" t="str">
            <v>Cây thiên tuế chiều cao cây H &gt; 75 cm</v>
          </cell>
          <cell r="B203" t="str">
            <v>Đồng/cây</v>
          </cell>
          <cell r="C203">
            <v>1200000</v>
          </cell>
        </row>
        <row r="204">
          <cell r="A204" t="str">
            <v>Cây thiết mộc lan</v>
          </cell>
          <cell r="C204">
            <v>0</v>
          </cell>
        </row>
        <row r="205">
          <cell r="A205" t="str">
            <v>Cây thiết mộc lan giống mới trồng</v>
          </cell>
          <cell r="B205" t="str">
            <v>Đồng/cây</v>
          </cell>
          <cell r="C205">
            <v>8000</v>
          </cell>
        </row>
        <row r="206">
          <cell r="A206" t="str">
            <v>Cây thiết mộc lan chiều cao cây H ≤ 15 cm</v>
          </cell>
          <cell r="B206" t="str">
            <v>Đồng/cây</v>
          </cell>
          <cell r="C206">
            <v>35000</v>
          </cell>
        </row>
        <row r="207">
          <cell r="A207" t="str">
            <v>Cây thiết mộc lan chiều cao cây 15 cm &lt; H ≤ 70 cm</v>
          </cell>
          <cell r="B207" t="str">
            <v>Đồng/cây</v>
          </cell>
          <cell r="C207">
            <v>65000</v>
          </cell>
        </row>
        <row r="208">
          <cell r="A208" t="str">
            <v>Cây thiết mộc lan chiều cao cây 70 cm &lt; H ≤ 100 cm</v>
          </cell>
          <cell r="B208" t="str">
            <v>Đồng/cây</v>
          </cell>
          <cell r="C208">
            <v>150000</v>
          </cell>
        </row>
        <row r="209">
          <cell r="A209" t="str">
            <v>Cây thiết mộc lan chiều cao cây H &gt; 100 cm</v>
          </cell>
          <cell r="B209" t="str">
            <v>Đồng/cây</v>
          </cell>
          <cell r="C209">
            <v>300000</v>
          </cell>
        </row>
        <row r="210">
          <cell r="A210" t="str">
            <v>Cây trúc anh đào</v>
          </cell>
          <cell r="C210">
            <v>0</v>
          </cell>
        </row>
        <row r="211">
          <cell r="A211" t="str">
            <v>Cây trúc anh đào giống mới trồng</v>
          </cell>
          <cell r="B211" t="str">
            <v>Đồng/cây</v>
          </cell>
          <cell r="C211">
            <v>12000</v>
          </cell>
        </row>
        <row r="212">
          <cell r="A212" t="str">
            <v>Cây trúc anh đào chiều cao cây H &lt; 15 cm</v>
          </cell>
          <cell r="B212" t="str">
            <v>Đồng/cây</v>
          </cell>
          <cell r="C212">
            <v>40000</v>
          </cell>
        </row>
        <row r="213">
          <cell r="A213" t="str">
            <v>Cây trúc anh đào chiều cao cây 15 cm ≤ H &lt;  30 cm</v>
          </cell>
          <cell r="B213" t="str">
            <v>Đồng/cây</v>
          </cell>
          <cell r="C213">
            <v>100000</v>
          </cell>
        </row>
        <row r="214">
          <cell r="A214" t="str">
            <v>Cây trúc anh đào chiều cao cây 30 cm ≤ H &lt; 70 cm</v>
          </cell>
          <cell r="B214" t="str">
            <v>Đồng/cây</v>
          </cell>
          <cell r="C214">
            <v>200000</v>
          </cell>
        </row>
        <row r="215">
          <cell r="A215" t="str">
            <v>Cây trúc anh đào chiều cao cây 70 cm ≤ H &lt; 100 cm</v>
          </cell>
          <cell r="B215" t="str">
            <v>Đồng/cây</v>
          </cell>
          <cell r="C215">
            <v>300000</v>
          </cell>
        </row>
        <row r="216">
          <cell r="A216" t="str">
            <v>Cây trúc anh đào chiều cao cây H ≥ 100 cm</v>
          </cell>
          <cell r="B216" t="str">
            <v>Đồng/cây</v>
          </cell>
          <cell r="C216">
            <v>400000</v>
          </cell>
        </row>
        <row r="217">
          <cell r="A217" t="str">
            <v>Cây lá màu</v>
          </cell>
          <cell r="C217">
            <v>0</v>
          </cell>
        </row>
        <row r="218">
          <cell r="A218" t="str">
            <v>Cây lá màu giống mới trồng</v>
          </cell>
          <cell r="B218" t="str">
            <v>Đồng/cây</v>
          </cell>
          <cell r="C218">
            <v>5000</v>
          </cell>
        </row>
        <row r="219">
          <cell r="A219" t="str">
            <v>Cây lá màu chiều cao cây H &lt; 15 cm</v>
          </cell>
          <cell r="B219" t="str">
            <v>Đồng/cây</v>
          </cell>
          <cell r="C219">
            <v>10000</v>
          </cell>
        </row>
        <row r="220">
          <cell r="A220" t="str">
            <v>Cây lá màu chiều cao cây 15 cm &lt; H ≤ 30 cm</v>
          </cell>
          <cell r="B220" t="str">
            <v>Đồng/cây</v>
          </cell>
          <cell r="C220">
            <v>15000</v>
          </cell>
        </row>
        <row r="221">
          <cell r="A221" t="str">
            <v>Cây lá màu chiều cao cây 30 cm &lt; H ≤ 45 cm</v>
          </cell>
          <cell r="B221" t="str">
            <v>Đồng/cây</v>
          </cell>
          <cell r="C221">
            <v>17000</v>
          </cell>
        </row>
        <row r="222">
          <cell r="A222" t="str">
            <v>Cây lá màu chiều cao cây 45 cm &lt; H ≤ 60 cm</v>
          </cell>
          <cell r="B222" t="str">
            <v>Đồng/cây</v>
          </cell>
          <cell r="C222">
            <v>22000</v>
          </cell>
        </row>
        <row r="223">
          <cell r="A223" t="str">
            <v>Cây lá màu chiều cao cây 60 cm &lt; H ≤ 75 cm</v>
          </cell>
          <cell r="B223" t="str">
            <v>Đồng/cây</v>
          </cell>
          <cell r="C223">
            <v>27000</v>
          </cell>
        </row>
        <row r="224">
          <cell r="A224" t="str">
            <v>Cây lá màu chiều cao cây 75 cm &lt; H ≤ 90 cm</v>
          </cell>
          <cell r="B224" t="str">
            <v>Đồng/cây</v>
          </cell>
          <cell r="C224">
            <v>32000</v>
          </cell>
        </row>
        <row r="225">
          <cell r="A225" t="str">
            <v>Cây lá màu chiều cao cây 90 cm &lt; H ≤ 150 cm</v>
          </cell>
          <cell r="B225" t="str">
            <v>Đồng/cây</v>
          </cell>
          <cell r="C225">
            <v>45000</v>
          </cell>
        </row>
        <row r="226">
          <cell r="A226" t="str">
            <v>Cây lá màu chiều cao cây H &gt; 150 cm</v>
          </cell>
          <cell r="B226" t="str">
            <v>Đồng/cây</v>
          </cell>
          <cell r="C226">
            <v>75000</v>
          </cell>
        </row>
        <row r="227">
          <cell r="A227" t="str">
            <v>Cây đinh lăng</v>
          </cell>
          <cell r="C227">
            <v>0</v>
          </cell>
        </row>
        <row r="228">
          <cell r="A228" t="str">
            <v>Cây đinh lăng giống mới trồng</v>
          </cell>
          <cell r="B228" t="str">
            <v>Đồng/cây</v>
          </cell>
          <cell r="C228">
            <v>7000</v>
          </cell>
        </row>
        <row r="229">
          <cell r="A229" t="str">
            <v>Cây đinh lăng chiều cao cây H ≤ 15 cm</v>
          </cell>
          <cell r="B229" t="str">
            <v>Đồng/cây</v>
          </cell>
          <cell r="C229">
            <v>20000</v>
          </cell>
        </row>
        <row r="230">
          <cell r="A230" t="str">
            <v>Cây đinh lăng chiều cao cây 15 cm &lt; H ≤ 30 cm</v>
          </cell>
          <cell r="B230" t="str">
            <v>Đồng/cây</v>
          </cell>
          <cell r="C230">
            <v>40000</v>
          </cell>
        </row>
        <row r="231">
          <cell r="A231" t="str">
            <v>Cây đinh lăng chiều cao cây 30 cm &lt; H ≤ 60 cm</v>
          </cell>
          <cell r="B231" t="str">
            <v>Đồng/cây</v>
          </cell>
          <cell r="C231">
            <v>70000</v>
          </cell>
        </row>
        <row r="232">
          <cell r="A232" t="str">
            <v>Cây đinh lăng chiều cao cây H &gt; 60 cm</v>
          </cell>
          <cell r="B232" t="str">
            <v>Đồng/cây</v>
          </cell>
          <cell r="C232">
            <v>100000</v>
          </cell>
        </row>
        <row r="233">
          <cell r="A233" t="str">
            <v>Cây đào cảnh</v>
          </cell>
          <cell r="C233">
            <v>0</v>
          </cell>
        </row>
        <row r="234">
          <cell r="A234" t="str">
            <v>Cây đào cảnh giống mới trồng</v>
          </cell>
          <cell r="B234" t="str">
            <v>Đồng/cây</v>
          </cell>
          <cell r="C234">
            <v>20000</v>
          </cell>
        </row>
        <row r="235">
          <cell r="A235" t="str">
            <v>Cây đào cảnh chiều cao cây H ≤ 150 cm</v>
          </cell>
          <cell r="B235" t="str">
            <v>Đồng/cây</v>
          </cell>
          <cell r="C235">
            <v>100000</v>
          </cell>
        </row>
        <row r="236">
          <cell r="A236" t="str">
            <v>Cây đào cảnh chiều cao cây 150 cm &lt; H ≤ 200 cm</v>
          </cell>
          <cell r="B236" t="str">
            <v>Đồng/cây</v>
          </cell>
          <cell r="C236">
            <v>200000</v>
          </cell>
        </row>
        <row r="237">
          <cell r="A237" t="str">
            <v>Cây đào cảnh chiều cao cây H &gt; 200 cm</v>
          </cell>
          <cell r="B237" t="str">
            <v>Đồng/cây</v>
          </cell>
          <cell r="C237">
            <v>350000</v>
          </cell>
        </row>
        <row r="238">
          <cell r="A238" t="str">
            <v>Cây mai trắng</v>
          </cell>
          <cell r="C238">
            <v>0</v>
          </cell>
        </row>
        <row r="239">
          <cell r="A239" t="str">
            <v>Cây mai trắng chiều cao cây H ≤ 70 cm</v>
          </cell>
          <cell r="B239" t="str">
            <v>Đồng/cây</v>
          </cell>
          <cell r="C239">
            <v>30000</v>
          </cell>
        </row>
        <row r="240">
          <cell r="A240" t="str">
            <v>Cây mai trắng chiều cao cây 70 cm &lt; H ≤ 100 cm</v>
          </cell>
          <cell r="B240" t="str">
            <v>Đồng/cây</v>
          </cell>
          <cell r="C240">
            <v>65000</v>
          </cell>
        </row>
        <row r="241">
          <cell r="A241" t="str">
            <v>Cây mai trắng chiều cao cây 100 cm &lt; H ≤ 150 cm</v>
          </cell>
          <cell r="B241" t="str">
            <v>Đồng/cây</v>
          </cell>
          <cell r="C241">
            <v>100000</v>
          </cell>
        </row>
        <row r="242">
          <cell r="A242" t="str">
            <v>Cây mai trắng chiều cao cây H &gt; 150 cm</v>
          </cell>
          <cell r="B242" t="str">
            <v>Đồng/cây</v>
          </cell>
          <cell r="C242">
            <v>250000</v>
          </cell>
        </row>
        <row r="243">
          <cell r="A243" t="str">
            <v>Cây bạch thiên hương, bạch ngọc anh</v>
          </cell>
          <cell r="C243">
            <v>0</v>
          </cell>
        </row>
        <row r="244">
          <cell r="A244" t="str">
            <v>Cây bạch thiên hương, bạch ngọc anh chiều cao cây H ≤ 100 cm</v>
          </cell>
          <cell r="B244" t="str">
            <v>Đồng/cây</v>
          </cell>
          <cell r="C244">
            <v>30000</v>
          </cell>
        </row>
        <row r="245">
          <cell r="A245" t="str">
            <v>Cây bạch thiên hương, bạch ngọc anh chiều cao cây H &gt; 100 cm</v>
          </cell>
          <cell r="B245" t="str">
            <v>Đồng/cây</v>
          </cell>
          <cell r="C245">
            <v>40000</v>
          </cell>
        </row>
        <row r="246">
          <cell r="A246" t="str">
            <v>Cây trạng nguyên</v>
          </cell>
          <cell r="C246">
            <v>0</v>
          </cell>
        </row>
        <row r="247">
          <cell r="A247" t="str">
            <v>Cây trạng nguyên chiều cao cây H ≤ 100 cm</v>
          </cell>
          <cell r="B247" t="str">
            <v>Đồng/cây</v>
          </cell>
          <cell r="C247">
            <v>30000</v>
          </cell>
        </row>
        <row r="248">
          <cell r="A248" t="str">
            <v>Cây trạng nguyên chiều cao cây H &gt; 100 cm</v>
          </cell>
          <cell r="B248" t="str">
            <v>Đồng/cây</v>
          </cell>
          <cell r="C248">
            <v>45000</v>
          </cell>
        </row>
        <row r="249">
          <cell r="A249" t="str">
            <v>Cây ngô đồng cảnh</v>
          </cell>
          <cell r="C249">
            <v>0</v>
          </cell>
        </row>
        <row r="250">
          <cell r="A250" t="str">
            <v>Cây ngô đồng cảnh chiều cao cây H ≤ 50 cm</v>
          </cell>
          <cell r="B250" t="str">
            <v>Đồng/cây</v>
          </cell>
          <cell r="C250">
            <v>7000</v>
          </cell>
        </row>
        <row r="251">
          <cell r="A251" t="str">
            <v>Cây ngô đồng cảnh chiều cao cây H &gt; 50 cm</v>
          </cell>
          <cell r="B251" t="str">
            <v>Đồng/cây</v>
          </cell>
          <cell r="C251">
            <v>12000</v>
          </cell>
        </row>
        <row r="252">
          <cell r="A252" t="str">
            <v>Cây agao sọc</v>
          </cell>
          <cell r="C252">
            <v>0</v>
          </cell>
        </row>
        <row r="253">
          <cell r="A253" t="str">
            <v>Cây agao sọc chiều cao cây H ≤ 50 cm</v>
          </cell>
          <cell r="B253" t="str">
            <v>Đồng/cây</v>
          </cell>
          <cell r="C253">
            <v>42000</v>
          </cell>
        </row>
        <row r="254">
          <cell r="A254" t="str">
            <v>Cây agao sọc chiều cao cây H &gt; 50 cm</v>
          </cell>
          <cell r="B254" t="str">
            <v>Đồng/cây</v>
          </cell>
          <cell r="C254">
            <v>70000</v>
          </cell>
        </row>
        <row r="255">
          <cell r="A255" t="str">
            <v>Cây nguyệt quế</v>
          </cell>
          <cell r="C255">
            <v>0</v>
          </cell>
        </row>
        <row r="256">
          <cell r="A256" t="str">
            <v>Cây nguyệt quế chiều cao cây H ≤ 100 cm</v>
          </cell>
          <cell r="B256" t="str">
            <v>Đồng/cây</v>
          </cell>
          <cell r="C256">
            <v>60000</v>
          </cell>
        </row>
        <row r="257">
          <cell r="A257" t="str">
            <v>Cây nguyệt quế chiều cao cây 100 cm &lt; H ≤ 200 cm</v>
          </cell>
          <cell r="B257" t="str">
            <v>Đồng/cây</v>
          </cell>
          <cell r="C257">
            <v>100000</v>
          </cell>
        </row>
        <row r="258">
          <cell r="A258" t="str">
            <v>Cây nguyệt quế chiều cao cây H &gt; 200 cm</v>
          </cell>
          <cell r="B258" t="str">
            <v>Đồng/cây</v>
          </cell>
          <cell r="C258">
            <v>150000</v>
          </cell>
        </row>
        <row r="259">
          <cell r="A259" t="str">
            <v>Cây huyết dụ</v>
          </cell>
          <cell r="C259">
            <v>0</v>
          </cell>
        </row>
        <row r="260">
          <cell r="A260" t="str">
            <v>Cây huyết dụ giống mới trồng</v>
          </cell>
          <cell r="B260" t="str">
            <v>Đồng/cây</v>
          </cell>
          <cell r="C260">
            <v>6000</v>
          </cell>
        </row>
        <row r="261">
          <cell r="A261" t="str">
            <v>Cây huyết dụ chiều cao cây H ≤ 60 cm</v>
          </cell>
          <cell r="B261" t="str">
            <v>Đồng/cây</v>
          </cell>
          <cell r="C261">
            <v>10000</v>
          </cell>
        </row>
        <row r="262">
          <cell r="A262" t="str">
            <v>Cây huyết dụ chiều cao cây H &gt; 60 cm</v>
          </cell>
          <cell r="B262" t="str">
            <v>Đồng/cây</v>
          </cell>
          <cell r="C262">
            <v>25000</v>
          </cell>
        </row>
        <row r="263">
          <cell r="A263" t="str">
            <v>Cây măng cảnh</v>
          </cell>
          <cell r="C263">
            <v>0</v>
          </cell>
        </row>
        <row r="264">
          <cell r="A264" t="str">
            <v>Cây măng cảnh chiều cao cây H ≤ 50 cm</v>
          </cell>
          <cell r="B264" t="str">
            <v>Đồng/khóm</v>
          </cell>
          <cell r="C264">
            <v>8000</v>
          </cell>
        </row>
        <row r="265">
          <cell r="A265" t="str">
            <v>Cây măng cảnh chiều cao cây H &gt; 50 cm</v>
          </cell>
          <cell r="B265" t="str">
            <v>Đồng/khóm</v>
          </cell>
          <cell r="C265">
            <v>10000</v>
          </cell>
        </row>
        <row r="266">
          <cell r="A266" t="str">
            <v>Cây chuối</v>
          </cell>
          <cell r="C266">
            <v>0</v>
          </cell>
        </row>
        <row r="267">
          <cell r="A267" t="str">
            <v>Cây chuối giống mới trồng</v>
          </cell>
          <cell r="B267" t="str">
            <v>Đồng/cây</v>
          </cell>
          <cell r="C267">
            <v>20000</v>
          </cell>
        </row>
        <row r="268">
          <cell r="A268" t="str">
            <v>Cây chuối chiều cao cây H ≤ 120cm</v>
          </cell>
          <cell r="B268" t="str">
            <v>Đồng/cây</v>
          </cell>
          <cell r="C268">
            <v>40000</v>
          </cell>
        </row>
        <row r="269">
          <cell r="A269" t="str">
            <v>Cây chuối chiều cao cây H &gt; 120cm</v>
          </cell>
          <cell r="B269" t="str">
            <v>Đồng/cây</v>
          </cell>
          <cell r="C269">
            <v>70000</v>
          </cell>
        </row>
        <row r="270">
          <cell r="A270" t="str">
            <v>Cây chuối có quả</v>
          </cell>
          <cell r="B270" t="str">
            <v>Đồng/cây</v>
          </cell>
          <cell r="C270">
            <v>200000</v>
          </cell>
        </row>
        <row r="271">
          <cell r="A271" t="str">
            <v>Cây khổ sâm</v>
          </cell>
          <cell r="C271">
            <v>0</v>
          </cell>
        </row>
        <row r="272">
          <cell r="A272" t="str">
            <v>Cây khổ sâm giống</v>
          </cell>
          <cell r="B272" t="str">
            <v>Đồng/cây</v>
          </cell>
          <cell r="C272">
            <v>8000</v>
          </cell>
        </row>
        <row r="273">
          <cell r="A273" t="str">
            <v>Cây khổ sâm chiều cao cây H ≤ 100 cm</v>
          </cell>
          <cell r="B273" t="str">
            <v>Đồng/cây</v>
          </cell>
          <cell r="C273">
            <v>45000</v>
          </cell>
        </row>
        <row r="274">
          <cell r="A274" t="str">
            <v>Cây khổ sâm chiều cao cây H &gt; 100 cm</v>
          </cell>
          <cell r="B274" t="str">
            <v>Đồng/cây</v>
          </cell>
          <cell r="C274">
            <v>85000</v>
          </cell>
        </row>
        <row r="275">
          <cell r="A275" t="str">
            <v>Cây hoa phù dung, dã quỳ</v>
          </cell>
          <cell r="C275">
            <v>0</v>
          </cell>
        </row>
        <row r="276">
          <cell r="A276" t="str">
            <v>Cây hoa phù dung, dã quỳ giống mới trồng</v>
          </cell>
          <cell r="B276" t="str">
            <v>Đồng/cây</v>
          </cell>
          <cell r="C276">
            <v>10000</v>
          </cell>
        </row>
        <row r="277">
          <cell r="A277" t="str">
            <v>Cây hoa phù dung, dã quỳ chiều cao cây H ≤ 100 cm</v>
          </cell>
          <cell r="B277" t="str">
            <v>Đồng/cây</v>
          </cell>
          <cell r="C277">
            <v>50000</v>
          </cell>
        </row>
        <row r="278">
          <cell r="A278" t="str">
            <v>Cây hoa phù dung, dã quỳ chiều cao cây H &gt; 100 cm</v>
          </cell>
          <cell r="B278" t="str">
            <v>Đồng/cây</v>
          </cell>
          <cell r="C278">
            <v>80000</v>
          </cell>
        </row>
        <row r="279">
          <cell r="A279" t="str">
            <v>Cây lam tiền (lan tuyết)</v>
          </cell>
          <cell r="C279">
            <v>0</v>
          </cell>
        </row>
        <row r="280">
          <cell r="A280" t="str">
            <v>Cây lam tiền (lan tuyết) giống mới trồng</v>
          </cell>
          <cell r="B280" t="str">
            <v>Đồng/cây</v>
          </cell>
          <cell r="C280">
            <v>8000</v>
          </cell>
        </row>
        <row r="281">
          <cell r="A281" t="str">
            <v>Cây lam tiền (lan tuyết) chiều cao cây H ≤ 50 cm</v>
          </cell>
          <cell r="B281" t="str">
            <v>Đồng/cây</v>
          </cell>
          <cell r="C281">
            <v>35000</v>
          </cell>
        </row>
        <row r="282">
          <cell r="A282" t="str">
            <v>Cây lam tiền (lan tuyết) chiều cao cây H &gt; 50 cm</v>
          </cell>
          <cell r="B282" t="str">
            <v>Đồng/cây</v>
          </cell>
          <cell r="C282">
            <v>75000</v>
          </cell>
        </row>
        <row r="283">
          <cell r="A283" t="str">
            <v>Cây ngọc lan</v>
          </cell>
          <cell r="C283">
            <v>0</v>
          </cell>
        </row>
        <row r="284">
          <cell r="A284" t="str">
            <v>Cây ngọc lan giống mới trồng</v>
          </cell>
          <cell r="B284" t="str">
            <v>Đồng/cây</v>
          </cell>
          <cell r="C284">
            <v>10000</v>
          </cell>
        </row>
        <row r="285">
          <cell r="A285" t="str">
            <v>Cây ngọc lan chiều cao cây H &lt; 15 cm</v>
          </cell>
          <cell r="B285" t="str">
            <v>Đồng/cây</v>
          </cell>
          <cell r="C285">
            <v>20000</v>
          </cell>
        </row>
        <row r="286">
          <cell r="A286" t="str">
            <v>Cây ngọc lan chiều cao cây 15 cm ≤ H &lt; 30 cm</v>
          </cell>
          <cell r="B286" t="str">
            <v>Đồng/cây</v>
          </cell>
          <cell r="C286">
            <v>30000</v>
          </cell>
        </row>
        <row r="287">
          <cell r="A287" t="str">
            <v>Cây ngọc lan chiều cao cây 30 cm ≤ H &lt; 45 cm</v>
          </cell>
          <cell r="B287" t="str">
            <v>Đồng/cây</v>
          </cell>
          <cell r="C287">
            <v>40000</v>
          </cell>
        </row>
        <row r="288">
          <cell r="A288" t="str">
            <v>Cây ngọc lan chiều cao cây 45 cm ≤ H &lt; 60 cm</v>
          </cell>
          <cell r="B288" t="str">
            <v>Đồng/cây</v>
          </cell>
          <cell r="C288">
            <v>60000</v>
          </cell>
        </row>
        <row r="289">
          <cell r="A289" t="str">
            <v>Cây ngọc lan chiều cao cây 60 cm ≤ H &lt; 75 cm</v>
          </cell>
          <cell r="B289" t="str">
            <v>Đồng/cây</v>
          </cell>
          <cell r="C289">
            <v>90000</v>
          </cell>
        </row>
        <row r="290">
          <cell r="A290" t="str">
            <v>Cây ngọc lan chiều cao cây 75 cm ≤ H &lt; 90 cm</v>
          </cell>
          <cell r="B290" t="str">
            <v>Đồng/cây</v>
          </cell>
          <cell r="C290">
            <v>120000</v>
          </cell>
        </row>
        <row r="291">
          <cell r="A291" t="str">
            <v>Cây ngọc lan chiều cao cây 90 cm ≤ H &lt; 150 cm</v>
          </cell>
          <cell r="B291" t="str">
            <v>Đồng/cây</v>
          </cell>
          <cell r="C291">
            <v>200000</v>
          </cell>
        </row>
        <row r="292">
          <cell r="A292" t="str">
            <v>Cây ngọc lan chiều cao cây 150 cm ≤ H &lt; 250 cm</v>
          </cell>
          <cell r="B292" t="str">
            <v>Đồng/cây</v>
          </cell>
          <cell r="C292">
            <v>400000</v>
          </cell>
        </row>
        <row r="293">
          <cell r="A293" t="str">
            <v>Cây ngọc lan chiều cao cây H ≥ 250 cm</v>
          </cell>
          <cell r="B293" t="str">
            <v>Đồng/cây</v>
          </cell>
          <cell r="C293">
            <v>850000</v>
          </cell>
        </row>
        <row r="294">
          <cell r="A294" t="str">
            <v>Cây hoàng lan, ngọc lan</v>
          </cell>
          <cell r="C294">
            <v>0</v>
          </cell>
        </row>
        <row r="295">
          <cell r="A295" t="str">
            <v>Cây hoàng lan giống mới trồng</v>
          </cell>
          <cell r="B295" t="str">
            <v>Đồng/cây</v>
          </cell>
          <cell r="C295">
            <v>10000</v>
          </cell>
        </row>
        <row r="296">
          <cell r="A296" t="str">
            <v>Cây hoàng lan chiều cao cây H &lt; 15 cm</v>
          </cell>
          <cell r="B296" t="str">
            <v>Đồng/cây</v>
          </cell>
          <cell r="C296">
            <v>20000</v>
          </cell>
        </row>
        <row r="297">
          <cell r="A297" t="str">
            <v>Cây hoàng lan chiều cao cây 15 cm ≤ H &lt; 30 cm</v>
          </cell>
          <cell r="B297" t="str">
            <v>Đồng/cây</v>
          </cell>
          <cell r="C297">
            <v>30000</v>
          </cell>
        </row>
        <row r="298">
          <cell r="A298" t="str">
            <v>Cây hoàng lan chiều cao cây 30 cm ≤ H &lt; 45 cm</v>
          </cell>
          <cell r="B298" t="str">
            <v>Đồng/cây</v>
          </cell>
          <cell r="C298">
            <v>40000</v>
          </cell>
        </row>
        <row r="299">
          <cell r="A299" t="str">
            <v>Cây hoàng lan chiều cao cây 45 cm ≤ H &lt; 60 cm</v>
          </cell>
          <cell r="B299" t="str">
            <v>Đồng/cây</v>
          </cell>
          <cell r="C299">
            <v>60000</v>
          </cell>
        </row>
        <row r="300">
          <cell r="A300" t="str">
            <v>Cây hoàng lan chiều cao cây 60 cm ≤ H &lt; 75 cm</v>
          </cell>
          <cell r="B300" t="str">
            <v>Đồng/cây</v>
          </cell>
          <cell r="C300">
            <v>90000</v>
          </cell>
        </row>
        <row r="301">
          <cell r="A301" t="str">
            <v>Cây hoàng lan chiều cao cây 75 cm ≤ H &lt; 90 cm</v>
          </cell>
          <cell r="B301" t="str">
            <v>Đồng/cây</v>
          </cell>
          <cell r="C301">
            <v>120000</v>
          </cell>
        </row>
        <row r="302">
          <cell r="A302" t="str">
            <v>Cây hoàng lan chiều cao cây 90 cm ≤ H &lt; 150 cm</v>
          </cell>
          <cell r="B302" t="str">
            <v>Đồng/cây</v>
          </cell>
          <cell r="C302">
            <v>200000</v>
          </cell>
        </row>
        <row r="303">
          <cell r="A303" t="str">
            <v>Cây hoàng lan chiều cao cây 150 cm ≤ H &lt; 250 cm</v>
          </cell>
          <cell r="B303" t="str">
            <v>Đồng/cây</v>
          </cell>
          <cell r="C303">
            <v>400000</v>
          </cell>
        </row>
        <row r="304">
          <cell r="A304" t="str">
            <v>Cây hoàng lan chiều cao cây H ≥ 250 cm</v>
          </cell>
          <cell r="B304" t="str">
            <v>Đồng/cây</v>
          </cell>
          <cell r="C304">
            <v>850000</v>
          </cell>
        </row>
        <row r="305">
          <cell r="A305" t="str">
            <v>Cây Chùm ngây</v>
          </cell>
          <cell r="C305">
            <v>0</v>
          </cell>
        </row>
        <row r="306">
          <cell r="A306" t="str">
            <v>Cây Chùm ngây giống mới trồng</v>
          </cell>
          <cell r="B306" t="str">
            <v>Đồng/cây</v>
          </cell>
          <cell r="C306">
            <v>10000</v>
          </cell>
        </row>
        <row r="307">
          <cell r="A307" t="str">
            <v>Cây Chùm ngây chiều cao cây H ≤ 100 cm</v>
          </cell>
          <cell r="B307" t="str">
            <v>Đồng/cây</v>
          </cell>
          <cell r="C307">
            <v>35000</v>
          </cell>
        </row>
        <row r="308">
          <cell r="A308" t="str">
            <v>Cây Chùm ngây chiều cao cây 100 &lt; H ≤ 150 cm</v>
          </cell>
          <cell r="B308" t="str">
            <v>Đồng/cây</v>
          </cell>
          <cell r="C308">
            <v>55000</v>
          </cell>
        </row>
        <row r="309">
          <cell r="A309" t="str">
            <v>Cây Chùm ngây chiều cao cây H &gt; 150 cm</v>
          </cell>
          <cell r="B309" t="str">
            <v>Đồng/cây</v>
          </cell>
          <cell r="C309">
            <v>95000</v>
          </cell>
        </row>
        <row r="310">
          <cell r="A310" t="str">
            <v>NHÓM CÂY TÍNH THEO ĐƯỜNG KÍNH THÂN, GÔC</v>
          </cell>
        </row>
        <row r="311">
          <cell r="A311" t="str">
            <v>Cây bưởi, bòng</v>
          </cell>
        </row>
        <row r="312">
          <cell r="A312" t="str">
            <v>Cây giống đủ tiêu chuẩn mới trồng</v>
          </cell>
        </row>
        <row r="313">
          <cell r="A313" t="str">
            <v>Cây bưởi, bòng giống loại cây ghép có chiều cao cây 40cm ≤ H &lt; 1m</v>
          </cell>
          <cell r="B313" t="str">
            <v>Đồng/cây</v>
          </cell>
          <cell r="C313" t="str">
            <v>25.000</v>
          </cell>
        </row>
        <row r="314">
          <cell r="A314" t="str">
            <v>Cây bưởi, bòng giống loại cây ghép có chiều cao cây H ≥ 1m</v>
          </cell>
          <cell r="B314" t="str">
            <v>Đồng/cây</v>
          </cell>
          <cell r="C314" t="str">
            <v>30.000</v>
          </cell>
        </row>
        <row r="315">
          <cell r="A315" t="str">
            <v>Cây bưởi, bòng giống loại cây chiết cành có chiều cao 40cm ≤ H &lt; 1m</v>
          </cell>
          <cell r="B315" t="str">
            <v>Đồng/cây</v>
          </cell>
          <cell r="C315" t="str">
            <v>40.000</v>
          </cell>
        </row>
        <row r="316">
          <cell r="A316" t="str">
            <v>Cây bưởi, bòng giống loại cây chiết cành có chiều cao cây H ≥ 1m</v>
          </cell>
          <cell r="B316" t="str">
            <v>Đồng/cây</v>
          </cell>
          <cell r="C316" t="str">
            <v>40.000</v>
          </cell>
        </row>
        <row r="317">
          <cell r="A317" t="str">
            <v>Cây bưởi, bòng ĐK thân ≤ 5 cm</v>
          </cell>
          <cell r="B317" t="str">
            <v>Đông/cây</v>
          </cell>
          <cell r="C317" t="str">
            <v>87.000</v>
          </cell>
        </row>
        <row r="318">
          <cell r="A318" t="str">
            <v>Cây bưởi, bòng đường kính thân 5 cm &lt; ĐK thân ≤ 10 cm</v>
          </cell>
          <cell r="B318" t="str">
            <v>Đồng/cây</v>
          </cell>
          <cell r="C318" t="str">
            <v>162.000</v>
          </cell>
        </row>
        <row r="319">
          <cell r="A319" t="str">
            <v>Cây bưởi, bòng đường kính thân 10 cm &lt; ĐK thân ≤ 15 cm</v>
          </cell>
          <cell r="B319" t="str">
            <v>Đồng/cây</v>
          </cell>
          <cell r="C319" t="str">
            <v>274.000</v>
          </cell>
        </row>
        <row r="320">
          <cell r="A320" t="str">
            <v>Cây bưởi, bòng đường kính thân 15 cm &lt; ĐK thân ≤ 20 cm</v>
          </cell>
          <cell r="B320" t="str">
            <v>Đồng/cây</v>
          </cell>
          <cell r="C320" t="str">
            <v>398.000</v>
          </cell>
        </row>
        <row r="321">
          <cell r="A321" t="str">
            <v>Cây bưởi, bòng đường kính thân 20 cm &lt; ĐK thân ≤ 25 cm</v>
          </cell>
          <cell r="B321" t="str">
            <v>Đồng/cây</v>
          </cell>
          <cell r="C321" t="str">
            <v>523.000</v>
          </cell>
        </row>
        <row r="322">
          <cell r="A322" t="str">
            <v>Cây bưởi, bòng đường kính thân 25 cm &lt; ĐK thân ≤ 30 cm</v>
          </cell>
          <cell r="B322" t="str">
            <v>Đồng/cây</v>
          </cell>
          <cell r="C322" t="str">
            <v>970.000</v>
          </cell>
        </row>
        <row r="323">
          <cell r="A323" t="str">
            <v>Cây bưởi, bòng đường kính thân 30 cm &lt; ĐK thân ≤ 40 cm</v>
          </cell>
          <cell r="B323" t="str">
            <v>Đồng/cây</v>
          </cell>
          <cell r="C323" t="str">
            <v>2.240.000</v>
          </cell>
        </row>
        <row r="324">
          <cell r="A324" t="str">
            <v>Cây bưởi, bòng ĐK thân &gt; 40 cm</v>
          </cell>
          <cell r="B324" t="str">
            <v>Đồng/cây</v>
          </cell>
          <cell r="C324" t="str">
            <v>2.862.000</v>
          </cell>
        </row>
        <row r="325">
          <cell r="A325" t="str">
            <v>Cây mít</v>
          </cell>
        </row>
        <row r="326">
          <cell r="A326" t="str">
            <v>Cây mít giống đủ tiêu chuẩn mới trồng</v>
          </cell>
          <cell r="B326" t="str">
            <v>Đồng/cây</v>
          </cell>
          <cell r="C326" t="str">
            <v>10.000</v>
          </cell>
        </row>
        <row r="327">
          <cell r="A327" t="str">
            <v>Cây mít ĐK thân ≤ 5 cm</v>
          </cell>
          <cell r="B327" t="str">
            <v>Đồng/cây</v>
          </cell>
          <cell r="C327" t="str">
            <v>149.000</v>
          </cell>
        </row>
        <row r="328">
          <cell r="A328" t="str">
            <v>Cây mít đường kính thân 5 cm &lt; ĐK thân ≤ 10 cm</v>
          </cell>
          <cell r="B328" t="str">
            <v>Đồng/cây</v>
          </cell>
          <cell r="C328" t="str">
            <v>398.000</v>
          </cell>
        </row>
        <row r="329">
          <cell r="A329" t="str">
            <v>Cây mít đường kính thân 10 cm &lt; ĐK thân ≤ 15 cm</v>
          </cell>
          <cell r="B329" t="str">
            <v>Đồng/cây</v>
          </cell>
          <cell r="C329" t="str">
            <v>1.493.000</v>
          </cell>
        </row>
        <row r="330">
          <cell r="A330" t="str">
            <v>Cây mít đường kính thân 15 cm &lt; ĐK thân ≤ 20 cm</v>
          </cell>
          <cell r="B330" t="str">
            <v>Đồng/cây</v>
          </cell>
          <cell r="C330" t="str">
            <v>3.111.000</v>
          </cell>
        </row>
        <row r="331">
          <cell r="A331" t="str">
            <v>Cây mít đường kính thân 20 cm &lt; ĐK thân ≤ 30 cm</v>
          </cell>
          <cell r="B331" t="str">
            <v>Đồng/cây</v>
          </cell>
          <cell r="C331" t="str">
            <v>3.484.000</v>
          </cell>
        </row>
        <row r="332">
          <cell r="A332" t="str">
            <v>Cây mít đường kính thân 30 cm &lt; ĐK thân ≤ 40 cm</v>
          </cell>
          <cell r="B332" t="str">
            <v>Đồng/cây</v>
          </cell>
          <cell r="C332" t="str">
            <v>3.733.000</v>
          </cell>
        </row>
        <row r="333">
          <cell r="A333" t="str">
            <v>Cây mít ĐK thân &gt; 40 cm</v>
          </cell>
          <cell r="B333" t="str">
            <v>Đồng/cây</v>
          </cell>
          <cell r="C333" t="str">
            <v>4.355.000</v>
          </cell>
        </row>
        <row r="334">
          <cell r="A334" t="str">
            <v>Cây chay</v>
          </cell>
        </row>
        <row r="335">
          <cell r="A335" t="str">
            <v>Cây chay giống đủ tiêu chuẩn mới trồng</v>
          </cell>
          <cell r="B335" t="str">
            <v>Đồng/cây</v>
          </cell>
          <cell r="C335" t="str">
            <v>10.000</v>
          </cell>
        </row>
        <row r="336">
          <cell r="A336" t="str">
            <v>Cây chay ĐK thân ≤ 5 cm</v>
          </cell>
          <cell r="B336" t="str">
            <v>Đồng/cây</v>
          </cell>
          <cell r="C336" t="str">
            <v>149.000</v>
          </cell>
        </row>
        <row r="337">
          <cell r="A337" t="str">
            <v>Cây chay đường kính thân 5 cm &lt; ĐK thân ≤ 10 cm</v>
          </cell>
          <cell r="B337" t="str">
            <v>Đồng/cây</v>
          </cell>
          <cell r="C337" t="str">
            <v>398.000</v>
          </cell>
        </row>
        <row r="338">
          <cell r="A338" t="str">
            <v>Cây chay đường kính thân 10 cm &lt; ĐK thân ≤ 15 cm</v>
          </cell>
          <cell r="B338" t="str">
            <v>Đồng/cây</v>
          </cell>
          <cell r="C338" t="str">
            <v>1.493.000</v>
          </cell>
        </row>
        <row r="339">
          <cell r="A339" t="str">
            <v>Cây chay đường kính thân 15 cm &lt; ĐK thân ≤ 20 cm</v>
          </cell>
          <cell r="B339" t="str">
            <v>Đồng/cây</v>
          </cell>
          <cell r="C339" t="str">
            <v>3.111.000</v>
          </cell>
        </row>
        <row r="340">
          <cell r="A340" t="str">
            <v>Cây chay đường kính thân 20 cm &lt; ĐK thân ≤ 30 cm</v>
          </cell>
          <cell r="B340" t="str">
            <v>Đồng/cây</v>
          </cell>
          <cell r="C340" t="str">
            <v>3.484.000</v>
          </cell>
        </row>
        <row r="341">
          <cell r="A341" t="str">
            <v>Cây chay đường kính thân 30 cm &lt; ĐK thân ≤ 40 cm</v>
          </cell>
          <cell r="B341" t="str">
            <v>Đồng/cây</v>
          </cell>
          <cell r="C341" t="str">
            <v>3.733.000</v>
          </cell>
        </row>
        <row r="342">
          <cell r="A342" t="str">
            <v>Cây chay ĐK thân &gt; 40 cm</v>
          </cell>
          <cell r="B342" t="str">
            <v>Đồng/cây</v>
          </cell>
          <cell r="C342" t="str">
            <v>4.355.000</v>
          </cell>
        </row>
        <row r="343">
          <cell r="A343" t="str">
            <v>Cây táo</v>
          </cell>
        </row>
        <row r="344">
          <cell r="A344" t="str">
            <v>Cây táo giống đủ tiêu chuẩn mới trồng loại cây ghép có chiều cao cây 40cm ≤ H &lt; 1m</v>
          </cell>
          <cell r="B344" t="str">
            <v>Đồng/cây</v>
          </cell>
          <cell r="C344" t="str">
            <v>25.000</v>
          </cell>
        </row>
        <row r="345">
          <cell r="A345" t="str">
            <v>Cây táo loại cây ghép có chiều cao cây H ≥  1m</v>
          </cell>
          <cell r="B345" t="str">
            <v>Đồng/cây</v>
          </cell>
          <cell r="C345" t="str">
            <v>30.000</v>
          </cell>
        </row>
        <row r="346">
          <cell r="A346" t="str">
            <v>Cây táo ĐK thân ≤ 5 cm</v>
          </cell>
          <cell r="B346" t="str">
            <v>Đồng/cây</v>
          </cell>
          <cell r="C346" t="str">
            <v>124.000</v>
          </cell>
        </row>
        <row r="347">
          <cell r="A347" t="str">
            <v>Cây táo đường kính thân 5 cm &lt; ĐK thân ≤ 7 cm</v>
          </cell>
          <cell r="B347" t="str">
            <v>Đồng/cây</v>
          </cell>
          <cell r="C347" t="str">
            <v>274.000</v>
          </cell>
        </row>
        <row r="348">
          <cell r="A348" t="str">
            <v>Cây táo đường kính thân 7 cm &lt; ĐK thân ≤ 11 cm</v>
          </cell>
          <cell r="B348" t="str">
            <v>Đồng/cây</v>
          </cell>
          <cell r="C348" t="str">
            <v>498.000</v>
          </cell>
        </row>
        <row r="349">
          <cell r="A349" t="str">
            <v>Cây táo đường kính thân 11 cm &lt; ĐK thân ≤ 15 cm</v>
          </cell>
          <cell r="B349" t="str">
            <v>Đồng/cây</v>
          </cell>
          <cell r="C349" t="str">
            <v>871.000</v>
          </cell>
        </row>
        <row r="350">
          <cell r="A350" t="str">
            <v>Cây táo đường kính thân 15 cm &lt; ĐK thân ≤ 20 cm</v>
          </cell>
          <cell r="B350" t="str">
            <v>Đồng/cây</v>
          </cell>
          <cell r="C350" t="str">
            <v>1.120.000</v>
          </cell>
        </row>
        <row r="351">
          <cell r="A351" t="str">
            <v>Cây táo đường kính thân 20 cm &lt; ĐK thân ≤ 25 cm</v>
          </cell>
          <cell r="B351" t="str">
            <v>Đồng/cây</v>
          </cell>
          <cell r="C351" t="str">
            <v>1.493.000</v>
          </cell>
        </row>
        <row r="352">
          <cell r="A352" t="str">
            <v>Cây táo ĐK thân &gt; 25 cm</v>
          </cell>
          <cell r="B352" t="str">
            <v>Đồng/cây</v>
          </cell>
          <cell r="C352" t="str">
            <v>1.866.000</v>
          </cell>
        </row>
        <row r="353">
          <cell r="A353" t="str">
            <v>Cây xoài, cây quéo</v>
          </cell>
        </row>
        <row r="354">
          <cell r="A354" t="str">
            <v>Cây xoài giống đủ tiêu chuẩn mới trồng, chiều cao cây H ≥ 40cm</v>
          </cell>
          <cell r="B354" t="str">
            <v>Đồng/cây</v>
          </cell>
          <cell r="C354" t="str">
            <v>25.000</v>
          </cell>
        </row>
        <row r="355">
          <cell r="A355" t="str">
            <v>Cây xoài ĐK thân ≤ 5 cm</v>
          </cell>
          <cell r="B355" t="str">
            <v>Đồng/cây</v>
          </cell>
          <cell r="C355" t="str">
            <v>124.000</v>
          </cell>
        </row>
        <row r="356">
          <cell r="A356" t="str">
            <v>Cây xoài đường kính thân 5 cm &lt; ĐK thân ≤ 10 cm</v>
          </cell>
          <cell r="B356" t="str">
            <v>Đông/cây</v>
          </cell>
          <cell r="C356" t="str">
            <v>274.000</v>
          </cell>
        </row>
        <row r="357">
          <cell r="A357" t="str">
            <v>Cây xoài đường kính thân 10 cm &lt; ĐK thân ≤ 15 cm</v>
          </cell>
          <cell r="B357" t="str">
            <v>Đồng/cây</v>
          </cell>
          <cell r="C357" t="str">
            <v>498.000</v>
          </cell>
        </row>
        <row r="358">
          <cell r="A358" t="str">
            <v>Cây xoài đường kính thân 15 cm &lt; ĐK thân ≤ 20 cm</v>
          </cell>
          <cell r="B358" t="str">
            <v>Đồng/cây</v>
          </cell>
          <cell r="C358" t="str">
            <v>871.000</v>
          </cell>
        </row>
        <row r="359">
          <cell r="A359" t="str">
            <v>Cây xoài đường kính thân 20 cm &lt; ĐK thân ≤ 30 cm</v>
          </cell>
          <cell r="B359" t="str">
            <v>Đồng/cây</v>
          </cell>
          <cell r="C359" t="str">
            <v>1.120.000</v>
          </cell>
        </row>
        <row r="360">
          <cell r="A360" t="str">
            <v>Cây xoài đường kính thân 30 cm &lt; ĐK thân ≤ 40 cm</v>
          </cell>
          <cell r="B360" t="str">
            <v>Đồng/cây</v>
          </cell>
          <cell r="C360" t="str">
            <v>1.493.000</v>
          </cell>
        </row>
        <row r="361">
          <cell r="A361" t="str">
            <v>Cây xoài ĐK thân &gt; 40 cm</v>
          </cell>
          <cell r="B361" t="str">
            <v>Đồng/cây</v>
          </cell>
          <cell r="C361" t="str">
            <v>1.866.000</v>
          </cell>
        </row>
        <row r="362">
          <cell r="A362" t="str">
            <v>Cây vú sữa</v>
          </cell>
        </row>
        <row r="363">
          <cell r="A363" t="str">
            <v>Cây vú sữa giống đủ tiêu chuẩn mới trồng, chiều cao cây H ≥ 40cm</v>
          </cell>
          <cell r="B363" t="str">
            <v>Đồng/cây</v>
          </cell>
          <cell r="C363" t="str">
            <v>25.000</v>
          </cell>
        </row>
        <row r="364">
          <cell r="A364" t="str">
            <v>Cây vú sữa ĐK thân ≤ 5 cm</v>
          </cell>
          <cell r="B364" t="str">
            <v>Đồng/cây</v>
          </cell>
          <cell r="C364" t="str">
            <v>87.000</v>
          </cell>
        </row>
        <row r="365">
          <cell r="A365" t="str">
            <v>Cây vú sữa đường kính thân 5 cm &lt; ĐK thân  ≤ 10 cm</v>
          </cell>
          <cell r="B365" t="str">
            <v>Đồng/cây</v>
          </cell>
          <cell r="C365" t="str">
            <v>187.000</v>
          </cell>
        </row>
        <row r="366">
          <cell r="A366" t="str">
            <v>Cây vú sữa đường kính thân 10 cm &lt; ĐK thân  ≤ 15 cm</v>
          </cell>
          <cell r="B366" t="str">
            <v>Đồng/cây</v>
          </cell>
          <cell r="C366" t="str">
            <v>684.000</v>
          </cell>
        </row>
        <row r="367">
          <cell r="A367" t="str">
            <v>Cây vú sữa đường kính thân 15 cm &lt; ĐK thân  ≤ 20 cm</v>
          </cell>
          <cell r="B367" t="str">
            <v>Đồng/cây</v>
          </cell>
          <cell r="C367" t="str">
            <v>933.000</v>
          </cell>
        </row>
        <row r="368">
          <cell r="A368" t="str">
            <v>Cây vú sữa đường kính thân 20 cm &lt; ĐK thân  ≤ 30 cm</v>
          </cell>
          <cell r="B368" t="str">
            <v>Đồng/cây</v>
          </cell>
          <cell r="C368" t="str">
            <v>1.866.000</v>
          </cell>
        </row>
        <row r="369">
          <cell r="A369" t="str">
            <v>Cây vú sữa ĐK thân &gt; 30 cm</v>
          </cell>
          <cell r="B369" t="str">
            <v>Đồng/cây</v>
          </cell>
          <cell r="C369" t="str">
            <v>2.240.000</v>
          </cell>
        </row>
        <row r="370">
          <cell r="A370" t="str">
            <v>Cây vú sữa hoàng kim</v>
          </cell>
        </row>
        <row r="371">
          <cell r="A371" t="str">
            <v>Cây vú sữa hoàng kim ĐK thân  ≤ 5 cm</v>
          </cell>
          <cell r="B371" t="str">
            <v>Đồng/cây</v>
          </cell>
          <cell r="C371" t="str">
            <v>174.000</v>
          </cell>
        </row>
        <row r="372">
          <cell r="A372" t="str">
            <v>Cây vú sữa hoàng kim đường kính thân 5 cm &lt; ĐK thân  ≤ 10 cm</v>
          </cell>
          <cell r="B372" t="str">
            <v>Đồng/cây</v>
          </cell>
          <cell r="C372" t="str">
            <v>374.000</v>
          </cell>
        </row>
        <row r="373">
          <cell r="A373" t="str">
            <v>Cây vú sữa hoàng kim đường kính thân 10 cm &lt; ĐK thân  ≤ 15 cm</v>
          </cell>
          <cell r="B373" t="str">
            <v>Đồng/cây</v>
          </cell>
          <cell r="C373" t="str">
            <v>1.368.000</v>
          </cell>
        </row>
        <row r="374">
          <cell r="A374" t="str">
            <v>Cây vú sữa hoàng kim đường kính thân 15 cm &lt; ĐK thân  ≤ 20 cm</v>
          </cell>
          <cell r="B374" t="str">
            <v>Đồng/cây</v>
          </cell>
          <cell r="C374" t="str">
            <v>1.866.000</v>
          </cell>
        </row>
        <row r="375">
          <cell r="A375" t="str">
            <v>Cây vú sữa hoàng kim đường kính thân 20 cm &lt; ĐK thân  ≤ 30 cm</v>
          </cell>
          <cell r="B375" t="str">
            <v>Đồng/cây</v>
          </cell>
          <cell r="C375" t="str">
            <v>3.732.000</v>
          </cell>
        </row>
        <row r="376">
          <cell r="A376" t="str">
            <v>Cây vú sữa hoàng kim ĐK thân &gt; 30 cm</v>
          </cell>
          <cell r="B376" t="str">
            <v>Đông/cây</v>
          </cell>
          <cell r="C376" t="str">
            <v>4.480.000</v>
          </cell>
        </row>
        <row r="377">
          <cell r="A377" t="str">
            <v>Cây na (na dai, na bở)</v>
          </cell>
        </row>
        <row r="378">
          <cell r="A378" t="str">
            <v>Cây na giống đủ tiêu chuẩn mới trồng, chiều cao cây H ≥ 40cm</v>
          </cell>
          <cell r="B378" t="str">
            <v>Đồng/cây</v>
          </cell>
          <cell r="C378" t="str">
            <v>25.000</v>
          </cell>
        </row>
        <row r="379">
          <cell r="A379" t="str">
            <v>Cây na ĐK thân ≤ 3 cm</v>
          </cell>
          <cell r="B379" t="str">
            <v>Đồng/cây</v>
          </cell>
          <cell r="C379" t="str">
            <v>124.000</v>
          </cell>
        </row>
        <row r="380">
          <cell r="A380" t="str">
            <v>Cây na đường kính thân 3 cm &lt; ĐK thân ≤ 5 cm</v>
          </cell>
          <cell r="B380" t="str">
            <v>Đồng/cây</v>
          </cell>
          <cell r="C380" t="str">
            <v>274.000</v>
          </cell>
        </row>
        <row r="381">
          <cell r="A381" t="str">
            <v>Cây na đường kính thân 5 cm &lt; ĐK thân ≤ 7 cm</v>
          </cell>
          <cell r="B381" t="str">
            <v>Đồng/cây</v>
          </cell>
          <cell r="C381" t="str">
            <v>547.000</v>
          </cell>
        </row>
        <row r="382">
          <cell r="A382" t="str">
            <v>Cây na đường kính thân 7 cm &lt; ĐK thân ≤ 10 cm</v>
          </cell>
          <cell r="B382" t="str">
            <v>Đồng/cây</v>
          </cell>
          <cell r="C382" t="str">
            <v>834.000</v>
          </cell>
        </row>
        <row r="383">
          <cell r="A383" t="str">
            <v>Cây na ĐK thân &gt; 10 cm</v>
          </cell>
          <cell r="B383" t="str">
            <v>Đồng/cây</v>
          </cell>
          <cell r="C383" t="str">
            <v>1.244.000</v>
          </cell>
        </row>
        <row r="384">
          <cell r="A384" t="str">
            <v>Cây khế</v>
          </cell>
        </row>
        <row r="385">
          <cell r="A385" t="str">
            <v>Cây khế giống loại cây ghép có chiều cao cây 40cm ≤ H &lt; 1m</v>
          </cell>
          <cell r="B385" t="str">
            <v>Đồng/cây</v>
          </cell>
          <cell r="C385" t="str">
            <v>25.000</v>
          </cell>
        </row>
        <row r="386">
          <cell r="A386" t="str">
            <v>Cây khế giống loại cây ghép có chiều cao cây H ≥ 1m</v>
          </cell>
          <cell r="B386" t="str">
            <v>Đồng/cây</v>
          </cell>
          <cell r="C386" t="str">
            <v>30.000</v>
          </cell>
        </row>
        <row r="387">
          <cell r="A387" t="str">
            <v>Cây khế ĐK thân ≤ 5 cm</v>
          </cell>
          <cell r="B387" t="str">
            <v>Đồng/cây</v>
          </cell>
          <cell r="C387" t="str">
            <v>100.000</v>
          </cell>
        </row>
        <row r="388">
          <cell r="A388" t="str">
            <v>Cây khế đường kính thân 5 cm &lt; ĐK thân ≤ 10 cm</v>
          </cell>
          <cell r="B388" t="str">
            <v>Đồng/cây</v>
          </cell>
          <cell r="C388" t="str">
            <v>212.000</v>
          </cell>
        </row>
        <row r="389">
          <cell r="A389" t="str">
            <v>Cây khế đường kính thân 10 cm &lt; ĐK thân ≤ 15 cm</v>
          </cell>
          <cell r="B389" t="str">
            <v>Đồng/cây</v>
          </cell>
          <cell r="C389" t="str">
            <v>498.000</v>
          </cell>
        </row>
        <row r="390">
          <cell r="A390" t="str">
            <v>Cây khế đường kính thân 15 cm &lt; ĐK thân ≤ 20 cm</v>
          </cell>
          <cell r="B390" t="str">
            <v>Đồng/cây</v>
          </cell>
          <cell r="C390" t="str">
            <v>1.045.000</v>
          </cell>
        </row>
        <row r="391">
          <cell r="A391" t="str">
            <v>Cây khế đường kính thân 20 cm &lt; ĐK thân ≤ 25 cm</v>
          </cell>
          <cell r="B391" t="str">
            <v>Đồng/cây</v>
          </cell>
          <cell r="C391" t="str">
            <v>1.866.000</v>
          </cell>
        </row>
        <row r="392">
          <cell r="A392" t="str">
            <v>Cây khế ĐK thân &gt; 25 cm</v>
          </cell>
          <cell r="B392" t="str">
            <v>Đồng/cây</v>
          </cell>
          <cell r="C392" t="str">
            <v>2.240.000</v>
          </cell>
        </row>
        <row r="393">
          <cell r="A393" t="str">
            <v>Cây ổi</v>
          </cell>
        </row>
        <row r="394">
          <cell r="A394" t="str">
            <v>Cây ổi giống loại cây ghép có chiều cao cây 40cm ≤ H &lt; 1m</v>
          </cell>
          <cell r="B394" t="str">
            <v>Đồng/cây</v>
          </cell>
          <cell r="C394" t="str">
            <v>25.000</v>
          </cell>
        </row>
        <row r="395">
          <cell r="A395" t="str">
            <v>Cây ổi giống loại cây ghép có chiều cao cây H ≥ 1m</v>
          </cell>
          <cell r="B395" t="str">
            <v>Đồng/cây</v>
          </cell>
          <cell r="C395" t="str">
            <v>30.000</v>
          </cell>
        </row>
        <row r="396">
          <cell r="A396" t="str">
            <v>Cây ổi giống loại cây chiết có chiều cao cây 40cm ≤ H &lt; 1 m</v>
          </cell>
          <cell r="B396" t="str">
            <v>Đồng/cây</v>
          </cell>
          <cell r="C396" t="str">
            <v>30.000</v>
          </cell>
        </row>
        <row r="397">
          <cell r="A397" t="str">
            <v>Cây ổi ĐK thân ≤ 5 cm</v>
          </cell>
          <cell r="B397" t="str">
            <v>Đồng/cây</v>
          </cell>
          <cell r="C397" t="str">
            <v>149.000</v>
          </cell>
        </row>
        <row r="398">
          <cell r="A398" t="str">
            <v>Cây ổi đường kính thân 5 cm &lt; ĐK thân ≤ 10 cm</v>
          </cell>
          <cell r="B398" t="str">
            <v>Đồng/cây</v>
          </cell>
          <cell r="C398" t="str">
            <v>311.000</v>
          </cell>
        </row>
        <row r="399">
          <cell r="A399" t="str">
            <v>Cây ổi đường kính thân 10 cm &lt; ĐK thân ≤ 15 cm</v>
          </cell>
          <cell r="B399" t="str">
            <v>Đông/cây</v>
          </cell>
          <cell r="C399" t="str">
            <v>473.000</v>
          </cell>
        </row>
        <row r="400">
          <cell r="A400" t="str">
            <v>Cây ổi đường kính thân 15 cm &lt; ĐK thân ≤ 20 cm</v>
          </cell>
          <cell r="B400" t="str">
            <v>Đồng/cây</v>
          </cell>
          <cell r="C400" t="str">
            <v>622.000</v>
          </cell>
        </row>
        <row r="401">
          <cell r="A401" t="str">
            <v>Cây ổi ĐK thân &gt; 20 cm</v>
          </cell>
          <cell r="B401" t="str">
            <v>Đông/cây</v>
          </cell>
          <cell r="C401" t="str">
            <v>871.000</v>
          </cell>
        </row>
        <row r="402">
          <cell r="A402" t="str">
            <v>Cây nhãn</v>
          </cell>
        </row>
        <row r="403">
          <cell r="A403" t="str">
            <v>Cây nhãn giống loại cây ghép có chiều cao cây 40cm ≤ H &lt; 1m</v>
          </cell>
          <cell r="B403" t="str">
            <v>Đồng/cây</v>
          </cell>
          <cell r="C403" t="str">
            <v>25.000</v>
          </cell>
        </row>
        <row r="404">
          <cell r="A404" t="str">
            <v>Cây nhãn giống loại cây ghép có chiều cao cây H ≥ 1m</v>
          </cell>
          <cell r="B404" t="str">
            <v>Đồng/cây</v>
          </cell>
          <cell r="C404" t="str">
            <v>30.000</v>
          </cell>
        </row>
        <row r="405">
          <cell r="A405" t="str">
            <v>Cây nhãn giống loại cây chiết cành có chiều cao 40cm  ≤ H &lt; 1m</v>
          </cell>
          <cell r="B405" t="str">
            <v>Đồng/cây</v>
          </cell>
          <cell r="C405" t="str">
            <v>30.000</v>
          </cell>
        </row>
        <row r="406">
          <cell r="A406" t="str">
            <v>Cây nhãn giống loại cây chiết cành có chiều cao cây H ≥ 1m</v>
          </cell>
          <cell r="B406" t="str">
            <v>Đồng/cây</v>
          </cell>
          <cell r="C406" t="str">
            <v>40.000</v>
          </cell>
        </row>
        <row r="407">
          <cell r="A407" t="str">
            <v>Cây nhãn ĐK thân ≤ 5 cm</v>
          </cell>
          <cell r="B407" t="str">
            <v>Đồng/cây</v>
          </cell>
          <cell r="C407" t="str">
            <v>124.000</v>
          </cell>
        </row>
        <row r="408">
          <cell r="A408" t="str">
            <v>Cây nhãn đường kính thân 5 cm &lt; ĐK thân ≤ 10cm</v>
          </cell>
          <cell r="B408" t="str">
            <v>Đồng/cây</v>
          </cell>
          <cell r="C408" t="str">
            <v>249.000</v>
          </cell>
        </row>
        <row r="409">
          <cell r="A409" t="str">
            <v>Cây nhãn đường kính thân 10 cm &lt; ĐK thân ≤ 15 cm</v>
          </cell>
          <cell r="B409" t="str">
            <v>Đồng/cây</v>
          </cell>
          <cell r="C409" t="str">
            <v>336.000</v>
          </cell>
        </row>
        <row r="410">
          <cell r="A410" t="str">
            <v>Cây nhãn đường kính thân 15 cm &lt; ĐK thân ≤ 20 cm</v>
          </cell>
          <cell r="B410" t="str">
            <v>Đồng/cây</v>
          </cell>
          <cell r="C410" t="str">
            <v>585.000</v>
          </cell>
        </row>
        <row r="411">
          <cell r="A411" t="str">
            <v>Cây nhãn đường kính thân 20 cm &lt; ĐK thân ≤ 25 cm</v>
          </cell>
          <cell r="B411" t="str">
            <v>Đồng/cây</v>
          </cell>
          <cell r="C411" t="str">
            <v>933.000</v>
          </cell>
        </row>
        <row r="412">
          <cell r="A412" t="str">
            <v>Cây nhãn đường kính thân 25 cm &lt; ĐK thân ≤ 30 cm</v>
          </cell>
          <cell r="B412" t="str">
            <v>Đồng/cây</v>
          </cell>
          <cell r="C412" t="str">
            <v>1.555.000</v>
          </cell>
        </row>
        <row r="413">
          <cell r="A413" t="str">
            <v>Cây nhãn đường kính thân 30 cm &lt; ĐK thân ≤ 40 cm</v>
          </cell>
          <cell r="B413" t="str">
            <v>Đồng/cây</v>
          </cell>
          <cell r="C413" t="str">
            <v>2.737.000</v>
          </cell>
        </row>
        <row r="414">
          <cell r="A414" t="str">
            <v>Cây nhãn ĐK thân &gt; 40 cm</v>
          </cell>
          <cell r="B414" t="str">
            <v>Đồng/cây</v>
          </cell>
          <cell r="C414" t="str">
            <v>3.981.000</v>
          </cell>
        </row>
        <row r="415">
          <cell r="A415" t="str">
            <v>Cây vải</v>
          </cell>
        </row>
        <row r="416">
          <cell r="A416" t="str">
            <v>Cây vải giống loại cây ghép có chiều cao cây 40cm ≤ H &lt; 1m</v>
          </cell>
          <cell r="B416" t="str">
            <v>Đồng/cây</v>
          </cell>
          <cell r="C416" t="str">
            <v>25.000</v>
          </cell>
        </row>
        <row r="417">
          <cell r="A417" t="str">
            <v>Cây vải giống loại cây ghép có chiều cao cây H ≥ 1m</v>
          </cell>
          <cell r="B417" t="str">
            <v>Đồng/cây</v>
          </cell>
          <cell r="C417" t="str">
            <v>30.000</v>
          </cell>
        </row>
        <row r="418">
          <cell r="A418" t="str">
            <v>Cây vải giống loại cây chiết cành có chiều cao 40cm  ≤ H &lt; 1m</v>
          </cell>
          <cell r="B418" t="str">
            <v>Đồng/cây</v>
          </cell>
          <cell r="C418" t="str">
            <v>30.000</v>
          </cell>
        </row>
        <row r="419">
          <cell r="A419" t="str">
            <v>Cây vải giống loại cây chiết cành có chiều cao cây H ≥ 1m</v>
          </cell>
          <cell r="B419" t="str">
            <v>Đồng/cây</v>
          </cell>
          <cell r="C419" t="str">
            <v>40.000</v>
          </cell>
        </row>
        <row r="420">
          <cell r="A420" t="str">
            <v>Cây vải ĐK thân ≤ 5 cm</v>
          </cell>
          <cell r="B420" t="str">
            <v>Đồng/cây</v>
          </cell>
          <cell r="C420" t="str">
            <v>124.000</v>
          </cell>
        </row>
        <row r="421">
          <cell r="A421" t="str">
            <v>Cây vải đường kính thân 5 cm &lt; ĐK thân ≤ 10cm</v>
          </cell>
          <cell r="B421" t="str">
            <v>Đồng/cây</v>
          </cell>
          <cell r="C421" t="str">
            <v>249.000</v>
          </cell>
        </row>
        <row r="422">
          <cell r="A422" t="str">
            <v>Cây vải đường kính thân 10 cm &lt; ĐK thân ≤ 15 cm</v>
          </cell>
          <cell r="B422" t="str">
            <v>Đồng/cây</v>
          </cell>
          <cell r="C422" t="str">
            <v>336.000</v>
          </cell>
        </row>
        <row r="423">
          <cell r="A423" t="str">
            <v>Cây vải đường kính thân 15 cm &lt; ĐK thân ≤ 20 cm</v>
          </cell>
          <cell r="B423" t="str">
            <v>Đồng/cây</v>
          </cell>
          <cell r="C423" t="str">
            <v>585.000</v>
          </cell>
        </row>
        <row r="424">
          <cell r="A424" t="str">
            <v>Cây vải đường kính thân 20 cm &lt; ĐK thân ≤ 25 cm</v>
          </cell>
          <cell r="B424" t="str">
            <v>Đồng/cây</v>
          </cell>
          <cell r="C424" t="str">
            <v>933.000</v>
          </cell>
        </row>
        <row r="425">
          <cell r="A425" t="str">
            <v>Cây vải đường kính thân 25 cm &lt; ĐK thân ≤ 30 cm</v>
          </cell>
          <cell r="B425" t="str">
            <v>Đồng/cây</v>
          </cell>
          <cell r="C425" t="str">
            <v>1.555.000</v>
          </cell>
        </row>
        <row r="426">
          <cell r="A426" t="str">
            <v>Cây vải đường kính thân 30 cm &lt; ĐK thân ≤ 40 cm</v>
          </cell>
          <cell r="B426" t="str">
            <v>Đồng/cây</v>
          </cell>
          <cell r="C426" t="str">
            <v>2.737.000</v>
          </cell>
        </row>
        <row r="427">
          <cell r="A427" t="str">
            <v>Cây vải ĐK thân &gt; 40 cm</v>
          </cell>
          <cell r="B427" t="str">
            <v>Đồng/cây</v>
          </cell>
          <cell r="C427" t="str">
            <v>3.981.000</v>
          </cell>
        </row>
        <row r="428">
          <cell r="A428" t="str">
            <v>Cây đu đủ</v>
          </cell>
        </row>
        <row r="429">
          <cell r="A429" t="str">
            <v>Cây đu đủ giống đủ tiêu chuẩn mới trồng, chiều cao cây H ≥ 40cm</v>
          </cell>
          <cell r="B429" t="str">
            <v>Đồng/cây</v>
          </cell>
          <cell r="C429" t="str">
            <v>5.000</v>
          </cell>
        </row>
        <row r="430">
          <cell r="A430" t="str">
            <v>Cây đu đủ ĐK thân ≤ 3 cm</v>
          </cell>
          <cell r="B430" t="str">
            <v>Đồng/cây</v>
          </cell>
          <cell r="C430" t="str">
            <v>44.000</v>
          </cell>
        </row>
        <row r="431">
          <cell r="A431" t="str">
            <v>Cây đu đủ đường kính thân 3 cm &lt; ĐK thân ≤ 7 cm</v>
          </cell>
          <cell r="B431" t="str">
            <v>Đồng/cây</v>
          </cell>
          <cell r="C431" t="str">
            <v>124.000</v>
          </cell>
        </row>
        <row r="432">
          <cell r="A432" t="str">
            <v>Cây đu đủ đường kính thân 7 cm &lt; ĐK thân ≤ 10 cm</v>
          </cell>
          <cell r="B432" t="str">
            <v>Đồng/cây</v>
          </cell>
          <cell r="C432" t="str">
            <v>373.000</v>
          </cell>
        </row>
        <row r="433">
          <cell r="A433" t="str">
            <v>Cây đu đủ đường kính thân ĐK thân &gt; 10 cm</v>
          </cell>
          <cell r="B433" t="str">
            <v>Đồng/cây</v>
          </cell>
          <cell r="C433" t="str">
            <v>622.000</v>
          </cell>
        </row>
        <row r="434">
          <cell r="A434" t="str">
            <v>Cây trứng gà</v>
          </cell>
        </row>
        <row r="435">
          <cell r="A435" t="str">
            <v>Cây trứng gà giống đủ tiêu chuẩn mới trồng, chiều cao cây H  ≥ 40cm</v>
          </cell>
          <cell r="B435" t="str">
            <v>Đồng/cây</v>
          </cell>
          <cell r="C435" t="str">
            <v>20.000</v>
          </cell>
        </row>
        <row r="436">
          <cell r="A436" t="str">
            <v>Cây trứng gà ĐK thân ≤ 5 cm</v>
          </cell>
          <cell r="B436" t="str">
            <v>Đồng/cây</v>
          </cell>
          <cell r="C436" t="str">
            <v>68.000</v>
          </cell>
        </row>
        <row r="437">
          <cell r="A437" t="str">
            <v>Cây trứng gà đường kính thân 5 cm &lt; ĐK thân ≤ 10 cm</v>
          </cell>
          <cell r="B437" t="str">
            <v>Đông/cây</v>
          </cell>
          <cell r="C437" t="str">
            <v>162.000</v>
          </cell>
        </row>
        <row r="438">
          <cell r="A438" t="str">
            <v>Cây trứng gà đường kính thân 10 cm &lt; ĐK thân ≤ 15 cm</v>
          </cell>
          <cell r="B438" t="str">
            <v>Đông/cây</v>
          </cell>
          <cell r="C438" t="str">
            <v>249.000</v>
          </cell>
        </row>
        <row r="439">
          <cell r="A439" t="str">
            <v>Cây trứng gà đường kính thân 15 cm &lt; ĐK thân ≤ 20 cm</v>
          </cell>
          <cell r="B439" t="str">
            <v>Đồng/cây</v>
          </cell>
          <cell r="C439" t="str">
            <v>398.000</v>
          </cell>
        </row>
        <row r="440">
          <cell r="A440" t="str">
            <v>Cây trứng gà đường kính thân 20 cm &lt; ĐK thân ≤ 25 cm</v>
          </cell>
          <cell r="B440" t="str">
            <v>Đông/cây</v>
          </cell>
          <cell r="C440" t="str">
            <v>622.000</v>
          </cell>
        </row>
        <row r="441">
          <cell r="A441" t="str">
            <v>Cây trứng gà ĐK thân &gt; 25 cm</v>
          </cell>
          <cell r="B441" t="str">
            <v>Đồng/cây</v>
          </cell>
          <cell r="C441" t="str">
            <v>896.000</v>
          </cell>
        </row>
        <row r="442">
          <cell r="A442" t="str">
            <v>Cây dừa</v>
          </cell>
        </row>
        <row r="443">
          <cell r="A443" t="str">
            <v>Cây dừa giống đủ tiêu chuẩn mới trồng</v>
          </cell>
          <cell r="B443" t="str">
            <v>Đồng/cây</v>
          </cell>
          <cell r="C443" t="str">
            <v>35.000</v>
          </cell>
        </row>
        <row r="444">
          <cell r="A444" t="str">
            <v>Cây dừa ĐK thân ≤ 10 cm</v>
          </cell>
          <cell r="B444" t="str">
            <v>Đồng/cây</v>
          </cell>
          <cell r="C444" t="str">
            <v>149.000</v>
          </cell>
        </row>
        <row r="445">
          <cell r="A445" t="str">
            <v>Cây dừa đường kính thân 10 cm &lt; ĐK thân ≤ 15 cm</v>
          </cell>
          <cell r="B445" t="str">
            <v>Đồng/cây</v>
          </cell>
          <cell r="C445" t="str">
            <v>249.000</v>
          </cell>
        </row>
        <row r="446">
          <cell r="A446" t="str">
            <v>Cây dừa đường kính thân 15 cm &lt; ĐK thân ≤ 25 cm</v>
          </cell>
          <cell r="B446" t="str">
            <v>Đồng/cây</v>
          </cell>
          <cell r="C446" t="str">
            <v>398.000</v>
          </cell>
        </row>
        <row r="447">
          <cell r="A447" t="str">
            <v>Cây dừa đường kính thân 25 cm &lt; ĐK thân ≤ 40 cm</v>
          </cell>
          <cell r="B447" t="str">
            <v>Đồng/cây</v>
          </cell>
          <cell r="C447" t="str">
            <v>871.000</v>
          </cell>
        </row>
        <row r="448">
          <cell r="A448" t="str">
            <v>Cây dừa đường kính thân 40 cm &lt; ĐK thân ≤ 55 cm</v>
          </cell>
          <cell r="B448" t="str">
            <v>Đồng/cây</v>
          </cell>
          <cell r="C448" t="str">
            <v>1.866.000</v>
          </cell>
        </row>
        <row r="449">
          <cell r="A449" t="str">
            <v>Cây dừa ĐK thân &gt; 55 cm</v>
          </cell>
          <cell r="B449" t="str">
            <v>Đồng/cây</v>
          </cell>
          <cell r="C449" t="str">
            <v>2.737.000</v>
          </cell>
        </row>
        <row r="450">
          <cell r="A450" t="str">
            <v>Cây me</v>
          </cell>
        </row>
        <row r="451">
          <cell r="A451" t="str">
            <v>Cây me giống đủ tiêu chuẩn mới trồng, chiều cao cây H  ≥ 40cm</v>
          </cell>
          <cell r="B451" t="str">
            <v>Đồng/cây</v>
          </cell>
          <cell r="C451" t="str">
            <v>25.000</v>
          </cell>
        </row>
        <row r="452">
          <cell r="A452" t="str">
            <v>Cây me ĐK thân ≤ 5 cm</v>
          </cell>
          <cell r="B452" t="str">
            <v>Đồng/cây</v>
          </cell>
          <cell r="C452" t="str">
            <v>100.000</v>
          </cell>
        </row>
        <row r="453">
          <cell r="A453" t="str">
            <v>Cây me đường kính thân 5 cm &lt; ĐK thân ≤ 10 cm</v>
          </cell>
          <cell r="B453" t="str">
            <v>Đồng/cây</v>
          </cell>
          <cell r="C453" t="str">
            <v>249.000</v>
          </cell>
        </row>
        <row r="454">
          <cell r="A454" t="str">
            <v>Cây me đường kính thân 10 cm &lt; ĐK thân ≤ 20 cm</v>
          </cell>
          <cell r="B454" t="str">
            <v>Đồng/cây</v>
          </cell>
          <cell r="C454" t="str">
            <v>747.000</v>
          </cell>
        </row>
        <row r="455">
          <cell r="A455" t="str">
            <v>Cây me đường kính thân 20 cm &lt; ĐK thân ≤ 30 cm</v>
          </cell>
          <cell r="B455" t="str">
            <v>Đồng/cây</v>
          </cell>
          <cell r="C455" t="str">
            <v>2.240.000</v>
          </cell>
        </row>
        <row r="456">
          <cell r="A456" t="str">
            <v>Cây me ĐK thân &gt; 30 cm</v>
          </cell>
          <cell r="B456" t="str">
            <v>Đồng/cây</v>
          </cell>
          <cell r="C456" t="str">
            <v>3.733.000</v>
          </cell>
        </row>
        <row r="457">
          <cell r="A457" t="str">
            <v>Cây sấu</v>
          </cell>
        </row>
        <row r="458">
          <cell r="A458" t="str">
            <v>Cây sấu Giống đủ tiêu chuẩn mới trồng, chiều cao cây H ≥ 40cm</v>
          </cell>
          <cell r="B458" t="str">
            <v>Đồng/cây</v>
          </cell>
          <cell r="C458" t="str">
            <v>20.000</v>
          </cell>
        </row>
        <row r="459">
          <cell r="A459" t="str">
            <v>Cây sấu ĐK thân ≤ 5 cm</v>
          </cell>
          <cell r="B459" t="str">
            <v>Đồng/cây</v>
          </cell>
          <cell r="C459" t="str">
            <v>106.000</v>
          </cell>
        </row>
        <row r="460">
          <cell r="A460" t="str">
            <v>Cây sấu đường kính thân 5 cm &lt; ĐK thân ≤ 10 cm</v>
          </cell>
          <cell r="B460" t="str">
            <v>Đồng/cây</v>
          </cell>
          <cell r="C460" t="str">
            <v>224.000</v>
          </cell>
        </row>
        <row r="461">
          <cell r="A461" t="str">
            <v>Cây sấu đường kính thân 10 cm &lt; ĐK thân ≤ 15 cm</v>
          </cell>
          <cell r="B461" t="str">
            <v>Đồng/cây</v>
          </cell>
          <cell r="C461" t="str">
            <v>435.000</v>
          </cell>
        </row>
        <row r="462">
          <cell r="A462" t="str">
            <v>Cây sấu đường kính thân 15 cm &lt; ĐK thân ≤ 20 cm</v>
          </cell>
          <cell r="B462" t="str">
            <v>Đồng/cây</v>
          </cell>
          <cell r="C462" t="str">
            <v>1.120.000</v>
          </cell>
        </row>
        <row r="463">
          <cell r="A463" t="str">
            <v>Cây sấu đường kính thân 20 cm &lt; ĐK thân ≤ 30 cm</v>
          </cell>
          <cell r="B463" t="str">
            <v>Đồng/cây</v>
          </cell>
          <cell r="C463" t="str">
            <v>2.240.000</v>
          </cell>
        </row>
        <row r="464">
          <cell r="A464" t="str">
            <v>Cây sấu đường kính thân 30 cm &lt; ĐK thân ≤ 40 cm</v>
          </cell>
          <cell r="B464" t="str">
            <v>Đồng/cây</v>
          </cell>
          <cell r="C464" t="str">
            <v>3.111.000</v>
          </cell>
        </row>
        <row r="465">
          <cell r="A465" t="str">
            <v>Cây sấu ĐK thân &gt; 40 cm</v>
          </cell>
          <cell r="B465" t="str">
            <v>Đông/cây</v>
          </cell>
          <cell r="C465" t="str">
            <v>4.355.000</v>
          </cell>
        </row>
        <row r="466">
          <cell r="A466" t="str">
            <v>Cây vối</v>
          </cell>
        </row>
        <row r="467">
          <cell r="A467" t="str">
            <v>Cây vối Giống đủ tiêu chuẩn mới trồng, chiều cao cây H &gt; 40cm</v>
          </cell>
          <cell r="B467" t="str">
            <v>Đồng/cây</v>
          </cell>
          <cell r="C467" t="str">
            <v>5.000</v>
          </cell>
        </row>
        <row r="468">
          <cell r="A468" t="str">
            <v>Cây vối ĐK thân ≤ 5 cm</v>
          </cell>
          <cell r="B468" t="str">
            <v>Đồng/cây</v>
          </cell>
          <cell r="C468" t="str">
            <v>37.000</v>
          </cell>
        </row>
        <row r="469">
          <cell r="A469" t="str">
            <v>Cây vối đường kính thân 5 cm &lt; ĐK thân ≤ 10 cm</v>
          </cell>
          <cell r="B469" t="str">
            <v>Đồng/cây</v>
          </cell>
          <cell r="C469" t="str">
            <v>124.000</v>
          </cell>
        </row>
        <row r="470">
          <cell r="A470" t="str">
            <v>Cây vối đường kính thân 10 cm &lt; ĐK thân ≤ 15 cm</v>
          </cell>
          <cell r="B470" t="str">
            <v>Đồng/cây</v>
          </cell>
          <cell r="C470" t="str">
            <v>249.000</v>
          </cell>
        </row>
        <row r="471">
          <cell r="A471" t="str">
            <v>Cây vối đường kính thân 15 cm &lt; ĐK thân ≤ 25 cm</v>
          </cell>
          <cell r="B471" t="str">
            <v>Đồng/cây</v>
          </cell>
          <cell r="C471" t="str">
            <v>435.000</v>
          </cell>
        </row>
        <row r="472">
          <cell r="A472" t="str">
            <v>Cây vối ĐK thân &gt; 25 cm</v>
          </cell>
          <cell r="B472" t="str">
            <v>Đồng/cây</v>
          </cell>
          <cell r="C472" t="str">
            <v>622.000</v>
          </cell>
        </row>
        <row r="473">
          <cell r="A473" t="str">
            <v>Cây bơ</v>
          </cell>
          <cell r="C473" t="str">
            <v>—</v>
          </cell>
        </row>
        <row r="474">
          <cell r="A474" t="str">
            <v>Cây bơ mới trồng &lt; 01 năm (cây từ hạt)</v>
          </cell>
          <cell r="B474" t="str">
            <v>Đồng/cây</v>
          </cell>
          <cell r="C474" t="str">
            <v>20.000</v>
          </cell>
        </row>
        <row r="475">
          <cell r="A475" t="str">
            <v>Cây bơ mới trồng &lt; 01 năm (cây ghép)</v>
          </cell>
          <cell r="B475" t="str">
            <v>Đồng/cây</v>
          </cell>
          <cell r="C475" t="str">
            <v>40.000</v>
          </cell>
        </row>
        <row r="476">
          <cell r="A476" t="str">
            <v>Cây bơ ĐK thân ≤ 5 cm</v>
          </cell>
          <cell r="B476" t="str">
            <v>Đồng/cây</v>
          </cell>
          <cell r="C476" t="str">
            <v>124.000</v>
          </cell>
        </row>
        <row r="477">
          <cell r="A477" t="str">
            <v>Cây bơ đường kính thân 5 cm &lt; ĐK thân ≤ 10 cm</v>
          </cell>
          <cell r="B477" t="str">
            <v>Đồng/cây</v>
          </cell>
          <cell r="C477" t="str">
            <v>311.000</v>
          </cell>
        </row>
        <row r="478">
          <cell r="A478" t="str">
            <v>Cây bơ đường kính thân 10 cm &lt; ĐK thân ≤ 15 cm</v>
          </cell>
          <cell r="B478" t="str">
            <v>Đồng/cây</v>
          </cell>
          <cell r="C478" t="str">
            <v>560.000</v>
          </cell>
        </row>
        <row r="479">
          <cell r="A479" t="str">
            <v>Cây bơ ĐK thân &gt; 15 cm</v>
          </cell>
          <cell r="B479" t="str">
            <v>Đồng/cây</v>
          </cell>
          <cell r="C479" t="str">
            <v>1.120.000</v>
          </cell>
        </row>
        <row r="480">
          <cell r="A480" t="str">
            <v>Cây cóc</v>
          </cell>
        </row>
        <row r="481">
          <cell r="A481" t="str">
            <v>Cây cóc ĐK thân ≤ 5 cm</v>
          </cell>
          <cell r="B481" t="str">
            <v>Đồng/cây</v>
          </cell>
          <cell r="C481" t="str">
            <v>65.000</v>
          </cell>
        </row>
        <row r="482">
          <cell r="A482" t="str">
            <v>Cây cóc đường kính thân 5 cm &lt; ĐK thân ≤ 10 cm</v>
          </cell>
          <cell r="B482" t="str">
            <v>Đồng/cây</v>
          </cell>
          <cell r="C482" t="str">
            <v>210.000</v>
          </cell>
        </row>
        <row r="483">
          <cell r="A483" t="str">
            <v>Cây cóc đường kính thân 10 cm &lt; ĐK thân ≤ 15 cm</v>
          </cell>
          <cell r="B483" t="str">
            <v>Đồng/cây</v>
          </cell>
          <cell r="C483" t="str">
            <v>300.000</v>
          </cell>
        </row>
        <row r="484">
          <cell r="A484" t="str">
            <v>Cây cóc đường kính thân 15 cm &lt; ĐK thân ≤ 20 cm</v>
          </cell>
          <cell r="B484" t="str">
            <v>Đồng/cây</v>
          </cell>
          <cell r="C484" t="str">
            <v>400.000</v>
          </cell>
        </row>
        <row r="485">
          <cell r="A485" t="str">
            <v>Cây cóc đường kính thân 20 cm &lt; ĐK thân ≤ 30 cm</v>
          </cell>
          <cell r="B485" t="str">
            <v>Đồng/cây</v>
          </cell>
          <cell r="C485" t="str">
            <v>540.000</v>
          </cell>
        </row>
        <row r="486">
          <cell r="A486" t="str">
            <v>Cây cóc đường kính thân 30 cm &lt; ĐK thân ≤ 40 cm</v>
          </cell>
          <cell r="B486" t="str">
            <v>Đồng/cây</v>
          </cell>
          <cell r="C486" t="str">
            <v>720.000</v>
          </cell>
        </row>
        <row r="487">
          <cell r="A487" t="str">
            <v>Cây cóc ĐK thân &gt; 40 cm</v>
          </cell>
          <cell r="B487" t="str">
            <v>Đồng/cây</v>
          </cell>
          <cell r="C487" t="str">
            <v>1.000.000</v>
          </cell>
        </row>
        <row r="488">
          <cell r="A488" t="str">
            <v>Cây quất hồng bì</v>
          </cell>
        </row>
        <row r="489">
          <cell r="A489" t="str">
            <v>Cây quất hồng bì ĐK thân ≤5 cm</v>
          </cell>
          <cell r="B489" t="str">
            <v>Đồng/cây</v>
          </cell>
          <cell r="C489" t="str">
            <v>65.000</v>
          </cell>
        </row>
        <row r="490">
          <cell r="A490" t="str">
            <v>Cây quất hồng bì đường kính thân 5 cm &lt; ĐK thân ≤ 10 cm</v>
          </cell>
          <cell r="B490" t="str">
            <v>Đồng/cây</v>
          </cell>
          <cell r="C490" t="str">
            <v>210.000</v>
          </cell>
        </row>
        <row r="491">
          <cell r="A491" t="str">
            <v>Cây quất hồng bì đường kính thân 10 cm &lt; ĐK thân ≤ 15 cm</v>
          </cell>
          <cell r="B491" t="str">
            <v>Đồng/cây</v>
          </cell>
          <cell r="C491" t="str">
            <v>300.000</v>
          </cell>
        </row>
        <row r="492">
          <cell r="A492" t="str">
            <v>Cây quất hồng bì đường kính thân 15 cm &lt; ĐK thân ≤ 20 cm</v>
          </cell>
          <cell r="B492" t="str">
            <v>Đồng/cây</v>
          </cell>
          <cell r="C492" t="str">
            <v>400.000</v>
          </cell>
        </row>
        <row r="493">
          <cell r="A493" t="str">
            <v>Cây quất hồng bì đường kính thân 20 cm &lt; ĐK thân ≤ 30 cm</v>
          </cell>
          <cell r="B493" t="str">
            <v>Đồng/cây</v>
          </cell>
          <cell r="C493" t="str">
            <v>540.000</v>
          </cell>
        </row>
        <row r="494">
          <cell r="A494" t="str">
            <v>Cây quất hồng bì đường kính thân 30 cm &lt; ĐK thân ≤ 40 cm</v>
          </cell>
          <cell r="B494" t="str">
            <v>Đồng/cây</v>
          </cell>
          <cell r="C494" t="str">
            <v>720.000</v>
          </cell>
        </row>
        <row r="495">
          <cell r="A495" t="str">
            <v>Cây quất hồng bì ĐK thân &gt; 40 cm</v>
          </cell>
          <cell r="B495" t="str">
            <v>Đồng/cây</v>
          </cell>
          <cell r="C495" t="str">
            <v>1.000.000</v>
          </cell>
        </row>
        <row r="496">
          <cell r="A496" t="str">
            <v>Cây sung quả</v>
          </cell>
        </row>
        <row r="497">
          <cell r="A497" t="str">
            <v>Cây sung quả Giống đủ tiêu chuẩn mới trồng, chiều cao cây H ≥ 40cm</v>
          </cell>
          <cell r="B497" t="str">
            <v>Đồng/cây</v>
          </cell>
          <cell r="C497" t="str">
            <v>15.000</v>
          </cell>
        </row>
        <row r="498">
          <cell r="A498" t="str">
            <v>Cây sung quả ĐK thân ≤5 cm</v>
          </cell>
          <cell r="B498" t="str">
            <v>Đồng/cây</v>
          </cell>
          <cell r="C498" t="str">
            <v>68.000</v>
          </cell>
        </row>
        <row r="499">
          <cell r="A499" t="str">
            <v>Cây sung quả đường kính thân 5 cm &lt; ĐK thân ≤ 10 cm</v>
          </cell>
          <cell r="B499" t="str">
            <v>Đồng/cây</v>
          </cell>
          <cell r="C499" t="str">
            <v>187.000</v>
          </cell>
        </row>
        <row r="500">
          <cell r="A500" t="str">
            <v>Cây sung quả đường kính thân 10 cm &lt; ĐK thân ≤ 15 cm</v>
          </cell>
          <cell r="B500" t="str">
            <v>Đồng/cây</v>
          </cell>
          <cell r="C500" t="str">
            <v>373.000</v>
          </cell>
        </row>
        <row r="501">
          <cell r="A501" t="str">
            <v>Cây sung quả đường kính thân 15 cm &lt; ĐK thân ≤ 25 cm</v>
          </cell>
          <cell r="B501" t="str">
            <v>Đồng/cây</v>
          </cell>
          <cell r="C501" t="str">
            <v>560.000</v>
          </cell>
        </row>
        <row r="502">
          <cell r="A502" t="str">
            <v>Cây sung quả đường kính thân 25 cm &lt; ĐK thân ≤ 40 cm</v>
          </cell>
          <cell r="B502" t="str">
            <v>Đồng/cây</v>
          </cell>
          <cell r="C502" t="str">
            <v>747.000</v>
          </cell>
        </row>
        <row r="503">
          <cell r="A503" t="str">
            <v>Cây sung quả ĐK thân &gt; 40 cm</v>
          </cell>
          <cell r="B503" t="str">
            <v>Đồng/cây</v>
          </cell>
          <cell r="C503" t="str">
            <v>1.120.000</v>
          </cell>
        </row>
        <row r="504">
          <cell r="A504" t="str">
            <v>Cây thị</v>
          </cell>
        </row>
        <row r="505">
          <cell r="A505" t="str">
            <v>Cây thị ĐK thân ≤ 5 cm</v>
          </cell>
          <cell r="B505" t="str">
            <v>Đồng/cây</v>
          </cell>
          <cell r="C505" t="str">
            <v>62.000</v>
          </cell>
        </row>
        <row r="506">
          <cell r="A506" t="str">
            <v>Cây thị đường kính thân 5 cm &lt; ĐK thân ≤ 10 cm</v>
          </cell>
          <cell r="B506" t="str">
            <v>Đồng/cây</v>
          </cell>
          <cell r="C506" t="str">
            <v>199.000</v>
          </cell>
        </row>
        <row r="507">
          <cell r="A507" t="str">
            <v>Cây thị đường kính thân 10 cm &lt; ĐK thân ≤ 15 cm</v>
          </cell>
          <cell r="B507" t="str">
            <v>Đồng/cây</v>
          </cell>
          <cell r="C507" t="str">
            <v>373.000</v>
          </cell>
        </row>
        <row r="508">
          <cell r="A508" t="str">
            <v>Cây thị đường kính thân 15 cm &lt; ĐK thân ≤ 25 cm</v>
          </cell>
          <cell r="B508" t="str">
            <v>Đồng/cây</v>
          </cell>
          <cell r="C508" t="str">
            <v>460.000</v>
          </cell>
        </row>
        <row r="509">
          <cell r="A509" t="str">
            <v>Cây thị đường kính thân 25 cm &lt; ĐK thân ≤ 35 cm</v>
          </cell>
          <cell r="B509" t="str">
            <v>Đồng/cây</v>
          </cell>
          <cell r="C509" t="str">
            <v>722.000</v>
          </cell>
        </row>
        <row r="510">
          <cell r="A510" t="str">
            <v>Cây thị đường kính thân 35 cm &lt; ĐK thân ≤ 50 cm</v>
          </cell>
          <cell r="B510" t="str">
            <v>Đồng/cây .</v>
          </cell>
          <cell r="C510" t="str">
            <v>984.000</v>
          </cell>
        </row>
        <row r="511">
          <cell r="A511" t="str">
            <v>Cây thị ĐK thân &gt; 50 cm</v>
          </cell>
          <cell r="B511" t="str">
            <v>Đồng/cây</v>
          </cell>
          <cell r="C511" t="str">
            <v>1.246.000</v>
          </cell>
        </row>
        <row r="512">
          <cell r="A512" t="str">
            <v>Cây dâu da xoan</v>
          </cell>
        </row>
        <row r="513">
          <cell r="A513" t="str">
            <v>Cây dâu da xoan giống đủ tiêu chuẩn mới trồng, chiều cao cây H ≥ 40cm</v>
          </cell>
          <cell r="B513" t="str">
            <v>Đồng/cây</v>
          </cell>
          <cell r="C513" t="str">
            <v>15.000</v>
          </cell>
        </row>
        <row r="514">
          <cell r="A514" t="str">
            <v>Cây dâu da xoan ĐK thân ≤ 5 cm</v>
          </cell>
          <cell r="B514" t="str">
            <v>Đồng/cây</v>
          </cell>
          <cell r="C514" t="str">
            <v>100.000</v>
          </cell>
        </row>
        <row r="515">
          <cell r="A515" t="str">
            <v>Cây dâu da xoan đường kính thân 5 cm &lt; ĐK thân ≤ 10 cm</v>
          </cell>
          <cell r="B515" t="str">
            <v>Đồng/cây</v>
          </cell>
          <cell r="C515" t="str">
            <v>187.000</v>
          </cell>
        </row>
        <row r="516">
          <cell r="A516" t="str">
            <v>Cây dâu da xoan đường kính thân 10 cm &lt; ĐK thân ≤ 15 cm</v>
          </cell>
          <cell r="B516" t="str">
            <v>Đồng/cây</v>
          </cell>
          <cell r="C516" t="str">
            <v>249.000</v>
          </cell>
        </row>
        <row r="517">
          <cell r="A517" t="str">
            <v>Cây dâu da xoan đường kính thân 15 cm &lt; ĐK thân ≤ 25 cm</v>
          </cell>
          <cell r="B517" t="str">
            <v>Đồng/cây</v>
          </cell>
          <cell r="C517" t="str">
            <v>336.000</v>
          </cell>
        </row>
        <row r="518">
          <cell r="A518" t="str">
            <v>Cây dâu da xoan đường kính thân 25 cm &lt; ĐK thân ≤ 40 cm</v>
          </cell>
          <cell r="B518" t="str">
            <v>Đồng/cây</v>
          </cell>
          <cell r="C518" t="str">
            <v>473.000</v>
          </cell>
        </row>
        <row r="519">
          <cell r="A519" t="str">
            <v>Cây dâu da xoan đường kính thân 40 cm &lt; ĐK thân ≤ 60 cm</v>
          </cell>
          <cell r="B519" t="str">
            <v>Đồng/cây</v>
          </cell>
          <cell r="C519" t="str">
            <v>659.000</v>
          </cell>
        </row>
        <row r="520">
          <cell r="A520" t="str">
            <v>Cây dâu da xoan ĐK thân &gt; 60 cm</v>
          </cell>
          <cell r="B520" t="str">
            <v>Đồng/cây</v>
          </cell>
          <cell r="C520" t="str">
            <v>871.000</v>
          </cell>
        </row>
        <row r="521">
          <cell r="A521" t="str">
            <v>Cây dâu tằm lấy quả</v>
          </cell>
        </row>
        <row r="522">
          <cell r="A522" t="str">
            <v>Cây dâu tằm lấy quả Cây giống đủ tiêu chuẩn mới trồng</v>
          </cell>
          <cell r="B522" t="str">
            <v>Đồng/cây</v>
          </cell>
          <cell r="C522" t="str">
            <v>15.000</v>
          </cell>
        </row>
        <row r="523">
          <cell r="A523" t="str">
            <v>Cây dâu tằm lấy quả ĐK thân &lt; 2 cm</v>
          </cell>
          <cell r="B523" t="str">
            <v>Đông/cây</v>
          </cell>
          <cell r="C523" t="str">
            <v>19.000</v>
          </cell>
        </row>
        <row r="524">
          <cell r="A524" t="str">
            <v>Cây dâu tằm lấy quả đường kính thân 2 cm ≤  ĐK thân &lt; 4 cm</v>
          </cell>
          <cell r="B524" t="str">
            <v>Đồng/cây</v>
          </cell>
          <cell r="C524" t="str">
            <v>35.000</v>
          </cell>
        </row>
        <row r="525">
          <cell r="A525" t="str">
            <v>Cây dâu tằm lấy quả đường kính thân 4 cm ≤ ĐK thân &lt; 6 cm</v>
          </cell>
          <cell r="B525" t="str">
            <v>Đồng/cây</v>
          </cell>
          <cell r="C525" t="str">
            <v>106.000</v>
          </cell>
        </row>
        <row r="526">
          <cell r="A526" t="str">
            <v>Cây dâu tằm lấy quả đường kính thân 6 cm ≤ ĐK thân ≤ 10 cm</v>
          </cell>
          <cell r="B526" t="str">
            <v>Đồng/cây</v>
          </cell>
          <cell r="C526" t="str">
            <v>249.000</v>
          </cell>
        </row>
        <row r="527">
          <cell r="A527" t="str">
            <v>Cây dâu tằm lấy quả ĐK thân &gt; 10 cm</v>
          </cell>
          <cell r="B527" t="str">
            <v>Đồng/cây</v>
          </cell>
          <cell r="C527" t="str">
            <v>435.000</v>
          </cell>
        </row>
        <row r="528">
          <cell r="A528" t="str">
            <v>Cây Hoa hồng trồng cắt cành</v>
          </cell>
        </row>
        <row r="529">
          <cell r="A529" t="str">
            <v>Cây Hoa hồng trồng cắt cành ĐK thân ≤ 1 cm</v>
          </cell>
          <cell r="B529" t="str">
            <v>Đồng/cây</v>
          </cell>
          <cell r="C529" t="str">
            <v>62.000</v>
          </cell>
        </row>
        <row r="530">
          <cell r="A530" t="str">
            <v>Cây Hoa hồng trồng cắt cành đường kính thân 1 cm &lt; ĐK thân ≤ 2 cm</v>
          </cell>
          <cell r="B530" t="str">
            <v>Đồng/cây</v>
          </cell>
          <cell r="C530" t="str">
            <v>185.000</v>
          </cell>
        </row>
        <row r="531">
          <cell r="A531" t="str">
            <v>Cây Hoa hồng trồng cắt cành đường kính thân 2 cm &lt; ĐK thân ≤ 3 cm</v>
          </cell>
          <cell r="B531" t="str">
            <v>Đồng/cây</v>
          </cell>
          <cell r="C531" t="str">
            <v>308.000</v>
          </cell>
        </row>
        <row r="532">
          <cell r="A532" t="str">
            <v>Cây Hoa hồng trồng cắt cành đường kính thân 3 cm &lt; ĐK thân ≤ 5 cm</v>
          </cell>
          <cell r="B532" t="str">
            <v>Đồng/cây</v>
          </cell>
          <cell r="C532" t="str">
            <v>431.000</v>
          </cell>
        </row>
        <row r="533">
          <cell r="A533" t="str">
            <v>Cây Hoa hồng trồng cắt cành ĐK thân &gt; 5 cm</v>
          </cell>
          <cell r="B533" t="str">
            <v>Đồng/cây</v>
          </cell>
          <cell r="C533" t="str">
            <v>554.000</v>
          </cell>
        </row>
        <row r="534">
          <cell r="A534" t="str">
            <v>Cây lê</v>
          </cell>
        </row>
        <row r="535">
          <cell r="A535" t="str">
            <v>Cây lê giống mới trồng</v>
          </cell>
          <cell r="B535" t="str">
            <v>Đồng/cây</v>
          </cell>
          <cell r="C535" t="str">
            <v>15.000</v>
          </cell>
        </row>
        <row r="536">
          <cell r="A536" t="str">
            <v>Cây lê ĐK thân ≤ 5 cm</v>
          </cell>
          <cell r="B536" t="str">
            <v>Đồng/cây</v>
          </cell>
          <cell r="C536" t="str">
            <v>85.000</v>
          </cell>
        </row>
        <row r="537">
          <cell r="A537" t="str">
            <v>Cây lê đường kính thân 5 cm &lt; ĐK thân ≤ 7 cm</v>
          </cell>
          <cell r="B537" t="str">
            <v>Đồng/cây</v>
          </cell>
          <cell r="C537" t="str">
            <v>174.000</v>
          </cell>
        </row>
        <row r="538">
          <cell r="A538" t="str">
            <v>Cây lê đường kính thân 7 cm &lt; ĐK thân ≤ 11 cm</v>
          </cell>
          <cell r="B538" t="str">
            <v>Đồng/cây</v>
          </cell>
          <cell r="C538" t="str">
            <v>398.000</v>
          </cell>
        </row>
        <row r="539">
          <cell r="A539" t="str">
            <v>Cây lê đường kính thân 11 cm &lt; ĐK thân ≤ 15 cm</v>
          </cell>
          <cell r="B539" t="str">
            <v>Đồng/cây</v>
          </cell>
          <cell r="C539" t="str">
            <v>571.000</v>
          </cell>
        </row>
        <row r="540">
          <cell r="A540" t="str">
            <v>Cây lê đường kính thân 15 cm &lt; ĐK thân ≤ 20 cm</v>
          </cell>
          <cell r="B540" t="str">
            <v>Đồng/cây</v>
          </cell>
          <cell r="C540" t="str">
            <v>720.000</v>
          </cell>
        </row>
        <row r="541">
          <cell r="A541" t="str">
            <v>Cây lê đường kính thân 20 cm &lt; ĐK thân ≤ 25 cm</v>
          </cell>
          <cell r="B541" t="str">
            <v>Đồng/cây</v>
          </cell>
          <cell r="C541" t="str">
            <v>893.000</v>
          </cell>
        </row>
        <row r="542">
          <cell r="A542" t="str">
            <v>Cây lê ĐK thân &gt; 25 cm</v>
          </cell>
          <cell r="B542" t="str">
            <v>Đồng/cây</v>
          </cell>
          <cell r="C542" t="str">
            <v>1.100.000</v>
          </cell>
        </row>
        <row r="543">
          <cell r="A543" t="str">
            <v>Nho thân gỗ</v>
          </cell>
        </row>
        <row r="544">
          <cell r="A544" t="str">
            <v>Nho thân gỗ ĐK thân ≤ 5 cm</v>
          </cell>
          <cell r="B544" t="str">
            <v>Đồng/cây</v>
          </cell>
          <cell r="C544" t="str">
            <v>170.000</v>
          </cell>
        </row>
        <row r="545">
          <cell r="A545" t="str">
            <v>Nho thân gỗ đường kính thân 5 cm &lt; ĐK thân ≤ 10 cm</v>
          </cell>
          <cell r="B545" t="str">
            <v>Đồng/cây</v>
          </cell>
          <cell r="C545" t="str">
            <v>370.000</v>
          </cell>
        </row>
        <row r="546">
          <cell r="A546" t="str">
            <v>Nho thân gỗ đường kính thân 10 cm &lt; ĐK thân  ≤ 15 cm</v>
          </cell>
          <cell r="B546" t="str">
            <v>Đồng/cây</v>
          </cell>
          <cell r="C546" t="str">
            <v>740.000</v>
          </cell>
        </row>
        <row r="547">
          <cell r="A547" t="str">
            <v>Nho thân gỗ đường kính thân 15 cm &lt; ĐK thân ≤ 25 cm</v>
          </cell>
          <cell r="B547" t="str">
            <v>Đồng/cây</v>
          </cell>
          <cell r="C547" t="str">
            <v>1.480.000</v>
          </cell>
        </row>
        <row r="548">
          <cell r="A548" t="str">
            <v>Nho thân gỗ ĐK thân &gt; 25 cm</v>
          </cell>
          <cell r="B548" t="str">
            <v>Đồng/cây</v>
          </cell>
          <cell r="C548" t="str">
            <v>2.960.000</v>
          </cell>
        </row>
        <row r="549">
          <cell r="A549" t="str">
            <v>Cây mãng cầu</v>
          </cell>
        </row>
        <row r="550">
          <cell r="A550" t="str">
            <v>Cây mãng cầu mới trồng &lt; 01 năm (cây từ hạt)</v>
          </cell>
          <cell r="B550" t="str">
            <v>Đồng/cây</v>
          </cell>
          <cell r="C550" t="str">
            <v>20.000</v>
          </cell>
        </row>
        <row r="551">
          <cell r="A551" t="str">
            <v>Cây mãng cầu mới trồng &lt; 01 năm (cây ghép)</v>
          </cell>
          <cell r="B551" t="str">
            <v>Đồng/cây</v>
          </cell>
          <cell r="C551" t="str">
            <v>40.000</v>
          </cell>
        </row>
        <row r="552">
          <cell r="A552" t="str">
            <v>Cây mãng cầu ĐK thân ≤ 5 cm</v>
          </cell>
          <cell r="B552" t="str">
            <v>Đồng/cây</v>
          </cell>
          <cell r="C552" t="str">
            <v>124.000</v>
          </cell>
        </row>
        <row r="553">
          <cell r="A553" t="str">
            <v>Cây mãng cầu đường kính thân 3 cm &lt; ĐK thân ≤ 5 cm</v>
          </cell>
          <cell r="B553" t="str">
            <v>Đồng/cây</v>
          </cell>
          <cell r="C553" t="str">
            <v>274.000</v>
          </cell>
        </row>
        <row r="554">
          <cell r="A554" t="str">
            <v>Cây mãng cầu đường kính thân 5 cm &lt; ĐK thân ≤ 7 cm</v>
          </cell>
          <cell r="B554" t="str">
            <v>Đồng/cây</v>
          </cell>
          <cell r="C554" t="str">
            <v>547.000</v>
          </cell>
        </row>
        <row r="555">
          <cell r="A555" t="str">
            <v>Cây mãng cầu đường kính thân 7 cm &lt; ĐK thân ≤ 10 cm</v>
          </cell>
          <cell r="B555" t="str">
            <v>Đồng/cây</v>
          </cell>
          <cell r="C555" t="str">
            <v>834.000</v>
          </cell>
        </row>
        <row r="556">
          <cell r="A556" t="str">
            <v>Cây mãng cầu ĐK thân &gt; 10 cm</v>
          </cell>
          <cell r="B556" t="str">
            <v>Đông/cây</v>
          </cell>
          <cell r="C556" t="str">
            <v>1.244.000</v>
          </cell>
        </row>
        <row r="557">
          <cell r="A557" t="str">
            <v>Cây sa kê</v>
          </cell>
        </row>
        <row r="558">
          <cell r="A558" t="str">
            <v>Cây sa kê mới trồng &lt; 01 năm (cây từ hạt)</v>
          </cell>
          <cell r="B558" t="str">
            <v>Đồng/cây</v>
          </cell>
          <cell r="C558" t="str">
            <v>20.000</v>
          </cell>
        </row>
        <row r="559">
          <cell r="A559" t="str">
            <v>Cây sa kê mới trồng &lt; 01 năm (cây ghép)</v>
          </cell>
          <cell r="B559" t="str">
            <v>Đồng/cây</v>
          </cell>
          <cell r="C559" t="str">
            <v>40.000</v>
          </cell>
        </row>
        <row r="560">
          <cell r="A560" t="str">
            <v>Cây sa kê ĐK thân ≤ 5 cm</v>
          </cell>
          <cell r="B560" t="str">
            <v>Đồng/cây</v>
          </cell>
          <cell r="C560" t="str">
            <v>124.000</v>
          </cell>
        </row>
        <row r="561">
          <cell r="A561" t="str">
            <v>Cây sa kê đường kính thân 3 cm &lt; ĐK thân ≤ 5 cm</v>
          </cell>
          <cell r="B561" t="str">
            <v>Đồng/cây</v>
          </cell>
          <cell r="C561" t="str">
            <v>274.000</v>
          </cell>
        </row>
        <row r="562">
          <cell r="A562" t="str">
            <v>Cây sa kê đường kính thân 5 cm &lt; ĐK thân ≤ 7 cm</v>
          </cell>
          <cell r="B562" t="str">
            <v>Đồng/cây</v>
          </cell>
          <cell r="C562" t="str">
            <v>547.000</v>
          </cell>
        </row>
        <row r="563">
          <cell r="A563" t="str">
            <v>Cây sa kê đường kính thân 7 cm &lt; ĐK thân ≤ 10 cm</v>
          </cell>
          <cell r="B563" t="str">
            <v>Đồng/cây</v>
          </cell>
          <cell r="C563" t="str">
            <v>834.000</v>
          </cell>
        </row>
        <row r="564">
          <cell r="A564" t="str">
            <v>Cây sa kê ĐK thân &gt; 10 cm</v>
          </cell>
          <cell r="B564" t="str">
            <v>Đông/cây</v>
          </cell>
          <cell r="C564" t="str">
            <v>1.244.000</v>
          </cell>
        </row>
        <row r="565">
          <cell r="A565" t="str">
            <v>Cây phật thủ</v>
          </cell>
        </row>
        <row r="566">
          <cell r="A566" t="str">
            <v>Cây phật thủ ĐK thân ≤ 5 cm</v>
          </cell>
          <cell r="B566" t="str">
            <v>Đồng/cây</v>
          </cell>
          <cell r="C566" t="str">
            <v>87.000</v>
          </cell>
        </row>
        <row r="567">
          <cell r="A567" t="str">
            <v>Cây phật thủ đường kính thân 5 cm &lt; ĐK thân ≤ 10 cm</v>
          </cell>
          <cell r="B567" t="str">
            <v>Đồng/cây</v>
          </cell>
          <cell r="C567" t="str">
            <v>162.000</v>
          </cell>
        </row>
        <row r="568">
          <cell r="A568" t="str">
            <v>Cây phật thủ đường kính thân 10 cm &lt; ĐK thân ≤ 15 cm</v>
          </cell>
          <cell r="B568" t="str">
            <v>Đồng/cây</v>
          </cell>
          <cell r="C568" t="str">
            <v>274.000</v>
          </cell>
        </row>
        <row r="569">
          <cell r="A569" t="str">
            <v>Cây phật thủ đường kính thân 15 cm &lt; ĐK thân ≤ 20 cm</v>
          </cell>
          <cell r="B569" t="str">
            <v>Đồng/cây</v>
          </cell>
          <cell r="C569" t="str">
            <v>398.000</v>
          </cell>
        </row>
        <row r="570">
          <cell r="A570" t="str">
            <v>Cây phật thủ đường kính thân 20 cm &lt; ĐK thân ≤ 30 cm</v>
          </cell>
          <cell r="B570" t="str">
            <v>Đồng/cây</v>
          </cell>
          <cell r="C570" t="str">
            <v>523.000</v>
          </cell>
        </row>
        <row r="571">
          <cell r="A571" t="str">
            <v>Cây phật thủ ĐK thân &gt;30 cm</v>
          </cell>
          <cell r="B571" t="str">
            <v>Đồng/cây</v>
          </cell>
          <cell r="C571" t="str">
            <v>970.000</v>
          </cell>
        </row>
        <row r="572">
          <cell r="A572" t="str">
            <v>Cây đào tiên</v>
          </cell>
        </row>
        <row r="573">
          <cell r="A573" t="str">
            <v>Cây đào tiên giống Loại cây ghép có chiều cao cây 40cm &lt; H ≤ 1m</v>
          </cell>
          <cell r="B573" t="str">
            <v>Đồng/cây</v>
          </cell>
          <cell r="C573" t="str">
            <v>20.000</v>
          </cell>
        </row>
        <row r="574">
          <cell r="A574" t="str">
            <v>Cây đào tiên giống Loại cây ghép có chiêu cao cây H ≥ 1m</v>
          </cell>
          <cell r="B574" t="str">
            <v>Đồng/cây</v>
          </cell>
          <cell r="C574" t="str">
            <v>30.000</v>
          </cell>
        </row>
        <row r="575">
          <cell r="A575" t="str">
            <v>Cây đào tiên giống Loại cây chiết cành có chiều cao cây 40cm ≤ H &lt; 1m</v>
          </cell>
          <cell r="B575" t="str">
            <v>Đồng/cây</v>
          </cell>
          <cell r="C575" t="str">
            <v>35.000</v>
          </cell>
        </row>
        <row r="576">
          <cell r="A576" t="str">
            <v>Cây đào tiên giống Loại cây chiết cành có chiều cao cây H ≥ 1m</v>
          </cell>
          <cell r="B576" t="str">
            <v>Đồng/cây</v>
          </cell>
          <cell r="C576" t="str">
            <v>40.000</v>
          </cell>
        </row>
        <row r="577">
          <cell r="A577" t="str">
            <v>Cây đào tiên đường kính thân 2 cm &lt; ĐK thân ≤ 5 cm</v>
          </cell>
          <cell r="B577" t="str">
            <v>Đồng/cây</v>
          </cell>
          <cell r="C577" t="str">
            <v>120.000</v>
          </cell>
        </row>
        <row r="578">
          <cell r="A578" t="str">
            <v>Cây đào tiên đường kính thân 5 cm &lt; ĐK thân ≤ 10 cm</v>
          </cell>
          <cell r="B578" t="str">
            <v>Đồng/cây</v>
          </cell>
          <cell r="C578" t="str">
            <v>250.000</v>
          </cell>
        </row>
        <row r="579">
          <cell r="A579" t="str">
            <v>Cây đào tiên đường kính thân 10cm &lt; Đkthân ≤ 20 cm</v>
          </cell>
          <cell r="B579" t="str">
            <v>Đồng/cây</v>
          </cell>
          <cell r="C579" t="str">
            <v>500.000</v>
          </cell>
        </row>
        <row r="580">
          <cell r="A580" t="str">
            <v>Cây đào tiên ĐK thân &gt; 20 cm</v>
          </cell>
          <cell r="B580" t="str">
            <v>Đồng/cây</v>
          </cell>
          <cell r="C580" t="str">
            <v>700.000</v>
          </cell>
        </row>
        <row r="581">
          <cell r="A581" t="str">
            <v>Cây hoa sữa</v>
          </cell>
        </row>
        <row r="582">
          <cell r="A582" t="str">
            <v>Cây hoa sữa giống mới trồng</v>
          </cell>
          <cell r="B582" t="str">
            <v>Đồng/cây</v>
          </cell>
          <cell r="C582" t="str">
            <v>20.000</v>
          </cell>
        </row>
        <row r="583">
          <cell r="A583" t="str">
            <v>Cây hoa sữa đường kính thân 2 cm &lt; ĐK thân ≤ 5 cm</v>
          </cell>
          <cell r="B583" t="str">
            <v>Đồng/cây</v>
          </cell>
          <cell r="C583" t="str">
            <v>70.000</v>
          </cell>
        </row>
        <row r="584">
          <cell r="A584" t="str">
            <v>Cây hoa sữa đường kính thân 5 cm &lt; ĐK thân ≤ 10 cm</v>
          </cell>
          <cell r="B584" t="str">
            <v>Đồng/cây</v>
          </cell>
          <cell r="C584" t="str">
            <v>110.000</v>
          </cell>
        </row>
        <row r="585">
          <cell r="A585" t="str">
            <v>Cây hoa sữa đường kính thân 10 cm &lt; ĐK thân ≤ 15 cm</v>
          </cell>
          <cell r="B585" t="str">
            <v>Đồng/cây</v>
          </cell>
          <cell r="C585" t="str">
            <v>200.000</v>
          </cell>
        </row>
        <row r="586">
          <cell r="A586" t="str">
            <v>Cây hoa sữa đường kính thân 15 cm &lt; ĐK thân ≤ 25 cm</v>
          </cell>
          <cell r="B586" t="str">
            <v>Đồng/cây</v>
          </cell>
          <cell r="C586" t="str">
            <v>270.000</v>
          </cell>
        </row>
        <row r="587">
          <cell r="A587" t="str">
            <v>Cây hoa sữa đường kính thân 25 cm &lt; ĐK thân ≤ 40 cm</v>
          </cell>
          <cell r="B587" t="str">
            <v>Đồng/cây</v>
          </cell>
          <cell r="C587" t="str">
            <v>360.000</v>
          </cell>
        </row>
        <row r="588">
          <cell r="A588" t="str">
            <v>Cây hoa sữa ĐK thân &gt; 40 cm</v>
          </cell>
          <cell r="B588" t="str">
            <v>Đồng/cây</v>
          </cell>
          <cell r="C588" t="str">
            <v>520.000</v>
          </cell>
        </row>
        <row r="589">
          <cell r="A589" t="str">
            <v>Cây hoa gạo</v>
          </cell>
        </row>
        <row r="590">
          <cell r="A590" t="str">
            <v>Cây hoa gạo giống mới trồng</v>
          </cell>
          <cell r="B590" t="str">
            <v>Đồng/cây</v>
          </cell>
          <cell r="C590" t="str">
            <v>20.000</v>
          </cell>
        </row>
        <row r="591">
          <cell r="A591" t="str">
            <v>Cây hoa gạo đường kính thân 2 cm &lt; ĐK thân ≤ 5 cm</v>
          </cell>
          <cell r="B591" t="str">
            <v>Đồng/cây</v>
          </cell>
          <cell r="C591" t="str">
            <v>70.000</v>
          </cell>
        </row>
        <row r="592">
          <cell r="A592" t="str">
            <v>Cây hoa gạo đường kính thân 5 cm &lt; ĐK thân ≤ 10 cm</v>
          </cell>
          <cell r="B592" t="str">
            <v>Đồng/cây</v>
          </cell>
          <cell r="C592" t="str">
            <v>110.000</v>
          </cell>
        </row>
        <row r="593">
          <cell r="A593" t="str">
            <v>Cây hoa gạo đường kính thân 10 cm &lt; ĐK thân ≤ 15 cm</v>
          </cell>
          <cell r="B593" t="str">
            <v>Đồng/cây</v>
          </cell>
          <cell r="C593" t="str">
            <v>200.000</v>
          </cell>
        </row>
        <row r="594">
          <cell r="A594" t="str">
            <v>Cây hoa gạo đường kính thân 15 cm &lt; ĐK thân ≤ 25 cm</v>
          </cell>
          <cell r="B594" t="str">
            <v>Đồng/cây</v>
          </cell>
          <cell r="C594" t="str">
            <v>270.000</v>
          </cell>
        </row>
        <row r="595">
          <cell r="A595" t="str">
            <v>Cây hoa gạo đường kính thân 25 cm &lt; ĐK thân ≤ 40 cm</v>
          </cell>
          <cell r="B595" t="str">
            <v>Đồng/cây</v>
          </cell>
          <cell r="C595" t="str">
            <v>360.000</v>
          </cell>
        </row>
        <row r="596">
          <cell r="A596" t="str">
            <v>Cây hoa gạo ĐK thân &gt; 40 cm</v>
          </cell>
          <cell r="B596" t="str">
            <v>Đồng/cây</v>
          </cell>
          <cell r="C596" t="str">
            <v>520.000</v>
          </cell>
        </row>
        <row r="597">
          <cell r="A597" t="str">
            <v>Cây hoa đại</v>
          </cell>
        </row>
        <row r="598">
          <cell r="A598" t="str">
            <v>Cây hoa đại cây giống mới trồng</v>
          </cell>
          <cell r="B598" t="str">
            <v>Đồng/cây</v>
          </cell>
          <cell r="C598" t="str">
            <v>20.000</v>
          </cell>
        </row>
        <row r="599">
          <cell r="A599" t="str">
            <v>Cây hoa đại đường kính thân 2 cm &lt; ĐK thân ≤ 5 cm</v>
          </cell>
          <cell r="B599" t="str">
            <v>Đồng/cây</v>
          </cell>
          <cell r="C599" t="str">
            <v>70.000</v>
          </cell>
        </row>
        <row r="600">
          <cell r="A600" t="str">
            <v>Cây hoa đại đường kính thân 5 cm &lt; ĐK thân ≤ 10 cm</v>
          </cell>
          <cell r="B600" t="str">
            <v>Đồng/cây</v>
          </cell>
          <cell r="C600" t="str">
            <v>110.000</v>
          </cell>
        </row>
        <row r="601">
          <cell r="A601" t="str">
            <v>Cây hoa đại đường kính thân 10 cm &lt; ĐK thân ≤ 15 cm</v>
          </cell>
          <cell r="B601" t="str">
            <v>Đồng/cây</v>
          </cell>
          <cell r="C601" t="str">
            <v>200.000</v>
          </cell>
        </row>
        <row r="602">
          <cell r="A602" t="str">
            <v>Cây hoa đại đường kính thân 15 cm &lt; ĐK thân ≤ 25 cm</v>
          </cell>
          <cell r="B602" t="str">
            <v>Đồng/cây</v>
          </cell>
          <cell r="C602" t="str">
            <v>270.000</v>
          </cell>
        </row>
        <row r="603">
          <cell r="A603" t="str">
            <v>Cây hoa đại đường kính thân 25 cm &lt; ĐK thân ≤ 40 cm</v>
          </cell>
          <cell r="B603" t="str">
            <v>Đồng/cây</v>
          </cell>
          <cell r="C603" t="str">
            <v>360.000</v>
          </cell>
        </row>
        <row r="604">
          <cell r="A604" t="str">
            <v>Cây hoa đại ĐK thân &gt; 40 cm</v>
          </cell>
          <cell r="B604" t="str">
            <v>Đồng/cây</v>
          </cell>
          <cell r="C604" t="str">
            <v>520.000</v>
          </cell>
        </row>
        <row r="605">
          <cell r="A605" t="str">
            <v>Cây hoa ban</v>
          </cell>
        </row>
        <row r="606">
          <cell r="A606" t="str">
            <v>Cây hoa ban cây giống mới trồng</v>
          </cell>
          <cell r="B606" t="str">
            <v>Đồng/cây</v>
          </cell>
          <cell r="C606" t="str">
            <v>20.000</v>
          </cell>
        </row>
        <row r="607">
          <cell r="A607" t="str">
            <v>Cây hoa ban đường kính thân 2 cm &lt; ĐK thân ≤ 5 cm</v>
          </cell>
          <cell r="B607" t="str">
            <v>Đồng/cây</v>
          </cell>
          <cell r="C607" t="str">
            <v>70.000</v>
          </cell>
        </row>
        <row r="608">
          <cell r="A608" t="str">
            <v>Cây hoa ban đường kính thân 5 cm &lt; ĐK thân ≤ 10 cm</v>
          </cell>
          <cell r="B608" t="str">
            <v>Đồng/cây</v>
          </cell>
          <cell r="C608" t="str">
            <v>110.000</v>
          </cell>
        </row>
        <row r="609">
          <cell r="A609" t="str">
            <v>Cây hoa ban đường kính thân 10 cm &lt; ĐK thân ≤ 15 cm</v>
          </cell>
          <cell r="B609" t="str">
            <v>Đồng/cây</v>
          </cell>
          <cell r="C609" t="str">
            <v>200.000</v>
          </cell>
        </row>
        <row r="610">
          <cell r="A610" t="str">
            <v>Cây hoa ban đường kính thân 15 cm &lt; ĐK thân ≤ 25 cm</v>
          </cell>
          <cell r="B610" t="str">
            <v>Đồng/cây</v>
          </cell>
          <cell r="C610" t="str">
            <v>270.000</v>
          </cell>
        </row>
        <row r="611">
          <cell r="A611" t="str">
            <v>Cây hoa ban đường kính thân 25 cm &lt; ĐK thân ≤ 40 cm</v>
          </cell>
          <cell r="B611" t="str">
            <v>Đồng/cây</v>
          </cell>
          <cell r="C611" t="str">
            <v>360.000</v>
          </cell>
        </row>
        <row r="612">
          <cell r="A612" t="str">
            <v>Cây hoa ban ĐK thân &gt; 40 cm</v>
          </cell>
          <cell r="B612" t="str">
            <v>Đồng/cây</v>
          </cell>
          <cell r="C612" t="str">
            <v>520.000</v>
          </cell>
        </row>
        <row r="613">
          <cell r="A613" t="str">
            <v>Cây móng bò</v>
          </cell>
        </row>
        <row r="614">
          <cell r="A614" t="str">
            <v>Cây móng bò cây giống mới trồng</v>
          </cell>
          <cell r="B614" t="str">
            <v>Đồng/cây</v>
          </cell>
          <cell r="C614" t="str">
            <v>20.000</v>
          </cell>
        </row>
        <row r="615">
          <cell r="A615" t="str">
            <v>Cây móng bò đường kính thân 2 cm &lt; ĐK thân ≤ 5 cm</v>
          </cell>
          <cell r="B615" t="str">
            <v>Đồng/cây</v>
          </cell>
          <cell r="C615" t="str">
            <v>70.000</v>
          </cell>
        </row>
        <row r="616">
          <cell r="A616" t="str">
            <v>Cây móng bò đường kính thân 5 cm &lt; ĐK thân ≤ 10 cm</v>
          </cell>
          <cell r="B616" t="str">
            <v>Đồng/cây</v>
          </cell>
          <cell r="C616" t="str">
            <v>110.000</v>
          </cell>
        </row>
        <row r="617">
          <cell r="A617" t="str">
            <v>Cây móng bò đường kính thân 10 cm &lt; ĐK thân ≤ 15 cm</v>
          </cell>
          <cell r="B617" t="str">
            <v>Đồng/cây</v>
          </cell>
          <cell r="C617" t="str">
            <v>200.000</v>
          </cell>
        </row>
        <row r="618">
          <cell r="A618" t="str">
            <v>Cây móng bò đường kính thân 15 cm &lt; ĐK thân ≤ 25 cm</v>
          </cell>
          <cell r="B618" t="str">
            <v>Đồng/cây</v>
          </cell>
          <cell r="C618" t="str">
            <v>270.000</v>
          </cell>
        </row>
        <row r="619">
          <cell r="A619" t="str">
            <v>Cây móng bò đường kính thân 25 cm &lt; ĐK thân ≤ 40 cm</v>
          </cell>
          <cell r="B619" t="str">
            <v>Đồng/cây</v>
          </cell>
          <cell r="C619" t="str">
            <v>360.000</v>
          </cell>
        </row>
        <row r="620">
          <cell r="A620" t="str">
            <v>Cây móng bò ĐK thân &gt; 40 cm</v>
          </cell>
          <cell r="B620" t="str">
            <v>Đồng/cây</v>
          </cell>
          <cell r="C620" t="str">
            <v>520.000</v>
          </cell>
        </row>
        <row r="621">
          <cell r="A621" t="str">
            <v>Cây phượng vĩ (bằng lăng, muồng, lim xẹt)</v>
          </cell>
        </row>
        <row r="622">
          <cell r="A622" t="str">
            <v>Cây phượng vĩ (bằng lăng, muồng, lim xẹt) cây giống mới trồng</v>
          </cell>
          <cell r="B622" t="str">
            <v>Đồng/cây</v>
          </cell>
          <cell r="C622" t="str">
            <v>15.000</v>
          </cell>
        </row>
        <row r="623">
          <cell r="A623" t="str">
            <v>Cây phượng vĩ (bằng lăng, muồng, lim xẹt) đường kính thân 2 cm &lt; ĐK thân ≤ 5 cm</v>
          </cell>
          <cell r="B623" t="str">
            <v>Đồng/cây</v>
          </cell>
          <cell r="C623" t="str">
            <v>80.000</v>
          </cell>
        </row>
        <row r="624">
          <cell r="A624" t="str">
            <v>Cây phượng vĩ (bằng lăng, muồng, lim xẹt) đường kính thân 5 cm &lt; ĐK thân ≤ 10 cm</v>
          </cell>
          <cell r="B624" t="str">
            <v>Đồng/cây</v>
          </cell>
          <cell r="C624" t="str">
            <v>150.000</v>
          </cell>
        </row>
        <row r="625">
          <cell r="A625" t="str">
            <v>Cây phượng vĩ (bằng lăng, muồng, lim xẹt) đường kính thân 10 cm &lt; ĐK thân ≤ 15 cm</v>
          </cell>
          <cell r="B625" t="str">
            <v>Đồng/cây</v>
          </cell>
          <cell r="C625" t="str">
            <v>200.000</v>
          </cell>
        </row>
        <row r="626">
          <cell r="A626" t="str">
            <v>Cây phượng vĩ (bằng lăng, muồng, lim xẹt) đường kính thân 15 cm &lt; ĐK thân ≤ 25 cm</v>
          </cell>
          <cell r="B626" t="str">
            <v>Đồng/cây</v>
          </cell>
          <cell r="C626" t="str">
            <v>270.000</v>
          </cell>
        </row>
        <row r="627">
          <cell r="A627" t="str">
            <v>Cây phượng vĩ (bằng lăng, muồng, lim xẹt) đường kính thân 25 cm &lt; ĐK thân ≤ 40 cm</v>
          </cell>
          <cell r="B627" t="str">
            <v>Đồng/cây</v>
          </cell>
          <cell r="C627" t="str">
            <v>380.000</v>
          </cell>
        </row>
        <row r="628">
          <cell r="A628" t="str">
            <v>Cây phượng vĩ (bằng lăng, muồng, lim xẹt) đường kính thân 40 cm &lt; ĐK thân ≤ 60 cm</v>
          </cell>
          <cell r="B628" t="str">
            <v>Đồng/cây</v>
          </cell>
          <cell r="C628" t="str">
            <v>530.000</v>
          </cell>
        </row>
        <row r="629">
          <cell r="A629" t="str">
            <v>Cây phượng vĩ (bằng lăng, muồng, lim xẹt) ĐK thân &gt; 60 cm</v>
          </cell>
          <cell r="B629" t="str">
            <v>Đồng/cây</v>
          </cell>
          <cell r="C629" t="str">
            <v>700.000</v>
          </cell>
        </row>
        <row r="630">
          <cell r="A630" t="str">
            <v>Cây long não, bồ đề</v>
          </cell>
        </row>
        <row r="631">
          <cell r="A631" t="str">
            <v>Cây long não, bồ đề giống đủ tiêu chuẩn mới trồng, chiều cao cây H ≤ 40cm</v>
          </cell>
          <cell r="B631" t="str">
            <v>Đồng/cây</v>
          </cell>
          <cell r="C631" t="str">
            <v>30.000</v>
          </cell>
        </row>
        <row r="632">
          <cell r="A632" t="str">
            <v>Cây long não, bồ đề đường kính gốc 1cm ≤ ĐK gốc &lt; 3cm</v>
          </cell>
          <cell r="B632" t="str">
            <v>Đồng/cây</v>
          </cell>
          <cell r="C632" t="str">
            <v>75.000</v>
          </cell>
        </row>
        <row r="633">
          <cell r="A633" t="str">
            <v>Cây long não, bồ đề đường kính gốc 3 cm ≤ ĐK gốc &lt; 5 cm</v>
          </cell>
          <cell r="B633" t="str">
            <v>Đồng/cây</v>
          </cell>
          <cell r="C633" t="str">
            <v>180.000</v>
          </cell>
        </row>
        <row r="634">
          <cell r="A634" t="str">
            <v>Cây long não, bồ đề đường kính gốc 5cm ≤ ĐK gốc &lt; 10cm</v>
          </cell>
          <cell r="B634" t="str">
            <v>Đồng/cây</v>
          </cell>
          <cell r="C634" t="str">
            <v>300.000</v>
          </cell>
        </row>
        <row r="635">
          <cell r="A635" t="str">
            <v>Cây long não, bồ đề đường kính gốc 10cm ≤ ĐK gốc &lt; 15cm</v>
          </cell>
          <cell r="B635" t="str">
            <v>Đồng/cây</v>
          </cell>
          <cell r="C635" t="str">
            <v>444.000</v>
          </cell>
        </row>
        <row r="636">
          <cell r="A636" t="str">
            <v>Cây long não, bồ đề đường kính gốc 15cm ≤ ĐK gôc &lt; 20cm</v>
          </cell>
          <cell r="B636" t="str">
            <v>Đồng/cây</v>
          </cell>
          <cell r="C636" t="str">
            <v>540.000</v>
          </cell>
        </row>
        <row r="637">
          <cell r="A637" t="str">
            <v>Cây long não, bồ đề đường kính gốc 20cm ≤ ĐK gốc &lt; 30cm</v>
          </cell>
          <cell r="B637" t="str">
            <v>Đồng/cây</v>
          </cell>
          <cell r="C637" t="str">
            <v>960.000</v>
          </cell>
        </row>
        <row r="638">
          <cell r="A638" t="str">
            <v>Cây long não, bồ đề đường kính gốc 30cm ≤ ĐK gốc &lt; 40cm</v>
          </cell>
          <cell r="B638" t="str">
            <v>Đồng/cây</v>
          </cell>
          <cell r="C638" t="str">
            <v>1.200.000</v>
          </cell>
        </row>
        <row r="639">
          <cell r="A639" t="str">
            <v>Cây long não, bồ đề ĐK gốc ≥ 40cm</v>
          </cell>
          <cell r="B639" t="str">
            <v>Đồng/cây</v>
          </cell>
          <cell r="C639" t="str">
            <v>1.440.000</v>
          </cell>
        </row>
        <row r="640">
          <cell r="A640" t="str">
            <v>Sao đen</v>
          </cell>
          <cell r="B640" t="str">
            <v>Đồng/cây</v>
          </cell>
        </row>
        <row r="641">
          <cell r="A641" t="str">
            <v>Sao đen đường kính gốc 1 cm ≤ ĐK gốc &lt; 3cm</v>
          </cell>
          <cell r="B641" t="str">
            <v>Đồng/cây</v>
          </cell>
          <cell r="C641" t="str">
            <v>1.100.000</v>
          </cell>
        </row>
        <row r="642">
          <cell r="A642" t="str">
            <v>Sao đen đường kính gốc 3 cm ≤ ĐK gốc &lt; 5cm</v>
          </cell>
          <cell r="B642" t="str">
            <v>Đồng/cây</v>
          </cell>
          <cell r="C642" t="str">
            <v>1.700.000</v>
          </cell>
        </row>
        <row r="643">
          <cell r="A643" t="str">
            <v>Sao đen đường kính gốc 5cm ≤ ĐK gốc &lt; 7cm</v>
          </cell>
          <cell r="B643" t="str">
            <v>Đồng/cây</v>
          </cell>
          <cell r="C643" t="str">
            <v>2.000.000</v>
          </cell>
        </row>
        <row r="644">
          <cell r="A644" t="str">
            <v>Sao đen đường kính gốc 7cm ≤ ĐK gốc &lt; 9cm</v>
          </cell>
          <cell r="B644" t="str">
            <v>Đồng/cây</v>
          </cell>
          <cell r="C644" t="str">
            <v>3.000.000</v>
          </cell>
        </row>
        <row r="645">
          <cell r="A645" t="str">
            <v>Sao đen ĐK gốc ≥ 9cm</v>
          </cell>
          <cell r="B645" t="str">
            <v>Đồng/cây</v>
          </cell>
          <cell r="C645" t="str">
            <v>4.300.000</v>
          </cell>
        </row>
        <row r="646">
          <cell r="A646" t="str">
            <v>Cây sưa</v>
          </cell>
        </row>
        <row r="647">
          <cell r="A647" t="str">
            <v>Cây sưa Cây giống đủ tiêu chuẩn, mới trồng, chiều cao cây H ≥ 30cm</v>
          </cell>
          <cell r="B647" t="str">
            <v>Đồng/cây</v>
          </cell>
          <cell r="C647" t="str">
            <v>30.000</v>
          </cell>
        </row>
        <row r="648">
          <cell r="A648" t="str">
            <v>Cây sưa đường kính thân 2 cm &lt; ĐK thân ≤ 5 cm</v>
          </cell>
          <cell r="B648" t="str">
            <v>Đồng/cây</v>
          </cell>
          <cell r="C648" t="str">
            <v>70.000</v>
          </cell>
        </row>
        <row r="649">
          <cell r="A649" t="str">
            <v>Cây sưa đường kính thân 5 cm &lt; ĐK thân ≤ 10 cm</v>
          </cell>
          <cell r="B649" t="str">
            <v>Đồng/cây</v>
          </cell>
          <cell r="C649" t="str">
            <v>170.000</v>
          </cell>
        </row>
        <row r="650">
          <cell r="A650" t="str">
            <v>Cây sưa đường kính thân 10 cm &lt; ĐK thân ≤ 15 cm</v>
          </cell>
          <cell r="B650" t="str">
            <v>Đồng/cây</v>
          </cell>
          <cell r="C650" t="str">
            <v>380.000</v>
          </cell>
        </row>
        <row r="651">
          <cell r="A651" t="str">
            <v>Cây sưa đường kính thân 15 cm &lt; ĐK thân ≤ 25 cm</v>
          </cell>
          <cell r="B651" t="str">
            <v>Đồng/cây</v>
          </cell>
          <cell r="C651" t="str">
            <v>650.000</v>
          </cell>
        </row>
        <row r="652">
          <cell r="A652" t="str">
            <v>Cây sưa đường kính thân 25 cm &lt; ĐK thân ≤ 40 cm</v>
          </cell>
          <cell r="B652" t="str">
            <v>Đông/cây</v>
          </cell>
          <cell r="C652" t="str">
            <v>920.000</v>
          </cell>
        </row>
        <row r="653">
          <cell r="A653" t="str">
            <v>Cây sưa đường kính thân 40 cm &lt; ĐK thân ≤ 60 cm</v>
          </cell>
          <cell r="B653" t="str">
            <v>Đồng/cây</v>
          </cell>
          <cell r="C653" t="str">
            <v>1.200.000</v>
          </cell>
        </row>
        <row r="654">
          <cell r="A654" t="str">
            <v>Cây sưa ĐK thân &gt; 60 cm</v>
          </cell>
          <cell r="B654" t="str">
            <v>Đồng/cây</v>
          </cell>
          <cell r="C654" t="str">
            <v>1.500.000</v>
          </cell>
        </row>
        <row r="655">
          <cell r="A655" t="str">
            <v>Cây trám</v>
          </cell>
        </row>
        <row r="656">
          <cell r="A656" t="str">
            <v>Cây trám Mới trồng, đường kính gốc &lt; 2cm</v>
          </cell>
          <cell r="B656" t="str">
            <v>Đồng/cây</v>
          </cell>
          <cell r="C656" t="str">
            <v>30.000</v>
          </cell>
        </row>
        <row r="657">
          <cell r="A657" t="str">
            <v>Cây trám đường kính gốc 2 cm &lt; ĐK gốc ≤ 5 cm</v>
          </cell>
          <cell r="B657" t="str">
            <v>Đồng/cây</v>
          </cell>
          <cell r="C657" t="str">
            <v>144.000</v>
          </cell>
        </row>
        <row r="658">
          <cell r="A658" t="str">
            <v>Cây trám đường kính gốc 5 cm &lt; ĐK gốc ≤ 10 cm</v>
          </cell>
          <cell r="B658" t="str">
            <v>Đồng/cây</v>
          </cell>
          <cell r="C658" t="str">
            <v>240.000</v>
          </cell>
        </row>
        <row r="659">
          <cell r="A659" t="str">
            <v>Cây trám đường kính gốc 10 cm &lt; ĐK gôc ≤ 15 cm</v>
          </cell>
          <cell r="B659" t="str">
            <v>Đồng/cây</v>
          </cell>
          <cell r="C659" t="str">
            <v>360.000</v>
          </cell>
        </row>
        <row r="660">
          <cell r="A660" t="str">
            <v>Cây trám đường kính gốc 15 cm &lt; ĐK gốc ≤ 20 cm</v>
          </cell>
          <cell r="B660" t="str">
            <v>Đông/cây</v>
          </cell>
          <cell r="C660" t="str">
            <v>480.000</v>
          </cell>
        </row>
        <row r="661">
          <cell r="A661" t="str">
            <v>Cây trám đường kính gốc 20 cm &lt; ĐK gốc ≤ 25 cm</v>
          </cell>
          <cell r="B661" t="str">
            <v>Đồng/cây</v>
          </cell>
          <cell r="C661" t="str">
            <v>600.000</v>
          </cell>
        </row>
        <row r="662">
          <cell r="A662" t="str">
            <v>Cây trám đường kính gốc 25 cm &lt; ĐK gốc ≤ 30 cm</v>
          </cell>
          <cell r="B662" t="str">
            <v>Đồng/cây</v>
          </cell>
          <cell r="C662" t="str">
            <v>720.000</v>
          </cell>
        </row>
        <row r="663">
          <cell r="A663" t="str">
            <v>Cây trám ĐK gốc &gt; 30cm</v>
          </cell>
          <cell r="B663" t="str">
            <v>Đồng/cây</v>
          </cell>
          <cell r="C663" t="str">
            <v>840.000</v>
          </cell>
        </row>
        <row r="664">
          <cell r="A664" t="str">
            <v>Cây xoan</v>
          </cell>
        </row>
        <row r="665">
          <cell r="A665" t="str">
            <v>Cây xoan Cây giống mới trồng</v>
          </cell>
          <cell r="B665" t="str">
            <v>Đồng/cây</v>
          </cell>
          <cell r="C665" t="str">
            <v>7.000</v>
          </cell>
        </row>
        <row r="666">
          <cell r="A666" t="str">
            <v>Cây xoan đường kính thân 2 cm &lt; ĐK thân ≤ 5 cm</v>
          </cell>
          <cell r="B666" t="str">
            <v>Đồng/cây</v>
          </cell>
          <cell r="C666" t="str">
            <v>60.000</v>
          </cell>
        </row>
        <row r="667">
          <cell r="A667" t="str">
            <v>Cây xoan đường kính thân 5 cm &lt; ĐK thân ≤ 10 cm</v>
          </cell>
          <cell r="B667" t="str">
            <v>Đồng/cây</v>
          </cell>
          <cell r="C667" t="str">
            <v>150.000</v>
          </cell>
        </row>
        <row r="668">
          <cell r="A668" t="str">
            <v>Cây xoan đường kính thân 10 cm &lt; ĐK thân ≤ 15 cm</v>
          </cell>
          <cell r="B668" t="str">
            <v>Đồng/cây</v>
          </cell>
          <cell r="C668" t="str">
            <v>250.000</v>
          </cell>
        </row>
        <row r="669">
          <cell r="A669" t="str">
            <v>Cây xoan đường kính thân 15 cm &lt; ĐK thân ≤ 20 cm</v>
          </cell>
          <cell r="B669" t="str">
            <v>Đồng/cây</v>
          </cell>
          <cell r="C669" t="str">
            <v>350.000</v>
          </cell>
        </row>
        <row r="670">
          <cell r="A670" t="str">
            <v>Cây xoan đường kính thân 20 cm &lt; ĐK thân ≤ 30 cm</v>
          </cell>
          <cell r="B670" t="str">
            <v>Đồng/cây</v>
          </cell>
          <cell r="C670" t="str">
            <v>500.000</v>
          </cell>
        </row>
        <row r="671">
          <cell r="A671" t="str">
            <v>Cây xoan ĐK thân &gt; 30 cm</v>
          </cell>
          <cell r="B671" t="str">
            <v>Đồng/cây</v>
          </cell>
          <cell r="C671" t="str">
            <v>900.000</v>
          </cell>
        </row>
        <row r="672">
          <cell r="A672" t="str">
            <v>Cây xà cừ (lát, sồi, lim xanh)</v>
          </cell>
        </row>
        <row r="673">
          <cell r="A673" t="str">
            <v>Cây xà cừ (lát, sồi, lim xanh) cây giống mới trồng</v>
          </cell>
          <cell r="B673" t="str">
            <v>Đồng/cây</v>
          </cell>
          <cell r="C673" t="str">
            <v>12.000</v>
          </cell>
        </row>
        <row r="674">
          <cell r="A674" t="str">
            <v>Cây xà cừ (lát, sồi, lim xanh) 2 cm &lt; ĐK thân ≤ 5 cm</v>
          </cell>
          <cell r="B674" t="str">
            <v>Đồng/cây</v>
          </cell>
          <cell r="C674" t="str">
            <v>60.000</v>
          </cell>
        </row>
        <row r="675">
          <cell r="A675" t="str">
            <v>Cây xà cừ (lát, sồi, lim xanh) 5 cm &lt; ĐK thân ≤ 10 cm</v>
          </cell>
          <cell r="B675" t="str">
            <v>Đồng/cây</v>
          </cell>
          <cell r="C675" t="str">
            <v>150.000</v>
          </cell>
        </row>
        <row r="676">
          <cell r="A676" t="str">
            <v>Cây xà cừ (lát, sồi, lim xanh) 10 cm &lt; ĐK thân ≤ 15 cm</v>
          </cell>
          <cell r="B676" t="str">
            <v>Đồng/cây</v>
          </cell>
          <cell r="C676" t="str">
            <v>250.000</v>
          </cell>
        </row>
        <row r="677">
          <cell r="A677" t="str">
            <v>Cây xà cừ (lát, sồi, lim xanh) 15 cm &lt; ĐK thân ≤ 25 cm</v>
          </cell>
          <cell r="B677" t="str">
            <v>Đồng/cây</v>
          </cell>
          <cell r="C677" t="str">
            <v>350.000</v>
          </cell>
        </row>
        <row r="678">
          <cell r="A678" t="str">
            <v>Cây xà cừ (lát, sồi, lim xanh) 25 &lt; ĐK thân ≤ 40 cm</v>
          </cell>
          <cell r="B678" t="str">
            <v>Đồng/cây</v>
          </cell>
          <cell r="C678" t="str">
            <v>500.000</v>
          </cell>
        </row>
        <row r="679">
          <cell r="A679" t="str">
            <v>Cây xà cừ (lát, sồi, lim xanh) 40 cm &lt; ĐK thân ≤ 60 cm</v>
          </cell>
          <cell r="B679" t="str">
            <v>Đồng/cây</v>
          </cell>
          <cell r="C679" t="str">
            <v>800.000</v>
          </cell>
        </row>
        <row r="680">
          <cell r="A680" t="str">
            <v>Cây xà cừ (lát, sồi, lim xanh) ĐK thân &gt; 60 cm</v>
          </cell>
          <cell r="B680" t="str">
            <v>Đồng/cây</v>
          </cell>
          <cell r="C680" t="str">
            <v>1.000.000</v>
          </cell>
        </row>
        <row r="681">
          <cell r="A681" t="str">
            <v>Cây bàng</v>
          </cell>
        </row>
        <row r="682">
          <cell r="A682" t="str">
            <v>Cây bàng giống mới trồng</v>
          </cell>
          <cell r="B682" t="str">
            <v>Đồng/cây</v>
          </cell>
          <cell r="C682" t="str">
            <v>12.000</v>
          </cell>
        </row>
        <row r="683">
          <cell r="A683" t="str">
            <v>Cây bàng đường kính thân 2 cm &lt; ĐK thân ≤ 5 cm</v>
          </cell>
          <cell r="B683" t="str">
            <v>Đồng/cây</v>
          </cell>
          <cell r="C683" t="str">
            <v>60.000</v>
          </cell>
        </row>
        <row r="684">
          <cell r="A684" t="str">
            <v>Cây bàng đường kính thân 5 cm &lt; ĐK thân ≤ 10 cm</v>
          </cell>
          <cell r="B684" t="str">
            <v>Đồng/cây</v>
          </cell>
          <cell r="C684" t="str">
            <v>150.000</v>
          </cell>
        </row>
        <row r="685">
          <cell r="A685" t="str">
            <v>Cây bàng đường kính thân 10 cm &lt; ĐK thân ≤ 15 cm</v>
          </cell>
          <cell r="B685" t="str">
            <v>Đồng/cây</v>
          </cell>
          <cell r="C685" t="str">
            <v>250.000</v>
          </cell>
        </row>
        <row r="686">
          <cell r="A686" t="str">
            <v>Cây bàng đường kính thân 15 cm &lt; ĐK thân ≤ 20 cm</v>
          </cell>
          <cell r="B686" t="str">
            <v>Đông/cây</v>
          </cell>
          <cell r="C686" t="str">
            <v>350.000</v>
          </cell>
        </row>
        <row r="687">
          <cell r="A687" t="str">
            <v>Cây bàng đường kính thân 20 cm &lt; ĐK thân ≤ 30 cm</v>
          </cell>
          <cell r="B687" t="str">
            <v>Đồng/cây</v>
          </cell>
          <cell r="C687" t="str">
            <v>500.000</v>
          </cell>
        </row>
        <row r="688">
          <cell r="A688" t="str">
            <v>Cây bàng ĐK thân &gt; 30 cm</v>
          </cell>
          <cell r="B688" t="str">
            <v>Đồng/cây</v>
          </cell>
          <cell r="C688" t="str">
            <v>700.000</v>
          </cell>
        </row>
        <row r="689">
          <cell r="A689" t="str">
            <v>Cây trứng cá</v>
          </cell>
        </row>
        <row r="690">
          <cell r="A690" t="str">
            <v>Cây trứng cá giống mới trồng</v>
          </cell>
          <cell r="B690" t="str">
            <v>Đồng/cây</v>
          </cell>
          <cell r="C690" t="str">
            <v>12.000</v>
          </cell>
        </row>
        <row r="691">
          <cell r="A691" t="str">
            <v>Cây trứng cá đường kính thân 2 cm &lt; ĐK thân ≤ 5 cm</v>
          </cell>
          <cell r="B691" t="str">
            <v>Đồng/cây</v>
          </cell>
          <cell r="C691" t="str">
            <v>60.000</v>
          </cell>
        </row>
        <row r="692">
          <cell r="A692" t="str">
            <v>Cây trứng cá đường kính thân 5 cm &lt; ĐK thân ≤ 10 cm</v>
          </cell>
          <cell r="B692" t="str">
            <v>Đồng/cây</v>
          </cell>
          <cell r="C692" t="str">
            <v>150.000</v>
          </cell>
        </row>
        <row r="693">
          <cell r="A693" t="str">
            <v>Cây trứng cá đường kính thân 10 cm &lt; ĐK thân ≤ 15 cm</v>
          </cell>
          <cell r="B693" t="str">
            <v>Đồng/cây</v>
          </cell>
          <cell r="C693" t="str">
            <v>250.000</v>
          </cell>
        </row>
        <row r="694">
          <cell r="A694" t="str">
            <v>Cây trứng cá đường kính thân 15 cm &lt; ĐK thân ≤ 20 cm</v>
          </cell>
          <cell r="B694" t="str">
            <v>Đông/cây</v>
          </cell>
          <cell r="C694" t="str">
            <v>350.000</v>
          </cell>
        </row>
        <row r="695">
          <cell r="A695" t="str">
            <v>Cây trứng cá đường kính thân 20 cm &lt; ĐK thân ≤ 30 cm</v>
          </cell>
          <cell r="B695" t="str">
            <v>Đồng/cây</v>
          </cell>
          <cell r="C695" t="str">
            <v>500.000</v>
          </cell>
        </row>
        <row r="696">
          <cell r="A696" t="str">
            <v>Cây trứng cá ĐK thân &gt; 30 cm</v>
          </cell>
          <cell r="B696" t="str">
            <v>Đồng/cây</v>
          </cell>
          <cell r="C696" t="str">
            <v>700.000</v>
          </cell>
        </row>
        <row r="697">
          <cell r="A697" t="str">
            <v>Cây bạch đàn</v>
          </cell>
        </row>
        <row r="698">
          <cell r="A698" t="str">
            <v>Cây bạch đàn Cây giống mới trồng</v>
          </cell>
          <cell r="B698" t="str">
            <v>Đồng/cây</v>
          </cell>
          <cell r="C698" t="str">
            <v>10.000</v>
          </cell>
        </row>
        <row r="699">
          <cell r="A699" t="str">
            <v>Cây bạch đàn đường kính thân 2 cm &lt; ĐK thân ≤ 5 cm</v>
          </cell>
          <cell r="B699" t="str">
            <v>Đồng/cây</v>
          </cell>
          <cell r="C699" t="str">
            <v>65.000</v>
          </cell>
        </row>
        <row r="700">
          <cell r="A700" t="str">
            <v>Cây bạch đàn đường kính thân 5 cm &lt; ĐK thân ≤ 10 cm</v>
          </cell>
          <cell r="B700" t="str">
            <v>Đồng/cây</v>
          </cell>
          <cell r="C700" t="str">
            <v>150.000</v>
          </cell>
        </row>
        <row r="701">
          <cell r="A701" t="str">
            <v>Cây bạch đàn đường kính thân 10 cm &lt; ĐK thân ≤ 20 cm</v>
          </cell>
          <cell r="B701" t="str">
            <v>Đồng/cây</v>
          </cell>
          <cell r="C701" t="str">
            <v>350.000</v>
          </cell>
        </row>
        <row r="702">
          <cell r="A702" t="str">
            <v>Cây bạch đàn đường kính thân 20 cm &lt; ĐK thân ≤ 30 cm</v>
          </cell>
          <cell r="B702" t="str">
            <v>Đồng/cây</v>
          </cell>
          <cell r="C702" t="str">
            <v>500.000</v>
          </cell>
        </row>
        <row r="703">
          <cell r="A703" t="str">
            <v>Cây bạch đàn đường kính thân 30 cm &lt; ĐK thân ≤ 40 cm</v>
          </cell>
          <cell r="B703" t="str">
            <v>Đồng/cây</v>
          </cell>
          <cell r="C703" t="str">
            <v>700.000</v>
          </cell>
        </row>
        <row r="704">
          <cell r="A704" t="str">
            <v>Cây bạch đàn ĐK thân &gt; 40 cm</v>
          </cell>
          <cell r="B704" t="str">
            <v>Đồng/cây</v>
          </cell>
          <cell r="C704" t="str">
            <v>1.000.000</v>
          </cell>
        </row>
        <row r="705">
          <cell r="A705" t="str">
            <v>Cây phi lao, thông</v>
          </cell>
        </row>
        <row r="706">
          <cell r="A706" t="str">
            <v>Cây phi lao giống mới trồng</v>
          </cell>
          <cell r="B706" t="str">
            <v>Đồng/cây</v>
          </cell>
          <cell r="C706" t="str">
            <v>10.000</v>
          </cell>
        </row>
        <row r="707">
          <cell r="A707" t="str">
            <v>Cây phi lao đường kính thân 2 cm &lt; ĐK thân ≤ 5 cm</v>
          </cell>
          <cell r="B707" t="str">
            <v>Đồng/cây</v>
          </cell>
          <cell r="C707" t="str">
            <v>55.000</v>
          </cell>
        </row>
        <row r="708">
          <cell r="A708" t="str">
            <v>Cây phi lao đường kính thân 5 cm &lt; ĐK thân ≤ 10 cm</v>
          </cell>
          <cell r="B708" t="str">
            <v>Đồng/cây</v>
          </cell>
          <cell r="C708" t="str">
            <v>70.000</v>
          </cell>
        </row>
        <row r="709">
          <cell r="A709" t="str">
            <v>Cây phi lao đường kính thân 10 cm &lt; ĐK thân ≤ 20 cm</v>
          </cell>
          <cell r="B709" t="str">
            <v>Đồng/cây</v>
          </cell>
          <cell r="C709" t="str">
            <v>100.000</v>
          </cell>
        </row>
        <row r="710">
          <cell r="A710" t="str">
            <v>Cây phi lao đường kính thân 20cm &lt; ĐK thân ≤ 30 cm</v>
          </cell>
          <cell r="B710" t="str">
            <v>Đồng/cây</v>
          </cell>
          <cell r="C710" t="str">
            <v>250.000</v>
          </cell>
        </row>
        <row r="711">
          <cell r="A711" t="str">
            <v>Cây phi lao đường kính thân 30 cm &lt; ĐK thân ≤ 40 cm</v>
          </cell>
          <cell r="B711" t="str">
            <v>Đồng/cây</v>
          </cell>
          <cell r="C711" t="str">
            <v>600.000</v>
          </cell>
        </row>
        <row r="712">
          <cell r="A712" t="str">
            <v>Cây phi lao ĐK thân &gt; 40 cm</v>
          </cell>
          <cell r="B712" t="str">
            <v>Đồng/cây</v>
          </cell>
          <cell r="C712" t="str">
            <v>800.000</v>
          </cell>
        </row>
        <row r="713">
          <cell r="A713" t="str">
            <v>Cây keo tai tượng</v>
          </cell>
        </row>
        <row r="714">
          <cell r="A714" t="str">
            <v>Cây keo tai tượng giống mới trồng</v>
          </cell>
          <cell r="B714" t="str">
            <v>Đông/cây</v>
          </cell>
          <cell r="C714" t="str">
            <v>8.000</v>
          </cell>
        </row>
        <row r="715">
          <cell r="A715" t="str">
            <v>Cây keo tai tượng đường kính thân 2 cm &lt; ĐK thân ≤ 5 cm</v>
          </cell>
          <cell r="B715" t="str">
            <v>Đồng/cây</v>
          </cell>
          <cell r="C715" t="str">
            <v>50.000</v>
          </cell>
        </row>
        <row r="716">
          <cell r="A716" t="str">
            <v>Cây keo tai tượng đường kính thân 5 cm &lt; ĐK thân &lt; 10 cm</v>
          </cell>
          <cell r="B716" t="str">
            <v>Đồng/cây</v>
          </cell>
          <cell r="C716" t="str">
            <v>63.000</v>
          </cell>
        </row>
        <row r="717">
          <cell r="A717" t="str">
            <v>Cây keo tai tượng đường kính thân 10 cm &lt; ĐK thân ≤ 20 cm</v>
          </cell>
          <cell r="B717" t="str">
            <v>Đồng/cây</v>
          </cell>
          <cell r="C717" t="str">
            <v>90.000</v>
          </cell>
        </row>
        <row r="718">
          <cell r="A718" t="str">
            <v>Cây keo tai tượng đường kính thân 20 cm &lt; ĐK thân ≤ 30 cm</v>
          </cell>
          <cell r="B718" t="str">
            <v>Đồng/cây</v>
          </cell>
          <cell r="C718" t="str">
            <v>230.000</v>
          </cell>
        </row>
        <row r="719">
          <cell r="A719" t="str">
            <v>Cây keo tai tượng đường kính thân 30 cm &lt; ĐK thân ≤ 40 cm</v>
          </cell>
          <cell r="B719" t="str">
            <v>Đồng/cây</v>
          </cell>
          <cell r="C719" t="str">
            <v>540.000</v>
          </cell>
        </row>
        <row r="720">
          <cell r="A720" t="str">
            <v>Cây keo tai tượng ĐK thân &gt; 40 cm</v>
          </cell>
          <cell r="B720" t="str">
            <v>Đồng/cây</v>
          </cell>
          <cell r="C720" t="str">
            <v>720.000</v>
          </cell>
        </row>
        <row r="721">
          <cell r="A721" t="str">
            <v>Cây liễu</v>
          </cell>
        </row>
        <row r="722">
          <cell r="A722" t="str">
            <v>Cây liễu giống mới trồng</v>
          </cell>
          <cell r="B722" t="str">
            <v>Đồng/cây</v>
          </cell>
          <cell r="C722" t="str">
            <v>5.000</v>
          </cell>
        </row>
        <row r="723">
          <cell r="A723" t="str">
            <v>Cây liễu đường kính thân 2 cm &lt; ĐK thân ≤ 5 cm</v>
          </cell>
          <cell r="B723" t="str">
            <v>Đồng/cây</v>
          </cell>
          <cell r="C723" t="str">
            <v>35.000</v>
          </cell>
        </row>
        <row r="724">
          <cell r="A724" t="str">
            <v>Cây liễu đường kính thân 5 cm &lt; ĐK thân ≤ 10 cm</v>
          </cell>
          <cell r="B724" t="str">
            <v>Đồng/cây</v>
          </cell>
          <cell r="C724" t="str">
            <v>70.000</v>
          </cell>
        </row>
        <row r="725">
          <cell r="A725" t="str">
            <v>Cây liễu đường kính thân 10 cm &lt; ĐK thân ≤ 15 cm</v>
          </cell>
          <cell r="B725" t="str">
            <v>Đồng/cây</v>
          </cell>
          <cell r="C725" t="str">
            <v>140.000</v>
          </cell>
        </row>
        <row r="726">
          <cell r="A726" t="str">
            <v>Cây liễu đường kính thân 15 cm &lt; ĐK thân ≤ 25 cm</v>
          </cell>
          <cell r="B726" t="str">
            <v>Đông/cây</v>
          </cell>
          <cell r="C726" t="str">
            <v>250.000</v>
          </cell>
        </row>
        <row r="727">
          <cell r="A727" t="str">
            <v>Cây liễu ĐK thân &gt; 25 cm</v>
          </cell>
          <cell r="B727" t="str">
            <v>Đồng/cây</v>
          </cell>
          <cell r="C727" t="str">
            <v>370.000</v>
          </cell>
        </row>
        <row r="728">
          <cell r="A728" t="str">
            <v>Cây lộc vừng</v>
          </cell>
        </row>
        <row r="729">
          <cell r="A729" t="str">
            <v>Cây lộc vừng giống mới trồng</v>
          </cell>
          <cell r="B729" t="str">
            <v>Đồng/cây</v>
          </cell>
          <cell r="C729" t="str">
            <v>9.000</v>
          </cell>
        </row>
        <row r="730">
          <cell r="A730" t="str">
            <v>Cây lộc vừng đường kính thân 2 cm &lt; ĐK thân ≤ 5 cm</v>
          </cell>
          <cell r="B730" t="str">
            <v>Đồng/cây</v>
          </cell>
          <cell r="C730" t="str">
            <v>50.000</v>
          </cell>
        </row>
        <row r="731">
          <cell r="A731" t="str">
            <v>Cây lộc vừng đường kính thân 5 cm &lt; ĐK thân ≤ 10 cm</v>
          </cell>
          <cell r="B731" t="str">
            <v>Đồng/cây</v>
          </cell>
          <cell r="C731" t="str">
            <v>180.000</v>
          </cell>
        </row>
        <row r="732">
          <cell r="A732" t="str">
            <v>Cây lộc vừng đường kính thân 10 cm &lt; ĐK thân ≤ 15 cm</v>
          </cell>
          <cell r="B732" t="str">
            <v>Đồng/cây</v>
          </cell>
          <cell r="C732">
            <v>270000</v>
          </cell>
        </row>
        <row r="733">
          <cell r="A733" t="str">
            <v>Cây lộc vừng đường kính thân 15 cm &lt; ĐK thân ≤ 20 cm</v>
          </cell>
          <cell r="B733" t="str">
            <v>Đông/cây</v>
          </cell>
          <cell r="C733" t="str">
            <v>590.000</v>
          </cell>
        </row>
        <row r="734">
          <cell r="A734" t="str">
            <v>Cây lộc vừng đường kính thân 20 cm &lt; ĐK thân ≤ 25 cm</v>
          </cell>
          <cell r="B734" t="str">
            <v>Đồng/cây</v>
          </cell>
          <cell r="C734" t="str">
            <v>810.000</v>
          </cell>
        </row>
        <row r="735">
          <cell r="A735" t="str">
            <v>Cây lộc vừng đường kính thân 25 cm &lt; ĐK thân ≤ 30 cm</v>
          </cell>
          <cell r="B735" t="str">
            <v>Đồng/cây</v>
          </cell>
          <cell r="C735" t="str">
            <v>1.400.000</v>
          </cell>
        </row>
        <row r="736">
          <cell r="A736" t="str">
            <v>Cây lộc vừng ĐK thân &gt; 30 cm</v>
          </cell>
          <cell r="B736" t="str">
            <v>Đồng/cây</v>
          </cell>
          <cell r="C736" t="str">
            <v>1.800.000</v>
          </cell>
        </row>
        <row r="737">
          <cell r="A737" t="str">
            <v>Cây móng rồng</v>
          </cell>
        </row>
        <row r="738">
          <cell r="A738" t="str">
            <v>Cây móng rồng giống</v>
          </cell>
          <cell r="B738" t="str">
            <v>Đồng/cây</v>
          </cell>
          <cell r="C738" t="str">
            <v>15.000</v>
          </cell>
        </row>
        <row r="739">
          <cell r="A739" t="str">
            <v>Cây móng rồng đường kính thân 1 cm &lt; ĐK thân ≤ 3 cm</v>
          </cell>
          <cell r="B739" t="str">
            <v>Đồng/cây</v>
          </cell>
          <cell r="C739" t="str">
            <v>55.000</v>
          </cell>
        </row>
        <row r="740">
          <cell r="A740" t="str">
            <v>Cây móng rồng đường kính thân 3 cm &lt; ĐK thân ≤ 5 cm</v>
          </cell>
          <cell r="B740" t="str">
            <v>Đồng/cây</v>
          </cell>
          <cell r="C740" t="str">
            <v>100.000</v>
          </cell>
        </row>
        <row r="741">
          <cell r="A741" t="str">
            <v>Cây móng rồng đường kính thân 5 cm &lt; ĐK thân ≤ 10 cm</v>
          </cell>
          <cell r="B741" t="str">
            <v>Đồng/cây</v>
          </cell>
          <cell r="C741" t="str">
            <v>200.000</v>
          </cell>
        </row>
        <row r="742">
          <cell r="A742" t="str">
            <v>Cây móng rồng đường kính thân 10 cm &lt; ĐK thân ≤ 15 cm</v>
          </cell>
          <cell r="B742" t="str">
            <v>Đồng/cây</v>
          </cell>
          <cell r="C742" t="str">
            <v>300.000</v>
          </cell>
        </row>
        <row r="743">
          <cell r="A743" t="str">
            <v>Cây móng rồng ĐK thân &gt; 15 cm</v>
          </cell>
          <cell r="B743" t="str">
            <v>Đồng/cây</v>
          </cell>
          <cell r="C743" t="str">
            <v>500.000</v>
          </cell>
        </row>
        <row r="744">
          <cell r="A744" t="str">
            <v>Cây đa (sanh, si, duối, bồ đề)</v>
          </cell>
        </row>
        <row r="745">
          <cell r="A745" t="str">
            <v>Cây đa (sanh, si, duối, bồ đề) Cây giống mới trồng</v>
          </cell>
          <cell r="B745" t="str">
            <v>Đồng/cây</v>
          </cell>
          <cell r="C745" t="str">
            <v>25.000</v>
          </cell>
        </row>
        <row r="746">
          <cell r="A746" t="str">
            <v>Cây đa (sanh, si, duối, bồ đề) đường kính thân 2 cm &lt; ĐK thân ≤5 cm</v>
          </cell>
          <cell r="B746" t="str">
            <v>Đồng/cây</v>
          </cell>
          <cell r="C746" t="str">
            <v>65.000</v>
          </cell>
        </row>
        <row r="747">
          <cell r="A747" t="str">
            <v>Cây đa (sanh, si, duối, bồ đề) đường kính thân 5 cm &lt; ĐK thân ≤10 cm</v>
          </cell>
          <cell r="B747" t="str">
            <v>Đồng/cây</v>
          </cell>
          <cell r="C747" t="str">
            <v>100.000</v>
          </cell>
        </row>
        <row r="748">
          <cell r="A748" t="str">
            <v>Cây đa (sanh, si, duối, bồ đề) đường kính thân 10 cm &lt; ĐK thân ≤15 cm</v>
          </cell>
          <cell r="B748" t="str">
            <v>Đồng/cây</v>
          </cell>
          <cell r="C748" t="str">
            <v>150.000</v>
          </cell>
        </row>
        <row r="749">
          <cell r="A749" t="str">
            <v>Cây đa (sanh, si, duối, bồ đề) đường kính thân 15 cm &lt; ĐK thân ≤25 cm</v>
          </cell>
          <cell r="B749" t="str">
            <v>Đồng/cây</v>
          </cell>
          <cell r="C749" t="str">
            <v>200.000</v>
          </cell>
        </row>
        <row r="750">
          <cell r="A750" t="str">
            <v>Cây đa (sanh, si, duối, bồ đề) đường kính thân 25 cm &lt; ĐK thân ≤40 cm</v>
          </cell>
          <cell r="B750" t="str">
            <v>Đồng/cây</v>
          </cell>
          <cell r="C750" t="str">
            <v>400.000</v>
          </cell>
        </row>
        <row r="751">
          <cell r="A751" t="str">
            <v>Cây đa (sanh, si, duối, bồ đề) đường kính thân 40 cm &lt; ĐK thân ≤60 cm</v>
          </cell>
          <cell r="B751" t="str">
            <v>Đồng/cây</v>
          </cell>
          <cell r="C751" t="str">
            <v>600.000</v>
          </cell>
        </row>
        <row r="752">
          <cell r="A752" t="str">
            <v>Cây đa (sanh, si, duối, bồ đề) ĐK thân &gt; 60 cm</v>
          </cell>
          <cell r="B752" t="str">
            <v>Đồng/cây</v>
          </cell>
          <cell r="C752" t="str">
            <v>1.000.000</v>
          </cell>
        </row>
        <row r="753">
          <cell r="A753" t="str">
            <v>Cây sộp (Túc)</v>
          </cell>
        </row>
        <row r="754">
          <cell r="A754" t="str">
            <v>Cây sộp (Túc) Cây giống đủ tiêu chuẩn mới trồng, chiều cao cây H &lt; 40cm</v>
          </cell>
          <cell r="B754" t="str">
            <v>Đồng/cây</v>
          </cell>
          <cell r="C754" t="str">
            <v>40.000</v>
          </cell>
        </row>
        <row r="755">
          <cell r="A755" t="str">
            <v>Cây sộp (Túc) đường kính thân 10 cm &lt; ĐK thân ≤15 cm</v>
          </cell>
          <cell r="B755" t="str">
            <v>Đồng/cây</v>
          </cell>
          <cell r="C755" t="str">
            <v>150.000</v>
          </cell>
        </row>
        <row r="756">
          <cell r="A756" t="str">
            <v>Cây sộp (Túc) đường kính thân 15 cm &lt; ĐK thân ≤20 cm</v>
          </cell>
          <cell r="B756" t="str">
            <v>Đồng/cây</v>
          </cell>
          <cell r="C756" t="str">
            <v>190.000</v>
          </cell>
        </row>
        <row r="757">
          <cell r="A757" t="str">
            <v>Cây sộp (Túc) đường kính thân 20 cm &lt; ĐK thân ≤30 cm</v>
          </cell>
          <cell r="B757" t="str">
            <v>Đồng/cây</v>
          </cell>
          <cell r="C757" t="str">
            <v>340.000</v>
          </cell>
        </row>
        <row r="758">
          <cell r="A758" t="str">
            <v>Cây sộp (Túc) đường kính thân 30 cm&lt; ĐK thân ≤40cm</v>
          </cell>
          <cell r="B758" t="str">
            <v>Đồng/cây</v>
          </cell>
          <cell r="C758" t="str">
            <v>580.000</v>
          </cell>
        </row>
        <row r="759">
          <cell r="A759" t="str">
            <v>Cây sộp (Túc) ĐK thân &gt; 40 cm</v>
          </cell>
          <cell r="B759" t="str">
            <v>Đồng/cây</v>
          </cell>
          <cell r="C759" t="str">
            <v>940.000</v>
          </cell>
        </row>
        <row r="760">
          <cell r="A760" t="str">
            <v>Cây gáo</v>
          </cell>
        </row>
        <row r="761">
          <cell r="A761" t="str">
            <v>Cây gáo Giống đủ tiêu chuẩn mới trồng, chiều cao cây H ≥ 40cm</v>
          </cell>
          <cell r="B761" t="str">
            <v>Đồng/cây</v>
          </cell>
          <cell r="C761" t="str">
            <v>7.000</v>
          </cell>
        </row>
        <row r="762">
          <cell r="A762" t="str">
            <v>Cây gáo đường kính gốc 1cm ≤ ĐK gốc &lt; 3cm</v>
          </cell>
          <cell r="B762" t="str">
            <v>Đồng/cây</v>
          </cell>
          <cell r="C762" t="str">
            <v>15.000</v>
          </cell>
        </row>
        <row r="763">
          <cell r="A763" t="str">
            <v>Cây gáo đường kính gốc 3 cm ≤ ĐK gốc &lt; 5 cm</v>
          </cell>
          <cell r="B763" t="str">
            <v>Đồng/cây</v>
          </cell>
          <cell r="C763" t="str">
            <v>30.000</v>
          </cell>
        </row>
        <row r="764">
          <cell r="A764" t="str">
            <v>Cây gáo đường kính gốc 5cm ≤ ĐK gốc &lt; 10cm</v>
          </cell>
          <cell r="B764" t="str">
            <v>Đồng/cây</v>
          </cell>
          <cell r="C764" t="str">
            <v>50.000</v>
          </cell>
        </row>
        <row r="765">
          <cell r="A765" t="str">
            <v>Cây gáo đường kính gốc 10cm ≤ ĐK gốc &lt; 15cm</v>
          </cell>
          <cell r="B765" t="str">
            <v>Đồng/cây</v>
          </cell>
          <cell r="C765" t="str">
            <v>72.000</v>
          </cell>
        </row>
        <row r="766">
          <cell r="A766" t="str">
            <v>Cây gáo đường kính gốc 15cm ≤ ĐK gốc &lt; 20cm</v>
          </cell>
          <cell r="B766" t="str">
            <v>Đồng/cây</v>
          </cell>
          <cell r="C766" t="str">
            <v>110.000</v>
          </cell>
        </row>
        <row r="767">
          <cell r="A767" t="str">
            <v>Cây gáo đường kính gốc 20cm ≤ ĐK gốc &lt; 30cm</v>
          </cell>
          <cell r="B767" t="str">
            <v>Đồng/cây</v>
          </cell>
          <cell r="C767" t="str">
            <v>144.000</v>
          </cell>
        </row>
        <row r="768">
          <cell r="A768" t="str">
            <v>Cây gáo đường kính gốc 30cm ≤ ĐK gốc &lt; 40cm</v>
          </cell>
          <cell r="B768" t="str">
            <v>Đồng/cây</v>
          </cell>
          <cell r="C768" t="str">
            <v>180.000</v>
          </cell>
        </row>
        <row r="769">
          <cell r="A769" t="str">
            <v>Cây gáo ĐK gốc ≥  40cm</v>
          </cell>
          <cell r="B769" t="str">
            <v>Đồng/cây</v>
          </cell>
          <cell r="C769" t="str">
            <v>480.000</v>
          </cell>
        </row>
        <row r="770">
          <cell r="A770" t="str">
            <v>Cây vọng cách</v>
          </cell>
        </row>
        <row r="771">
          <cell r="A771" t="str">
            <v>Cây vọng cách Cây giống mới trồng</v>
          </cell>
          <cell r="B771" t="str">
            <v>Đồng/cây</v>
          </cell>
          <cell r="C771" t="str">
            <v>10.000</v>
          </cell>
        </row>
        <row r="772">
          <cell r="A772" t="str">
            <v>Cây vọng cách đường kính thân 2 cm &lt; ĐK thân ≤5 cm</v>
          </cell>
          <cell r="B772" t="str">
            <v>Đồng/cây</v>
          </cell>
          <cell r="C772" t="str">
            <v>55.000</v>
          </cell>
        </row>
        <row r="773">
          <cell r="A773" t="str">
            <v>Cây vọng cách đường kính thân 5 cm &lt; ĐK thân ≤10 cm</v>
          </cell>
          <cell r="B773" t="str">
            <v>Đồng/cây</v>
          </cell>
          <cell r="C773" t="str">
            <v>200.000</v>
          </cell>
        </row>
        <row r="774">
          <cell r="A774" t="str">
            <v>Cây vọng cách đường kính thân 10 cm &lt; ĐK thân ≤15 cm</v>
          </cell>
          <cell r="B774" t="str">
            <v>Đồng/cây</v>
          </cell>
          <cell r="C774" t="str">
            <v>250.000</v>
          </cell>
        </row>
        <row r="775">
          <cell r="A775" t="str">
            <v>Cây vọng cách đường kính thân 15 cm &lt; ĐK thân ≤20 cm</v>
          </cell>
          <cell r="B775" t="str">
            <v>Đồng/cây</v>
          </cell>
          <cell r="C775" t="str">
            <v>550.000</v>
          </cell>
        </row>
        <row r="776">
          <cell r="A776" t="str">
            <v>Cây vọng cách đường kính thân 20 cm &lt; ĐK thân ≤30 cm</v>
          </cell>
          <cell r="B776" t="str">
            <v>Đồng/cây</v>
          </cell>
          <cell r="C776" t="str">
            <v>750.000</v>
          </cell>
        </row>
        <row r="777">
          <cell r="A777" t="str">
            <v>Cây vọng cách đường kính thân 30 cm &lt; ĐK thân ≤40 cm</v>
          </cell>
          <cell r="B777" t="str">
            <v>Đồng/cây</v>
          </cell>
          <cell r="C777" t="str">
            <v>1.000.000</v>
          </cell>
        </row>
        <row r="778">
          <cell r="A778" t="str">
            <v>Cây vọng cách ĐK thân &gt; 40 cm</v>
          </cell>
          <cell r="B778" t="str">
            <v>Đồng/cây</v>
          </cell>
          <cell r="C778" t="str">
            <v>1.500.000</v>
          </cell>
        </row>
        <row r="779">
          <cell r="A779" t="str">
            <v>Muồng Hoàng yến (Osaka vàng)</v>
          </cell>
        </row>
        <row r="780">
          <cell r="A780" t="str">
            <v>Muồng Hoàng yến (Osaka vàng) Giống đủ tiêu chuẩn mới trồng, chiều cao cây H  ≤40cm</v>
          </cell>
          <cell r="B780" t="str">
            <v>Đồng/cây</v>
          </cell>
          <cell r="C780" t="str">
            <v>40.000</v>
          </cell>
        </row>
        <row r="781">
          <cell r="A781" t="str">
            <v>Muồng Hoàng yến (Osaka vàng) đường kính gốc 1 cm  ≤ ĐK gốc &lt; 3 cm</v>
          </cell>
          <cell r="B781" t="str">
            <v>Đồng/cây</v>
          </cell>
          <cell r="C781" t="str">
            <v>70.000</v>
          </cell>
        </row>
        <row r="782">
          <cell r="A782" t="str">
            <v>Muồng Hoàng yến (Osaka vàng) đường kính gốc 3 cm  ≤ ĐK gốc &lt; 5 cm</v>
          </cell>
          <cell r="B782" t="str">
            <v>Đồng/cây</v>
          </cell>
          <cell r="C782" t="str">
            <v>120.000</v>
          </cell>
        </row>
        <row r="783">
          <cell r="A783" t="str">
            <v>Muồng Hoàng yến (Osaka vàng) đường kính gốc 5cm  ≤ ĐK gốc &lt; 10cm</v>
          </cell>
          <cell r="B783" t="str">
            <v>Đồng/cây</v>
          </cell>
          <cell r="C783" t="str">
            <v>240.000</v>
          </cell>
        </row>
        <row r="784">
          <cell r="A784" t="str">
            <v>Muồng Hoàng yến (Osaka vàng) đường kính gốc 10cm  ≤ ĐK gốc &lt; 15cm</v>
          </cell>
          <cell r="B784" t="str">
            <v>Đồng/cây</v>
          </cell>
          <cell r="C784" t="str">
            <v>360.000</v>
          </cell>
        </row>
        <row r="785">
          <cell r="A785" t="str">
            <v>Muồng Hoàng yến (Osaka vàng) đường kính gốc 15cm  ≤ ĐK gốc &lt; 20cm</v>
          </cell>
          <cell r="B785" t="str">
            <v>Đồng/cây</v>
          </cell>
          <cell r="C785" t="str">
            <v>600.000</v>
          </cell>
        </row>
        <row r="786">
          <cell r="A786" t="str">
            <v>Muồng Hoàng yến (Osaka vàng) đường kính gốc 20cm  ≤ ĐK gốc &lt; 30cm</v>
          </cell>
          <cell r="B786" t="str">
            <v>Đồng/cây</v>
          </cell>
          <cell r="C786" t="str">
            <v>1.200.000</v>
          </cell>
        </row>
        <row r="787">
          <cell r="A787" t="str">
            <v>Muồng Hoàng yến (Osaka vàng) đường kính gốc 30cm  ≤ ĐK gốc &lt; 40cm</v>
          </cell>
          <cell r="B787" t="str">
            <v>Đồng/cây</v>
          </cell>
          <cell r="C787" t="str">
            <v>2.400.000</v>
          </cell>
        </row>
        <row r="788">
          <cell r="A788" t="str">
            <v>Muồng Hoàng yến (Osaka vàng) ĐK gốc ≥ 40cm</v>
          </cell>
          <cell r="B788" t="str">
            <v>Đồng/cây</v>
          </cell>
          <cell r="C788" t="str">
            <v>3.600.000</v>
          </cell>
        </row>
        <row r="789">
          <cell r="A789" t="str">
            <v>Cây bồ kết</v>
          </cell>
        </row>
        <row r="790">
          <cell r="A790" t="str">
            <v>Cây bồ kết Cây giống đủ tiêu chuẩn mới trồng, chiều cao cây H ≥ 40cm</v>
          </cell>
          <cell r="B790" t="str">
            <v>Đồng/cây</v>
          </cell>
          <cell r="C790" t="str">
            <v>20.000</v>
          </cell>
        </row>
        <row r="791">
          <cell r="A791" t="str">
            <v>Cây bồ kết đường kính gốc 1 cm ≤ ĐK gốc &lt; 2cm</v>
          </cell>
          <cell r="B791" t="str">
            <v>Đồng/cây</v>
          </cell>
          <cell r="C791" t="str">
            <v>30.000</v>
          </cell>
        </row>
        <row r="792">
          <cell r="A792" t="str">
            <v>Cây bồ kết đường kính gốc 2cm ≤ ĐK gốc &lt; 5cm</v>
          </cell>
          <cell r="B792" t="str">
            <v>Đồng/cây</v>
          </cell>
          <cell r="C792" t="str">
            <v>72.000</v>
          </cell>
        </row>
        <row r="793">
          <cell r="A793" t="str">
            <v>Cây bồ kết đường kính gốc 5cm ≤ ĐK gốc &lt; 7cm</v>
          </cell>
          <cell r="B793" t="str">
            <v>Đồng/cây</v>
          </cell>
          <cell r="C793" t="str">
            <v>126.000</v>
          </cell>
        </row>
        <row r="794">
          <cell r="A794" t="str">
            <v>Cây bồ kết đường kính gốc 7cm ≤ ĐK gốc &lt; 9cm</v>
          </cell>
          <cell r="B794" t="str">
            <v>Đồng/cây</v>
          </cell>
          <cell r="C794" t="str">
            <v>180.000</v>
          </cell>
        </row>
        <row r="795">
          <cell r="A795" t="str">
            <v>Cây bồ kết đường kính gốc 9cm ≤ ĐK gốc &lt; 12cm</v>
          </cell>
          <cell r="B795" t="str">
            <v>Đồng/cây</v>
          </cell>
          <cell r="C795" t="str">
            <v>234.000</v>
          </cell>
        </row>
        <row r="796">
          <cell r="A796" t="str">
            <v>Cây bồ kết đường kính gốc 12cm ≤ ĐK gốc &lt; 15cm</v>
          </cell>
          <cell r="B796" t="str">
            <v>Đồng/cây</v>
          </cell>
          <cell r="C796" t="str">
            <v>300.000</v>
          </cell>
        </row>
        <row r="797">
          <cell r="A797" t="str">
            <v>Cây bồ kết đường kính gốc 15cm ≤ ĐK gốc &lt; 20cm</v>
          </cell>
          <cell r="B797" t="str">
            <v>Đồng/cây</v>
          </cell>
          <cell r="C797" t="str">
            <v>420.000</v>
          </cell>
        </row>
        <row r="798">
          <cell r="A798" t="str">
            <v>Cây bồ kết đường kính gốc 20cm ≤ ĐK gốc &lt; 25cm</v>
          </cell>
          <cell r="B798" t="str">
            <v>Đồng/cây</v>
          </cell>
          <cell r="C798" t="str">
            <v>504.000</v>
          </cell>
        </row>
        <row r="799">
          <cell r="A799" t="str">
            <v>Cây bồ kết đường kính gốc 25cm ≤ ĐK gốc &lt; 30cm</v>
          </cell>
          <cell r="B799" t="str">
            <v>Đồng/cây</v>
          </cell>
          <cell r="C799" t="str">
            <v>576.000</v>
          </cell>
        </row>
        <row r="800">
          <cell r="A800" t="str">
            <v>Cây bồ kết đường kính gốc 30cm ≤ ĐK gốc &lt; 35cm</v>
          </cell>
          <cell r="B800" t="str">
            <v>Đồng/cây</v>
          </cell>
          <cell r="C800" t="str">
            <v>696.000</v>
          </cell>
        </row>
        <row r="801">
          <cell r="A801" t="str">
            <v>Cây bồ kết đường kính gốc 35cm ≤ ĐK gốc &lt; 50cm</v>
          </cell>
          <cell r="B801" t="str">
            <v>Đồng/cây</v>
          </cell>
          <cell r="C801" t="str">
            <v>820.000</v>
          </cell>
        </row>
        <row r="802">
          <cell r="A802" t="str">
            <v>Cây bồ kết ĐK gốc ≥ 50cm</v>
          </cell>
          <cell r="B802" t="str">
            <v>Đồng/cây</v>
          </cell>
          <cell r="C802" t="str">
            <v>900.000</v>
          </cell>
        </row>
        <row r="803">
          <cell r="A803" t="str">
            <v>Cây vông</v>
          </cell>
        </row>
        <row r="804">
          <cell r="A804" t="str">
            <v>Cây vông giống mới trồng</v>
          </cell>
          <cell r="B804" t="str">
            <v>Đồng/cây</v>
          </cell>
          <cell r="C804" t="str">
            <v>12.000</v>
          </cell>
        </row>
        <row r="805">
          <cell r="A805" t="str">
            <v>Cây vông đường kính thân 2 cm &lt; ĐK thân ≤5 cm</v>
          </cell>
          <cell r="B805" t="str">
            <v>Đồng/cây</v>
          </cell>
          <cell r="C805" t="str">
            <v>20.000</v>
          </cell>
        </row>
        <row r="806">
          <cell r="A806" t="str">
            <v>Cây vông đường kính thân 5 cm &lt; ĐK thân ≤10 cm</v>
          </cell>
          <cell r="B806" t="str">
            <v>Đồng/cây</v>
          </cell>
          <cell r="C806" t="str">
            <v>30.000</v>
          </cell>
        </row>
        <row r="807">
          <cell r="A807" t="str">
            <v>Cây vông đường kính thân 10 cm &lt; ĐK thân ≤15 cm</v>
          </cell>
          <cell r="B807" t="str">
            <v>Đồng/cây</v>
          </cell>
          <cell r="C807" t="str">
            <v>55.000</v>
          </cell>
        </row>
        <row r="808">
          <cell r="A808" t="str">
            <v>Cây vông đường kính thân 15 cm &lt; ĐK thân ≤25 cm</v>
          </cell>
          <cell r="B808" t="str">
            <v>Đồng/cây</v>
          </cell>
          <cell r="C808" t="str">
            <v>140.000</v>
          </cell>
        </row>
        <row r="809">
          <cell r="A809" t="str">
            <v>Cây vông đường kính thân 25 cm &lt; ĐK thân ≤40 cm</v>
          </cell>
          <cell r="B809" t="str">
            <v>Đồng/cây</v>
          </cell>
          <cell r="C809" t="str">
            <v>174.000</v>
          </cell>
        </row>
        <row r="810">
          <cell r="A810" t="str">
            <v>Cây vông đường kính thân 40 cm &lt; ĐK thân ≤60 cm</v>
          </cell>
          <cell r="B810" t="str">
            <v>Đồng/cây</v>
          </cell>
          <cell r="C810" t="str">
            <v>210.000</v>
          </cell>
        </row>
        <row r="811">
          <cell r="A811" t="str">
            <v>Cây vông ĐK thân &gt; 60 cm</v>
          </cell>
          <cell r="B811" t="str">
            <v>Đồng/cây</v>
          </cell>
          <cell r="C811" t="str">
            <v>250.000</v>
          </cell>
        </row>
        <row r="812">
          <cell r="A812" t="str">
            <v>Cây tre hóa</v>
          </cell>
        </row>
        <row r="813">
          <cell r="A813" t="str">
            <v>Cây tre hóa Cây giống đủ tiêu chuẩn mới trồng</v>
          </cell>
          <cell r="B813" t="str">
            <v>Đồng/cây</v>
          </cell>
          <cell r="C813" t="str">
            <v>15.000</v>
          </cell>
        </row>
        <row r="814">
          <cell r="A814" t="str">
            <v>Cây tre hóa đường kính thân 2 cm &lt; ĐK thân ≤5 cm</v>
          </cell>
          <cell r="B814" t="str">
            <v>Đồng/cây</v>
          </cell>
          <cell r="C814" t="str">
            <v>70.000</v>
          </cell>
        </row>
        <row r="815">
          <cell r="A815" t="str">
            <v>Cây tre hóa đường kính thân 5 cm &lt; ĐK thân ≤10 cm</v>
          </cell>
          <cell r="B815" t="str">
            <v>Đồng/cây</v>
          </cell>
          <cell r="C815" t="str">
            <v>150.000</v>
          </cell>
        </row>
        <row r="816">
          <cell r="A816" t="str">
            <v>Cây tre hóa ĐK thân &gt; 10 cm</v>
          </cell>
          <cell r="B816" t="str">
            <v>Đồng/cây</v>
          </cell>
          <cell r="C816" t="str">
            <v>300.000</v>
          </cell>
        </row>
        <row r="817">
          <cell r="A817" t="str">
            <v>Cây cau bụng</v>
          </cell>
        </row>
        <row r="818">
          <cell r="A818" t="str">
            <v>Cây cau bụng Cây giống mới trồng</v>
          </cell>
          <cell r="B818" t="str">
            <v>Đồng/cây</v>
          </cell>
          <cell r="C818" t="str">
            <v>5.000</v>
          </cell>
        </row>
        <row r="819">
          <cell r="A819" t="str">
            <v>Cây cau bụng đường kính thân 2 cm&lt; ĐK thân ≤5 cm</v>
          </cell>
          <cell r="B819" t="str">
            <v>Đồng/cây</v>
          </cell>
          <cell r="C819" t="str">
            <v>30.000</v>
          </cell>
        </row>
        <row r="820">
          <cell r="A820" t="str">
            <v>Cây cau bụng đường kính thân 5 cm &lt; ĐK thân ≤10 cm</v>
          </cell>
          <cell r="B820" t="str">
            <v>Đồng/cây</v>
          </cell>
          <cell r="C820" t="str">
            <v>52.000</v>
          </cell>
        </row>
        <row r="821">
          <cell r="A821" t="str">
            <v>Cây cau bụng đường kính thân 10 cm &lt; ĐK thân ≤15 cm</v>
          </cell>
          <cell r="B821" t="str">
            <v>Đồng/cây</v>
          </cell>
          <cell r="C821" t="str">
            <v>110.000</v>
          </cell>
        </row>
        <row r="822">
          <cell r="A822" t="str">
            <v>Cây cau bụng đường kính thân 15 cm &lt; ĐK thân ≤25 cm</v>
          </cell>
          <cell r="B822" t="str">
            <v>Đồng/cây</v>
          </cell>
          <cell r="C822" t="str">
            <v>340.000</v>
          </cell>
        </row>
        <row r="823">
          <cell r="A823" t="str">
            <v>Cây cau bụng đường kính thân 25 cm &lt; ĐK thân ≤40 cm</v>
          </cell>
          <cell r="B823" t="str">
            <v>Đồng/cây</v>
          </cell>
          <cell r="C823" t="str">
            <v>380.000</v>
          </cell>
        </row>
        <row r="824">
          <cell r="A824" t="str">
            <v>Cây cau bụng ĐK thân &gt; 40 cm</v>
          </cell>
          <cell r="B824" t="str">
            <v>Đồng/cây</v>
          </cell>
          <cell r="C824" t="str">
            <v>440.000</v>
          </cell>
        </row>
        <row r="825">
          <cell r="A825" t="str">
            <v>Cây cau sâm panh</v>
          </cell>
        </row>
        <row r="826">
          <cell r="A826" t="str">
            <v>Cây cau sâm panh Cây giống mới trồng</v>
          </cell>
          <cell r="B826" t="str">
            <v>Đồng/cây</v>
          </cell>
          <cell r="C826" t="str">
            <v>10.000</v>
          </cell>
        </row>
        <row r="827">
          <cell r="A827" t="str">
            <v>Cây cau sâm panh đường kính thân 2 cm &lt; ĐK thân ≤5 cm</v>
          </cell>
          <cell r="B827" t="str">
            <v>Đồng/cây</v>
          </cell>
          <cell r="C827" t="str">
            <v>30.000</v>
          </cell>
        </row>
        <row r="828">
          <cell r="A828" t="str">
            <v>Cây cau sâm panh đường kính thân 5 cm &lt; ĐK thân ≤10 cm</v>
          </cell>
          <cell r="B828" t="str">
            <v>Đồng/cây</v>
          </cell>
          <cell r="C828" t="str">
            <v>52.000</v>
          </cell>
        </row>
        <row r="829">
          <cell r="A829" t="str">
            <v>Cây cau sâm panh đường kính thân 10 cm &lt; ĐK thân ≤15 cm</v>
          </cell>
          <cell r="B829" t="str">
            <v>Đồng/cây</v>
          </cell>
          <cell r="C829" t="str">
            <v>110.000</v>
          </cell>
        </row>
        <row r="830">
          <cell r="A830" t="str">
            <v>Cây cau sâm panh đường kính thân 15 cm &lt; ĐK thân ≤25 cm</v>
          </cell>
          <cell r="B830" t="str">
            <v>Đồng/cây</v>
          </cell>
          <cell r="C830" t="str">
            <v>340.000</v>
          </cell>
        </row>
        <row r="831">
          <cell r="A831" t="str">
            <v>Cây cau sâm panh đường kính thân 25 cm &lt; ĐK thân ≤40 cm</v>
          </cell>
          <cell r="B831" t="str">
            <v>Đồng/cây</v>
          </cell>
          <cell r="C831" t="str">
            <v>380.000</v>
          </cell>
        </row>
        <row r="832">
          <cell r="A832" t="str">
            <v>Cây cau sâm panh đường kính thân 40 cm &lt; ĐK thân ≤60 cm</v>
          </cell>
          <cell r="B832" t="str">
            <v>Đồng/cây</v>
          </cell>
          <cell r="C832" t="str">
            <v>440.000</v>
          </cell>
        </row>
        <row r="833">
          <cell r="A833" t="str">
            <v>Cây cau sâm panh ĐK thân &gt; 60 cm</v>
          </cell>
          <cell r="B833" t="str">
            <v>Đồng/cây</v>
          </cell>
          <cell r="C833" t="str">
            <v>550.000</v>
          </cell>
        </row>
        <row r="834">
          <cell r="A834" t="str">
            <v>Cây cần thăng</v>
          </cell>
        </row>
        <row r="835">
          <cell r="A835" t="str">
            <v>Cây cần thăng Cây giống mới trồng</v>
          </cell>
          <cell r="B835" t="str">
            <v>Đồng/cây</v>
          </cell>
          <cell r="C835" t="str">
            <v>15.000</v>
          </cell>
        </row>
        <row r="836">
          <cell r="A836" t="str">
            <v>Cây cần thăng đường kính thân 2 cm &lt; ĐK thân ≤5 cm</v>
          </cell>
          <cell r="B836" t="str">
            <v>Đồng/cây</v>
          </cell>
          <cell r="C836" t="str">
            <v>80.000</v>
          </cell>
        </row>
        <row r="837">
          <cell r="A837" t="str">
            <v>Cây cần thăng đường kính thân 5 cm &lt; ĐK thân ≤  10 cm</v>
          </cell>
          <cell r="B837" t="str">
            <v>Đồng/cây</v>
          </cell>
          <cell r="C837" t="str">
            <v>170.000</v>
          </cell>
        </row>
        <row r="838">
          <cell r="A838" t="str">
            <v>Cây cần thăng đường kính thân 10 cm &lt; ĐK thân ≤ 15 cm</v>
          </cell>
          <cell r="B838" t="str">
            <v>Đồng/cây</v>
          </cell>
          <cell r="C838" t="str">
            <v>250.000</v>
          </cell>
        </row>
        <row r="839">
          <cell r="A839" t="str">
            <v>Cây cần thăng ĐK thân &gt; 15 cm</v>
          </cell>
          <cell r="B839" t="str">
            <v>Đồng/cây</v>
          </cell>
          <cell r="C839" t="str">
            <v>350.000</v>
          </cell>
        </row>
        <row r="840">
          <cell r="A840" t="str">
            <v>Cây hoa trà</v>
          </cell>
        </row>
        <row r="841">
          <cell r="A841" t="str">
            <v>Cây hoa trà Cây giống mới trồng</v>
          </cell>
          <cell r="B841" t="str">
            <v>Đồng/cây</v>
          </cell>
          <cell r="C841" t="str">
            <v>10.000</v>
          </cell>
        </row>
        <row r="842">
          <cell r="A842" t="str">
            <v>Cây hoa trà đường kính thân 0,5 cm &lt; ĐK thân ≤3 cm</v>
          </cell>
          <cell r="B842" t="str">
            <v>Đồng/cây</v>
          </cell>
          <cell r="C842" t="str">
            <v>100.000</v>
          </cell>
        </row>
        <row r="843">
          <cell r="A843" t="str">
            <v>Cây hoa trà đường kính thân 3 cm &lt; ĐK thân ≤5 cm</v>
          </cell>
          <cell r="B843" t="str">
            <v>Đồng/cây</v>
          </cell>
          <cell r="C843" t="str">
            <v>300.000</v>
          </cell>
        </row>
        <row r="844">
          <cell r="A844" t="str">
            <v>Cây hoa trà đường kính thân 5 cm &lt; ĐK thân ≤8 cm</v>
          </cell>
          <cell r="B844" t="str">
            <v>Đông/cây</v>
          </cell>
          <cell r="C844" t="str">
            <v>700.000</v>
          </cell>
        </row>
        <row r="845">
          <cell r="A845" t="str">
            <v>Cây hoa trà ĐK thân &gt; 8 cm</v>
          </cell>
          <cell r="B845" t="str">
            <v>Đồng/cây</v>
          </cell>
          <cell r="C845" t="str">
            <v>1.200.000</v>
          </cell>
        </row>
        <row r="846">
          <cell r="A846" t="str">
            <v>Cây hải đường</v>
          </cell>
        </row>
        <row r="847">
          <cell r="A847" t="str">
            <v>Cây hải đường Cây giống đủ tiêu chuẩn mới trồng</v>
          </cell>
          <cell r="B847" t="str">
            <v>Đồng/cây</v>
          </cell>
          <cell r="C847" t="str">
            <v>50.000</v>
          </cell>
        </row>
        <row r="848">
          <cell r="A848" t="str">
            <v>Cây hải đường  đường kính thân 0,5 cm &lt; ĐK thân ≤3 cm</v>
          </cell>
          <cell r="B848" t="str">
            <v>Đồng/cây</v>
          </cell>
          <cell r="C848" t="str">
            <v>100.000</v>
          </cell>
        </row>
        <row r="849">
          <cell r="A849" t="str">
            <v>Cây hải đường  đường kính thân 3 cm &lt; ĐK thân ≤5 cm</v>
          </cell>
          <cell r="B849" t="str">
            <v>Đồng/cây</v>
          </cell>
          <cell r="C849" t="str">
            <v>300.000</v>
          </cell>
        </row>
        <row r="850">
          <cell r="A850" t="str">
            <v>Cây hải đường  đường kính thân 5 cm &lt; ĐK thân ≤8 cm</v>
          </cell>
          <cell r="B850" t="str">
            <v>Đồng/cây</v>
          </cell>
          <cell r="C850" t="str">
            <v>700.000</v>
          </cell>
        </row>
        <row r="851">
          <cell r="A851" t="str">
            <v>Cây hải đường ĐK thân &gt; 8 cm</v>
          </cell>
          <cell r="B851" t="str">
            <v>Đồng/câỷ</v>
          </cell>
          <cell r="C851" t="str">
            <v>1.200.000</v>
          </cell>
        </row>
        <row r="852">
          <cell r="A852" t="str">
            <v>Cây tường vi</v>
          </cell>
        </row>
        <row r="853">
          <cell r="A853" t="str">
            <v>Cây tường vi Cây giống mới trồng</v>
          </cell>
          <cell r="B853" t="str">
            <v>Đồng/cây</v>
          </cell>
          <cell r="C853" t="str">
            <v>15.000</v>
          </cell>
        </row>
        <row r="854">
          <cell r="A854" t="str">
            <v>Cây tường vi đường kính thân 2 cm &lt; ĐK thân ≤5 cm</v>
          </cell>
          <cell r="B854" t="str">
            <v>Đồng/cây</v>
          </cell>
          <cell r="C854" t="str">
            <v>150.000</v>
          </cell>
        </row>
        <row r="855">
          <cell r="A855" t="str">
            <v>Cây tường vi đường kính thân 5 cm &lt; ĐK thân ≤10 cm</v>
          </cell>
          <cell r="B855" t="str">
            <v>Đông/cây</v>
          </cell>
          <cell r="C855" t="str">
            <v>350.000</v>
          </cell>
        </row>
        <row r="856">
          <cell r="A856" t="str">
            <v>Cây tường vi ĐKthân&gt; 10 cm</v>
          </cell>
          <cell r="B856" t="str">
            <v>Đồng/cây</v>
          </cell>
          <cell r="C856" t="str">
            <v>570.000</v>
          </cell>
        </row>
        <row r="857">
          <cell r="A857" t="str">
            <v>Cây mai tứ quý</v>
          </cell>
        </row>
        <row r="858">
          <cell r="A858" t="str">
            <v>Cây mai tứ quý Cây giống mới trồng</v>
          </cell>
          <cell r="B858" t="str">
            <v>Đồng/cây</v>
          </cell>
          <cell r="C858" t="str">
            <v>10.000</v>
          </cell>
        </row>
        <row r="859">
          <cell r="A859" t="str">
            <v>Cây mai tứ quý đường kính thân 2 cm &lt; ĐK thân ≤5 cm</v>
          </cell>
          <cell r="B859" t="str">
            <v>Đồng/cây</v>
          </cell>
          <cell r="C859" t="str">
            <v>30.000</v>
          </cell>
        </row>
        <row r="860">
          <cell r="A860" t="str">
            <v>Cây mai tứ quý đường kính thân 5 cm &lt; ĐK thân ≤10 cm</v>
          </cell>
          <cell r="B860" t="str">
            <v>Đồng/cây</v>
          </cell>
          <cell r="C860" t="str">
            <v>62.000</v>
          </cell>
        </row>
        <row r="861">
          <cell r="A861" t="str">
            <v>Cây mai tứ quý đường kính thân 10 cm &lt; ĐK thân ≤15 cm</v>
          </cell>
          <cell r="B861" t="str">
            <v>Đồng/cây</v>
          </cell>
          <cell r="C861" t="str">
            <v>100.000</v>
          </cell>
        </row>
        <row r="862">
          <cell r="A862" t="str">
            <v>Cây mai tứ quý ĐKthân&gt; 15 cm</v>
          </cell>
          <cell r="B862" t="str">
            <v>Đồng/cây</v>
          </cell>
          <cell r="C862" t="str">
            <v>180.000</v>
          </cell>
        </row>
        <row r="863">
          <cell r="A863" t="str">
            <v>Cây mai chiếu thủy</v>
          </cell>
        </row>
        <row r="864">
          <cell r="A864" t="str">
            <v>Cây mai chiếu thủy Cây giống mới trồng</v>
          </cell>
          <cell r="B864" t="str">
            <v>Đồng/cây</v>
          </cell>
          <cell r="C864" t="str">
            <v>15.000</v>
          </cell>
        </row>
        <row r="865">
          <cell r="A865" t="str">
            <v>Cây mai chiếu thủy đường kính thân 2 cm &lt; ĐK thân ≤5 cm</v>
          </cell>
          <cell r="B865" t="str">
            <v>Đồng/cây</v>
          </cell>
          <cell r="C865" t="str">
            <v>62.000</v>
          </cell>
        </row>
        <row r="866">
          <cell r="A866" t="str">
            <v>Cây mai chiếu thủy đường kính thân 5 cm &lt; ĐK thân ≤10 cm</v>
          </cell>
          <cell r="B866" t="str">
            <v>Đồng/cây</v>
          </cell>
          <cell r="C866" t="str">
            <v>135.000</v>
          </cell>
        </row>
        <row r="867">
          <cell r="A867" t="str">
            <v>Cây mai chiếu thủy đường kính thân 10 cm &lt; ĐK thân ≤15 cm</v>
          </cell>
          <cell r="B867" t="str">
            <v>Đồng/cây</v>
          </cell>
          <cell r="C867" t="str">
            <v>270.000</v>
          </cell>
        </row>
        <row r="868">
          <cell r="A868" t="str">
            <v>Cây mai chiếu thủy ĐKthân&gt;15cm</v>
          </cell>
          <cell r="B868" t="str">
            <v>Đồng/cây</v>
          </cell>
          <cell r="C868" t="str">
            <v>450.000</v>
          </cell>
        </row>
        <row r="869">
          <cell r="A869" t="str">
            <v>Cây mộc hương, cây hạnh phúc</v>
          </cell>
        </row>
        <row r="870">
          <cell r="A870" t="str">
            <v>Cây mộc hương, cây hạnh phúc Cây giống mới trồng</v>
          </cell>
          <cell r="B870" t="str">
            <v>Đồng/cây</v>
          </cell>
          <cell r="C870" t="str">
            <v>10.000</v>
          </cell>
        </row>
        <row r="871">
          <cell r="A871" t="str">
            <v>Cây mộc hương, cây hạnh phúc đường kính thân 2 cm &lt; ĐK thân ≤5 cm</v>
          </cell>
          <cell r="B871" t="str">
            <v>Đồng/cây</v>
          </cell>
          <cell r="C871" t="str">
            <v>150.000</v>
          </cell>
        </row>
        <row r="872">
          <cell r="A872" t="str">
            <v>Cây mộc hương, cây hạnh phúc đường kính thân 5 cm &lt; ĐK thân ≤10 cm</v>
          </cell>
          <cell r="B872" t="str">
            <v>Đồng/cây</v>
          </cell>
          <cell r="C872" t="str">
            <v>375.000</v>
          </cell>
        </row>
        <row r="873">
          <cell r="A873" t="str">
            <v>Cây mộc hương, cây hạnh phúc đường kính thân 10 cm &lt; ĐK thân ≤15 cm</v>
          </cell>
          <cell r="B873" t="str">
            <v>Đồng/cây</v>
          </cell>
          <cell r="C873" t="str">
            <v>750.000</v>
          </cell>
        </row>
        <row r="874">
          <cell r="A874" t="str">
            <v>Cây mộc hương, cây hạnh phúc ĐK thân &gt; 15 cm</v>
          </cell>
          <cell r="B874" t="str">
            <v>Đồng/cây</v>
          </cell>
          <cell r="C874" t="str">
            <v>1.200.000</v>
          </cell>
        </row>
        <row r="875">
          <cell r="A875" t="str">
            <v>Cây hoa giấy</v>
          </cell>
        </row>
        <row r="876">
          <cell r="A876" t="str">
            <v>Cây hoa giấy Cây giống mới trồng</v>
          </cell>
          <cell r="B876" t="str">
            <v>Đồng/cây</v>
          </cell>
          <cell r="C876" t="str">
            <v>10.000</v>
          </cell>
        </row>
        <row r="877">
          <cell r="A877" t="str">
            <v>Cây hoa giấy ĐK thân ≤2 cm</v>
          </cell>
          <cell r="B877" t="str">
            <v>Đồng/cây</v>
          </cell>
          <cell r="C877" t="str">
            <v>18.000</v>
          </cell>
        </row>
        <row r="878">
          <cell r="A878" t="str">
            <v>Cây hoa giấy đường kính thân 2 cm &lt; ĐK thân ≤5 cm</v>
          </cell>
          <cell r="B878" t="str">
            <v>Đồng/cây</v>
          </cell>
          <cell r="C878" t="str">
            <v>70.000</v>
          </cell>
        </row>
        <row r="879">
          <cell r="A879" t="str">
            <v>Cây hoa giấy đường kính thân 5 cm &lt; ĐK thân ≤10 cm</v>
          </cell>
          <cell r="B879" t="str">
            <v>Đồng/cây</v>
          </cell>
          <cell r="C879" t="str">
            <v>180.000</v>
          </cell>
        </row>
        <row r="880">
          <cell r="A880" t="str">
            <v>Cây hoa giấy đường kính thân 10 cm &lt; ĐK thân ≤15 cm</v>
          </cell>
          <cell r="B880" t="str">
            <v>Đồng/cây</v>
          </cell>
          <cell r="C880" t="str">
            <v>290.000</v>
          </cell>
        </row>
        <row r="881">
          <cell r="A881" t="str">
            <v>Cây hoa giấy đường kính thân 15 cm &lt; ĐK thân ≤20 cm</v>
          </cell>
          <cell r="B881" t="str">
            <v>Đồng/cây</v>
          </cell>
          <cell r="C881" t="str">
            <v>370.000</v>
          </cell>
        </row>
        <row r="882">
          <cell r="A882" t="str">
            <v>Cây hoa giấy đường kính thân 20 cm&lt; ĐK thân ≤25 cm</v>
          </cell>
          <cell r="B882" t="str">
            <v>Đồng/cây</v>
          </cell>
          <cell r="C882" t="str">
            <v>430.000</v>
          </cell>
        </row>
        <row r="883">
          <cell r="A883" t="str">
            <v>Cây hoa giấy ĐK thân &gt; 25 cm</v>
          </cell>
          <cell r="B883" t="str">
            <v>Đồng/cây</v>
          </cell>
          <cell r="C883" t="str">
            <v>500.000</v>
          </cell>
        </row>
        <row r="884">
          <cell r="A884" t="str">
            <v>Cây lan bình rượu (náng đế)</v>
          </cell>
        </row>
        <row r="885">
          <cell r="A885" t="str">
            <v>Cây lan bình rượu (náng đế) Cây giống mới trồng</v>
          </cell>
          <cell r="B885" t="str">
            <v>Đồng/cây</v>
          </cell>
          <cell r="C885" t="str">
            <v>15.000</v>
          </cell>
        </row>
        <row r="886">
          <cell r="A886" t="str">
            <v>Cây lan bình rượu (náng đế) đường kính thân 2 cm &lt; ĐK thân ≤5 cm</v>
          </cell>
          <cell r="B886" t="str">
            <v>Đồng/cây</v>
          </cell>
          <cell r="C886" t="str">
            <v>30.000</v>
          </cell>
        </row>
        <row r="887">
          <cell r="A887" t="str">
            <v>Cây lan bình rượu (náng đế) đường kính thân 5 cm &lt; ĐK thân ≤10 cm</v>
          </cell>
          <cell r="B887" t="str">
            <v>Đồng/cây</v>
          </cell>
          <cell r="C887" t="str">
            <v>55.000</v>
          </cell>
        </row>
        <row r="888">
          <cell r="A888" t="str">
            <v>Cây lan bình rượu (náng đế) đường kính thân 10 cm &lt; ĐK thân ≤15 cm</v>
          </cell>
          <cell r="B888" t="str">
            <v>Đồng/cây</v>
          </cell>
          <cell r="C888" t="str">
            <v>80.000</v>
          </cell>
        </row>
        <row r="889">
          <cell r="A889" t="str">
            <v>Cây lan bình rượu (náng đế) đường kính thân 15 cm &lt; ĐK thân ≤25 cm</v>
          </cell>
          <cell r="B889" t="str">
            <v>Đồng/cây</v>
          </cell>
          <cell r="C889" t="str">
            <v>120.000</v>
          </cell>
        </row>
        <row r="890">
          <cell r="A890" t="str">
            <v>Cây lan bình rượu (náng đế) ĐK thân &gt; 25 cm</v>
          </cell>
          <cell r="B890" t="str">
            <v>Đồng/cây</v>
          </cell>
          <cell r="C890" t="str">
            <v>180.000</v>
          </cell>
        </row>
        <row r="891">
          <cell r="A891" t="str">
            <v>Cây mắc mật (Móc mật)</v>
          </cell>
        </row>
        <row r="892">
          <cell r="A892" t="str">
            <v>Cây mắc mật (Móc mật) Cây mới trồng, ĐK thân ≤2cm</v>
          </cell>
          <cell r="B892" t="str">
            <v>Đồng/cây</v>
          </cell>
          <cell r="C892" t="str">
            <v>70.000</v>
          </cell>
        </row>
        <row r="893">
          <cell r="A893" t="str">
            <v>Cây mắc mật (Móc mật) đường kính gốc 2 cm &lt; ĐK gốc ≤ 5 cm</v>
          </cell>
          <cell r="B893" t="str">
            <v>Đồng/cây</v>
          </cell>
          <cell r="C893" t="str">
            <v>155.000</v>
          </cell>
        </row>
        <row r="894">
          <cell r="A894" t="str">
            <v>Cây mắc mật (Móc mật) đường kính gốc 5 cm &lt; ĐK gốc ≤ 10 cm</v>
          </cell>
          <cell r="B894" t="str">
            <v>Đồng/cây</v>
          </cell>
          <cell r="C894" t="str">
            <v>243.600</v>
          </cell>
        </row>
        <row r="895">
          <cell r="A895" t="str">
            <v>Cây mắc mật (Móc mật) đường kính gốc 10 cm &lt; ĐK gốc ≤ 150 cm</v>
          </cell>
          <cell r="B895" t="str">
            <v>Đồng/cây</v>
          </cell>
          <cell r="C895" t="str">
            <v>692.400</v>
          </cell>
        </row>
        <row r="896">
          <cell r="A896" t="str">
            <v>Cây mắc mật (Móc mật) đường kính gốc 15 cm &lt; ĐK gốc ≤ 20 cm</v>
          </cell>
          <cell r="B896" t="str">
            <v>Đồng/cây</v>
          </cell>
          <cell r="C896" t="str">
            <v>1.040.400</v>
          </cell>
        </row>
        <row r="897">
          <cell r="A897" t="str">
            <v>Cây mắc mật (Móc mật) ĐK gốc &gt; 20 cm</v>
          </cell>
          <cell r="B897" t="str">
            <v>Đồng/cây</v>
          </cell>
          <cell r="C897" t="str">
            <v>1.382.400</v>
          </cell>
        </row>
        <row r="898">
          <cell r="A898" t="str">
            <v>Cây sim</v>
          </cell>
        </row>
        <row r="899">
          <cell r="A899" t="str">
            <v>Cây sim Cây giống mới trồng</v>
          </cell>
          <cell r="B899" t="str">
            <v>Đồng/cây</v>
          </cell>
          <cell r="C899" t="str">
            <v>15.000</v>
          </cell>
        </row>
        <row r="900">
          <cell r="A900" t="str">
            <v>Cây sim ĐK thân ≤5 cm</v>
          </cell>
          <cell r="B900" t="str">
            <v>Đồng/cây</v>
          </cell>
          <cell r="C900" t="str">
            <v>175.000</v>
          </cell>
        </row>
        <row r="901">
          <cell r="A901" t="str">
            <v>Cây sim đường kính thân 5 cm &lt; ĐK thân ≤7 cm</v>
          </cell>
          <cell r="B901" t="str">
            <v>Đồng/cây</v>
          </cell>
          <cell r="C901" t="str">
            <v>285.000</v>
          </cell>
        </row>
        <row r="902">
          <cell r="A902" t="str">
            <v>Cây sim đường kính thân 7 cm &lt; ĐK thân ≤10 cm</v>
          </cell>
          <cell r="B902" t="str">
            <v>Đông/cây</v>
          </cell>
          <cell r="C902" t="str">
            <v>580.000</v>
          </cell>
        </row>
        <row r="903">
          <cell r="A903" t="str">
            <v>Cây sim ĐK thân &gt; 10 cm</v>
          </cell>
          <cell r="B903" t="str">
            <v>Đồng/cây</v>
          </cell>
          <cell r="C903" t="str">
            <v>980.000</v>
          </cell>
        </row>
        <row r="904">
          <cell r="A904" t="str">
            <v>Cây tùng bách tán</v>
          </cell>
        </row>
        <row r="905">
          <cell r="A905" t="str">
            <v>Cây tùng bách tán Cây giống mới trồng</v>
          </cell>
          <cell r="B905" t="str">
            <v>Đồng/cây</v>
          </cell>
          <cell r="C905" t="str">
            <v>10.000</v>
          </cell>
        </row>
        <row r="906">
          <cell r="A906" t="str">
            <v>Cây tùng bách tán ĐK thân ≤2 cm</v>
          </cell>
          <cell r="B906" t="str">
            <v>Đông/cây</v>
          </cell>
          <cell r="C906" t="str">
            <v>25.000</v>
          </cell>
        </row>
        <row r="907">
          <cell r="A907" t="str">
            <v>Cây tùng bách tán đường kính thân 2 cm &lt; ĐK thân ≤5 cm</v>
          </cell>
          <cell r="B907" t="str">
            <v>Đồng/cây</v>
          </cell>
          <cell r="C907" t="str">
            <v>50.000</v>
          </cell>
        </row>
        <row r="908">
          <cell r="A908" t="str">
            <v>Cây tùng bách tán đường kính thân 5 cm &lt; ĐK thân ≤10 cm</v>
          </cell>
          <cell r="B908" t="str">
            <v>Đồng/cây</v>
          </cell>
          <cell r="C908" t="str">
            <v>100.000</v>
          </cell>
        </row>
        <row r="909">
          <cell r="A909" t="str">
            <v>Cây tùng bách tán đường kính thân 10 cm &lt; ĐK thân ≤15 cm</v>
          </cell>
          <cell r="B909" t="str">
            <v>Đồng/cây</v>
          </cell>
          <cell r="C909" t="str">
            <v>180.000</v>
          </cell>
        </row>
        <row r="910">
          <cell r="A910" t="str">
            <v>Cây tùng bách tán đường kính thân 15 cm &lt; ĐK thân ≤20 cm</v>
          </cell>
          <cell r="B910" t="str">
            <v>Đồng/cây</v>
          </cell>
          <cell r="C910" t="str">
            <v>230.000</v>
          </cell>
        </row>
        <row r="911">
          <cell r="A911" t="str">
            <v>Cây tùng bách tán đường kính thân 20 cm &lt; ĐK thân ≤25 cm</v>
          </cell>
          <cell r="B911" t="str">
            <v>Đồng/cây</v>
          </cell>
          <cell r="C911" t="str">
            <v>300.000</v>
          </cell>
        </row>
        <row r="912">
          <cell r="A912" t="str">
            <v>Cây tùng bách tán ĐK thân &gt; 25 cm</v>
          </cell>
          <cell r="B912" t="str">
            <v>Đồng/cây</v>
          </cell>
          <cell r="C912" t="str">
            <v>450.000</v>
          </cell>
        </row>
        <row r="913">
          <cell r="A913" t="str">
            <v>Cây tùng la hán</v>
          </cell>
        </row>
        <row r="914">
          <cell r="A914" t="str">
            <v>Cây tùng la hán Cây giống mới trồng</v>
          </cell>
          <cell r="B914" t="str">
            <v>Đồng/cây</v>
          </cell>
          <cell r="C914" t="str">
            <v>30.000</v>
          </cell>
        </row>
        <row r="915">
          <cell r="A915" t="str">
            <v>Cây tùng la hán ĐK thân ≤2 cm</v>
          </cell>
          <cell r="B915" t="str">
            <v>Đông/cây</v>
          </cell>
          <cell r="C915" t="str">
            <v>100.000</v>
          </cell>
        </row>
        <row r="916">
          <cell r="A916" t="str">
            <v>Cây tùng la hán đường kính thân 2 cm &lt; ĐK thân ≤5 cm</v>
          </cell>
          <cell r="B916" t="str">
            <v>Đồng/cây</v>
          </cell>
          <cell r="C916" t="str">
            <v>170.000</v>
          </cell>
        </row>
        <row r="917">
          <cell r="A917" t="str">
            <v>Cây tùng la hán đường kính thân 5 cm &lt; ĐK thân ≤10 cm</v>
          </cell>
          <cell r="B917" t="str">
            <v>Đồng/cây</v>
          </cell>
          <cell r="C917" t="str">
            <v>250.000</v>
          </cell>
        </row>
        <row r="918">
          <cell r="A918" t="str">
            <v>Cây tùng la hán đường kính thân 10 cm &lt; ĐK thân ≤15 cm</v>
          </cell>
          <cell r="B918" t="str">
            <v>Đồng/cây</v>
          </cell>
          <cell r="C918" t="str">
            <v>320.000</v>
          </cell>
        </row>
        <row r="919">
          <cell r="A919" t="str">
            <v>Cây tùng la hán đường kính thân 15 cm &lt; ĐK thân ≤20 cm</v>
          </cell>
          <cell r="B919" t="str">
            <v>Đồng/cây</v>
          </cell>
          <cell r="C919" t="str">
            <v>400.000</v>
          </cell>
        </row>
        <row r="920">
          <cell r="A920" t="str">
            <v>Cây tùng la hán đường kính thân 20 cm &lt; ĐK thân ≤25 cm</v>
          </cell>
          <cell r="B920" t="str">
            <v>Đồng/cây</v>
          </cell>
          <cell r="C920" t="str">
            <v>500.000</v>
          </cell>
        </row>
        <row r="921">
          <cell r="A921" t="str">
            <v>Cây tùng la hán ĐK thân &gt; 25 cm</v>
          </cell>
          <cell r="B921" t="str">
            <v>Đồng/cây</v>
          </cell>
          <cell r="C921" t="str">
            <v>650.000</v>
          </cell>
        </row>
        <row r="922">
          <cell r="A922" t="str">
            <v>Cây tùng kim</v>
          </cell>
        </row>
        <row r="923">
          <cell r="A923" t="str">
            <v>Cây tùng kim Cây giống mới trồng</v>
          </cell>
          <cell r="B923" t="str">
            <v>Đồng/cây</v>
          </cell>
          <cell r="C923" t="str">
            <v>50.000</v>
          </cell>
        </row>
        <row r="924">
          <cell r="A924" t="str">
            <v>Cây tùng kim ĐK thân ≤2 cm</v>
          </cell>
          <cell r="B924" t="str">
            <v>Đồng/cây</v>
          </cell>
          <cell r="C924" t="str">
            <v>100.000</v>
          </cell>
        </row>
        <row r="925">
          <cell r="A925" t="str">
            <v>Cây tùng kim đường kính thân 2 cm &lt; ĐK thân ≤5 cm</v>
          </cell>
          <cell r="B925" t="str">
            <v>Đồng/cây</v>
          </cell>
          <cell r="C925" t="str">
            <v>170.000</v>
          </cell>
        </row>
        <row r="926">
          <cell r="A926" t="str">
            <v>Cây tùng kim đường kính thân 5 cm &lt; ĐK thân ≤10 cm</v>
          </cell>
          <cell r="B926" t="str">
            <v>Đồng/cây</v>
          </cell>
          <cell r="C926" t="str">
            <v>240.000</v>
          </cell>
        </row>
        <row r="927">
          <cell r="A927" t="str">
            <v>Cây tùng kim đường kính thân 10 cm &lt; ĐK thân ≤15 cm</v>
          </cell>
          <cell r="B927" t="str">
            <v>Đồng/cây</v>
          </cell>
          <cell r="C927" t="str">
            <v>300.000</v>
          </cell>
        </row>
        <row r="928">
          <cell r="A928" t="str">
            <v>Cây tùng kim đường kính thân 15 cm &lt; ĐK thân ≤20 cm</v>
          </cell>
          <cell r="B928" t="str">
            <v>Đồng/cây</v>
          </cell>
          <cell r="C928" t="str">
            <v>370.000</v>
          </cell>
        </row>
        <row r="929">
          <cell r="A929" t="str">
            <v>Cây tùng kim đường kính thân 20 cm &lt; ĐK thân ≤25 cm</v>
          </cell>
          <cell r="B929" t="str">
            <v>Đồng/cây</v>
          </cell>
          <cell r="C929" t="str">
            <v>430.000</v>
          </cell>
        </row>
        <row r="930">
          <cell r="A930" t="str">
            <v>Cây tùng kim ĐK thân &gt; 25 cm</v>
          </cell>
          <cell r="B930" t="str">
            <v>Đồng/cây</v>
          </cell>
          <cell r="C930" t="str">
            <v>500.000</v>
          </cell>
        </row>
        <row r="931">
          <cell r="A931" t="str">
            <v>Bàng Đài Loan</v>
          </cell>
        </row>
        <row r="932">
          <cell r="A932" t="str">
            <v>Bàng Đài Loan Giống đủ tiêu chuẩn mới trồng, chiều cao cây H  ≤ 40cm</v>
          </cell>
          <cell r="B932" t="str">
            <v>Đồng/cây</v>
          </cell>
          <cell r="C932" t="str">
            <v>100.000</v>
          </cell>
        </row>
        <row r="933">
          <cell r="A933" t="str">
            <v>Bàng Đài Loan đường kính gốc 1cm  ≤ ĐK gốc &lt; 3cm</v>
          </cell>
          <cell r="B933" t="str">
            <v>Đồng/cây</v>
          </cell>
          <cell r="C933" t="str">
            <v>180.000</v>
          </cell>
        </row>
        <row r="934">
          <cell r="A934" t="str">
            <v>Bàng Đài Loan đường kính gốc 3cm  ≤ ĐK gốc &lt; 5cm</v>
          </cell>
          <cell r="B934" t="str">
            <v>Đồng/cây</v>
          </cell>
          <cell r="C934" t="str">
            <v>360.000</v>
          </cell>
        </row>
        <row r="935">
          <cell r="A935" t="str">
            <v>Bàng Đài Loan đường kính gốc 5cm  ≤ ĐK gốc &lt; 10cm</v>
          </cell>
          <cell r="B935" t="str">
            <v>Đồng/cây</v>
          </cell>
          <cell r="C935" t="str">
            <v>600.000</v>
          </cell>
        </row>
        <row r="936">
          <cell r="A936" t="str">
            <v>Bàng Đài Loan đường kính gốc 10cm  ≤ ĐK gốc &lt; 15cm</v>
          </cell>
          <cell r="B936" t="str">
            <v>Đồng/cây</v>
          </cell>
          <cell r="C936" t="str">
            <v>960.000</v>
          </cell>
        </row>
        <row r="937">
          <cell r="A937" t="str">
            <v>Bàng Đài Loan đường kính gốc 15cm  ≤ ĐK gốc &lt; 20cm</v>
          </cell>
          <cell r="B937" t="str">
            <v>Đồng/cây</v>
          </cell>
          <cell r="C937" t="str">
            <v>1.200.000</v>
          </cell>
        </row>
        <row r="938">
          <cell r="A938" t="str">
            <v>Bàng Đài Loan đường kính gốc 20cm  ≤ ĐK gốc &lt; 25cm</v>
          </cell>
          <cell r="B938" t="str">
            <v>Đồng/cây</v>
          </cell>
          <cell r="C938" t="str">
            <v>2.400.000</v>
          </cell>
        </row>
        <row r="939">
          <cell r="A939" t="str">
            <v>Bàng Đài Loan đường kính gốc 25cm  ≤ ĐK gốc &lt; 30cm</v>
          </cell>
          <cell r="B939" t="str">
            <v>Đồng/cây</v>
          </cell>
          <cell r="C939" t="str">
            <v>3.600.000</v>
          </cell>
        </row>
        <row r="940">
          <cell r="A940" t="str">
            <v>Bàng Đài Loan ĐK gốc ≥ 30cm</v>
          </cell>
          <cell r="B940" t="str">
            <v>Đồng/cây</v>
          </cell>
          <cell r="C940" t="str">
            <v>5.400.000</v>
          </cell>
        </row>
        <row r="941">
          <cell r="A941" t="str">
            <v>Tùng Ấn Độ</v>
          </cell>
        </row>
        <row r="942">
          <cell r="A942" t="str">
            <v>Tùng Ấn Độ Cây giống đủ tiêu chuẩn mới trồng, chiều cao cây H &lt; 40cm</v>
          </cell>
          <cell r="B942" t="str">
            <v>Đồng/cây</v>
          </cell>
          <cell r="C942" t="str">
            <v>30.000</v>
          </cell>
        </row>
        <row r="943">
          <cell r="A943" t="str">
            <v>Tùng Ấn Độ đường kính gốc 1 cm  ≤ ĐK gốc &lt; 3cm</v>
          </cell>
          <cell r="B943" t="str">
            <v>Đồng/cây</v>
          </cell>
          <cell r="C943" t="str">
            <v>40.000</v>
          </cell>
        </row>
        <row r="944">
          <cell r="A944" t="str">
            <v>Tùng Ấn Độ đường kính gốc 3cm  ≤ ĐK gốc &lt; 5cm</v>
          </cell>
          <cell r="B944" t="str">
            <v>Đồng/cây</v>
          </cell>
          <cell r="C944" t="str">
            <v>65.000</v>
          </cell>
        </row>
        <row r="945">
          <cell r="A945" t="str">
            <v>Tùng Ấn Độ đường kính gốc 5cm  ≤ ĐK gốc &lt; 10cm</v>
          </cell>
          <cell r="B945" t="str">
            <v>Đồng/cây</v>
          </cell>
          <cell r="C945" t="str">
            <v>216.000</v>
          </cell>
        </row>
        <row r="946">
          <cell r="A946" t="str">
            <v>Tùng Ấn Độ đường kính gốc 10cm  ≤ ĐK gốc &lt; 15cm</v>
          </cell>
          <cell r="B946" t="str">
            <v>Đồng/cây</v>
          </cell>
          <cell r="C946" t="str">
            <v>540.000</v>
          </cell>
        </row>
        <row r="947">
          <cell r="A947" t="str">
            <v>Tùng Ấn Độ ĐK gốc ≥ 15cm</v>
          </cell>
          <cell r="B947" t="str">
            <v>Đồng/cây</v>
          </cell>
          <cell r="C947" t="str">
            <v>720.000</v>
          </cell>
        </row>
        <row r="948">
          <cell r="A948" t="str">
            <v>Sầu riêng</v>
          </cell>
        </row>
        <row r="949">
          <cell r="A949" t="str">
            <v>Sầu riêng Cây mới trồng &lt;01 năm (cây từ hạt)</v>
          </cell>
          <cell r="B949" t="str">
            <v>Đồng/cây</v>
          </cell>
          <cell r="C949" t="str">
            <v>30.000</v>
          </cell>
        </row>
        <row r="950">
          <cell r="A950" t="str">
            <v>Sầu riêng Cây mới trồng &lt; 01 năm (cây ghép)</v>
          </cell>
          <cell r="B950" t="str">
            <v>Đồng/cây</v>
          </cell>
          <cell r="C950" t="str">
            <v>50.000</v>
          </cell>
        </row>
        <row r="951">
          <cell r="A951" t="str">
            <v>Sầu riêng Cây trồng ≥  01 năm, chiều cao thân cây &lt; 1m chưa có quả</v>
          </cell>
          <cell r="B951" t="str">
            <v>Đồng/cây</v>
          </cell>
          <cell r="C951" t="str">
            <v>70.000</v>
          </cell>
        </row>
        <row r="952">
          <cell r="A952" t="str">
            <v>Sầu riêng Cây trồng có chiều cao thân cây từ ≥1 m chưa có quả</v>
          </cell>
          <cell r="B952" t="str">
            <v>Đồng/cây</v>
          </cell>
          <cell r="C952" t="str">
            <v>192.000</v>
          </cell>
        </row>
        <row r="953">
          <cell r="A953" t="str">
            <v>Sầu riêng Cây có quả đường kính gốc &lt; 20cm</v>
          </cell>
          <cell r="B953" t="str">
            <v>Đồng/cây</v>
          </cell>
          <cell r="C953" t="str">
            <v>540.000</v>
          </cell>
        </row>
        <row r="954">
          <cell r="A954" t="str">
            <v>Sầu riêng Cây có quả tốt đường kính thân ≥ 20cm đến &lt; 45cm</v>
          </cell>
          <cell r="B954" t="str">
            <v>Đồng/cây</v>
          </cell>
          <cell r="C954" t="str">
            <v>924.000</v>
          </cell>
        </row>
        <row r="955">
          <cell r="A955" t="str">
            <v>Sầu riêng Cây có quả thu hoạch tốt đường kính gốc ≥ 45 cm</v>
          </cell>
          <cell r="B955" t="str">
            <v>Đồng/cây</v>
          </cell>
          <cell r="C955" t="str">
            <v>1.584.000</v>
          </cell>
        </row>
        <row r="956">
          <cell r="A956" t="str">
            <v>Cây Dẻ lấy quả</v>
          </cell>
        </row>
        <row r="957">
          <cell r="A957" t="str">
            <v>Cây Dẻ lấy quả Mới trồng, ĐK gốc &lt; 5 cm</v>
          </cell>
          <cell r="B957" t="str">
            <v>Đồng/cây</v>
          </cell>
          <cell r="C957" t="str">
            <v>20.000</v>
          </cell>
        </row>
        <row r="958">
          <cell r="A958" t="str">
            <v>Cây Dẻ lấy quả đường kính gốc 5 cm ≤ ĐK gốc &lt;10cm</v>
          </cell>
          <cell r="B958" t="str">
            <v>Đồng/cây</v>
          </cell>
          <cell r="C958" t="str">
            <v>132.000</v>
          </cell>
        </row>
        <row r="959">
          <cell r="A959" t="str">
            <v>Cây Dẻ lấy quả đường kính gốc 10cm ≤ ĐK gốc &lt; 20cm</v>
          </cell>
          <cell r="B959" t="str">
            <v>Đồng/cây</v>
          </cell>
          <cell r="C959" t="str">
            <v>330.000</v>
          </cell>
        </row>
        <row r="960">
          <cell r="A960" t="str">
            <v>Cây Dẻ lấy quả đường kính gốc 20cm ≤ ĐK gốc &lt; 30cm</v>
          </cell>
          <cell r="B960" t="str">
            <v>Đồng/cây</v>
          </cell>
          <cell r="C960" t="str">
            <v>462.000</v>
          </cell>
        </row>
        <row r="961">
          <cell r="A961" t="str">
            <v>Cây Dẻ lấy quả ĐK gốc &gt; 30cm</v>
          </cell>
          <cell r="B961" t="str">
            <v>Đồng/cây</v>
          </cell>
          <cell r="C961" t="str">
            <v>660.000</v>
          </cell>
        </row>
        <row r="962">
          <cell r="A962" t="str">
            <v>Cây lựu</v>
          </cell>
        </row>
        <row r="963">
          <cell r="A963" t="str">
            <v>Cây lựu Mới trồng, chiều cao cây H ≥ 40cm</v>
          </cell>
          <cell r="B963" t="str">
            <v>Đồng/cây</v>
          </cell>
          <cell r="C963" t="str">
            <v>25.000</v>
          </cell>
        </row>
        <row r="964">
          <cell r="A964" t="str">
            <v>Cây lựu đường kính gốc 1 cm  ≤ ĐK gốc &lt; 2cm</v>
          </cell>
          <cell r="B964" t="str">
            <v>Đồng/cây</v>
          </cell>
          <cell r="C964" t="str">
            <v>30.000</v>
          </cell>
        </row>
        <row r="965">
          <cell r="A965" t="str">
            <v>Cây lựu đường kính gốc 2cm  ≤ ĐK gốc &lt; 5cm</v>
          </cell>
          <cell r="B965" t="str">
            <v>Đồng/cây</v>
          </cell>
          <cell r="C965" t="str">
            <v>50.000</v>
          </cell>
        </row>
        <row r="966">
          <cell r="A966" t="str">
            <v>Cây lựu đường kính gốc 5cm  ≤ ĐK gốc &lt; 7cm</v>
          </cell>
          <cell r="B966" t="str">
            <v>Đồng/cây</v>
          </cell>
          <cell r="C966" t="str">
            <v>84.000</v>
          </cell>
        </row>
        <row r="967">
          <cell r="A967" t="str">
            <v>Cây lựu đường kính gốc 7cm  ≤ ĐK gốc &lt; 9cm</v>
          </cell>
          <cell r="B967" t="str">
            <v>Đồng/cây</v>
          </cell>
          <cell r="C967" t="str">
            <v>120.000</v>
          </cell>
        </row>
        <row r="968">
          <cell r="A968" t="str">
            <v>Cây lựu đường kính gốc 9cm  ≤ ĐK gốc &lt; 12cm</v>
          </cell>
          <cell r="B968" t="str">
            <v>Đồng/cây</v>
          </cell>
          <cell r="C968" t="str">
            <v>156.000</v>
          </cell>
        </row>
        <row r="969">
          <cell r="A969" t="str">
            <v>Cây lựu đường kính gốc 12cm  ≤ ĐK gốc &lt; 15cm</v>
          </cell>
          <cell r="B969" t="str">
            <v>Đồng/cây</v>
          </cell>
          <cell r="C969" t="str">
            <v>204.000</v>
          </cell>
        </row>
        <row r="970">
          <cell r="A970" t="str">
            <v>Cây lựu đường kính gốc 15cm  ≤ ĐK gốc &lt; 20cm</v>
          </cell>
          <cell r="B970" t="str">
            <v>Đồng/cây</v>
          </cell>
          <cell r="C970" t="str">
            <v>300.000</v>
          </cell>
        </row>
        <row r="971">
          <cell r="A971" t="str">
            <v>Cây lựu ĐK gốc ≥ 20cm</v>
          </cell>
          <cell r="B971" t="str">
            <v>Đồng/cây</v>
          </cell>
          <cell r="C971" t="str">
            <v>420.000</v>
          </cell>
        </row>
        <row r="972">
          <cell r="A972" t="str">
            <v>Cây mai vàng</v>
          </cell>
        </row>
        <row r="973">
          <cell r="A973" t="str">
            <v>Cây mai vàng đường kính gốc 0,5cm ≤ ĐK gốc &lt; 1cm</v>
          </cell>
          <cell r="B973" t="str">
            <v>Đồng/cây</v>
          </cell>
          <cell r="C973" t="str">
            <v>40.000</v>
          </cell>
        </row>
        <row r="974">
          <cell r="A974" t="str">
            <v>Cây mai vàng đường kính gốc 1 cm ≤ ĐK gốc &lt; 2cm</v>
          </cell>
          <cell r="B974" t="str">
            <v>Đồng/cây</v>
          </cell>
          <cell r="C974" t="str">
            <v>50.000</v>
          </cell>
        </row>
        <row r="975">
          <cell r="A975" t="str">
            <v>Cây mai vàng đường kính gốc 2cm ≤ ĐK gốc &lt; 4cm</v>
          </cell>
          <cell r="B975" t="str">
            <v>Đồng/cây</v>
          </cell>
          <cell r="C975" t="str">
            <v>70.000</v>
          </cell>
        </row>
        <row r="976">
          <cell r="A976" t="str">
            <v>Cây mai vàng đường kính gốc 4cm ≤ ĐK gôc &lt; 6cm</v>
          </cell>
          <cell r="B976" t="str">
            <v>Đồng/cây</v>
          </cell>
          <cell r="C976" t="str">
            <v>80.000</v>
          </cell>
        </row>
        <row r="977">
          <cell r="A977" t="str">
            <v>Cây mai vàng đường kính gốc 6cm ≤ ĐK gốc &lt; 10cm</v>
          </cell>
          <cell r="B977" t="str">
            <v>Đồng/cây</v>
          </cell>
          <cell r="C977" t="str">
            <v>360.000</v>
          </cell>
        </row>
        <row r="978">
          <cell r="A978" t="str">
            <v>Cây mai vàng ĐK gốc ≥ 10cm</v>
          </cell>
          <cell r="B978" t="str">
            <v>Đồng/cây</v>
          </cell>
          <cell r="C978" t="str">
            <v>900.000</v>
          </cell>
        </row>
        <row r="979">
          <cell r="A979" t="str">
            <v>Vạn Tuế</v>
          </cell>
        </row>
        <row r="980">
          <cell r="A980" t="str">
            <v>Vạn Tuế ĐK gốc &lt; 10 cm</v>
          </cell>
          <cell r="B980" t="str">
            <v>Đồng/cây</v>
          </cell>
          <cell r="C980" t="str">
            <v>400.000</v>
          </cell>
        </row>
        <row r="981">
          <cell r="A981" t="str">
            <v>Vạn Tuế đường kính gốc 10 cm ≤ ĐK gốc &lt; 20 cm</v>
          </cell>
          <cell r="B981" t="str">
            <v>Đồng/cây</v>
          </cell>
          <cell r="C981" t="str">
            <v>700.000</v>
          </cell>
        </row>
        <row r="982">
          <cell r="A982" t="str">
            <v>Vạn Tuế đường kính gốc 20 cm ≤ ĐK gốc &lt; 30 cm</v>
          </cell>
          <cell r="B982" t="str">
            <v>Đồng/cây</v>
          </cell>
          <cell r="C982" t="str">
            <v>1.000.000</v>
          </cell>
        </row>
        <row r="983">
          <cell r="A983" t="str">
            <v>Vạn Tuế ĐK gốc ≥ 30 cm</v>
          </cell>
          <cell r="B983" t="str">
            <v>Đồng/cây</v>
          </cell>
          <cell r="C983" t="str">
            <v>1.500.000</v>
          </cell>
        </row>
        <row r="984">
          <cell r="A984" t="str">
            <v>NHÓM CÂY TÍNH THEO ĐƯỜNG KÍNH TÁN</v>
          </cell>
        </row>
        <row r="985">
          <cell r="A985" t="str">
            <v>Cây hồng xiêm</v>
          </cell>
        </row>
        <row r="986">
          <cell r="A986" t="str">
            <v>Cây hồng xiêm Cây giống đủ tiêu chuẩn mới trồng</v>
          </cell>
          <cell r="B986" t="str">
            <v>Đồng/cây</v>
          </cell>
          <cell r="C986" t="str">
            <v>25.000</v>
          </cell>
        </row>
        <row r="987">
          <cell r="A987" t="str">
            <v>Cây hồng xiêm ĐK tán ≤ 1,5 m</v>
          </cell>
          <cell r="B987" t="str">
            <v>Đồng/cây</v>
          </cell>
          <cell r="C987" t="str">
            <v>75.000</v>
          </cell>
        </row>
        <row r="988">
          <cell r="A988" t="str">
            <v>Cây hồng xiêm đường kính tán 1,5 m &lt; ĐK tán ≤2,5 m</v>
          </cell>
          <cell r="B988" t="str">
            <v>Đồng/cây</v>
          </cell>
          <cell r="C988">
            <v>187000</v>
          </cell>
        </row>
        <row r="989">
          <cell r="A989" t="str">
            <v>Cây hồng xiêm đường kính tán 2,5 m &lt; ĐK tán ≤ 3,5 m</v>
          </cell>
          <cell r="B989" t="str">
            <v>1 Đồng/cây</v>
          </cell>
          <cell r="C989" t="str">
            <v>311.000</v>
          </cell>
        </row>
        <row r="990">
          <cell r="A990" t="str">
            <v>Cây hồng xiêm đường kính tán 3,5 m &lt; ĐK tán ≤ 4,5 m</v>
          </cell>
          <cell r="B990" t="str">
            <v>Đồng/cây</v>
          </cell>
          <cell r="C990" t="str">
            <v>435.000</v>
          </cell>
        </row>
        <row r="991">
          <cell r="A991" t="str">
            <v>Cây hồng xiêm đường kính tán 4,5 m &lt; ĐK tán ≤ 5,5 m</v>
          </cell>
          <cell r="B991" t="str">
            <v>Đồng/cây</v>
          </cell>
          <cell r="C991" t="str">
            <v>560.000</v>
          </cell>
        </row>
        <row r="992">
          <cell r="A992" t="str">
            <v>Cây hồng xiêm đường kính tán 5,5 m &lt; ĐK tán ≤ 8 m</v>
          </cell>
          <cell r="B992" t="str">
            <v>Đồng/cây</v>
          </cell>
          <cell r="C992" t="str">
            <v>747.000</v>
          </cell>
        </row>
        <row r="993">
          <cell r="A993" t="str">
            <v>Cây hồng xiêm đường kính tán 8 m &lt; ĐK tán ≤ 10 m</v>
          </cell>
          <cell r="B993" t="str">
            <v>Đồng/cây</v>
          </cell>
          <cell r="C993" t="str">
            <v>995.000</v>
          </cell>
        </row>
        <row r="994">
          <cell r="A994" t="str">
            <v>Cây hồng xiêm ĐK tán &gt; 10 m</v>
          </cell>
          <cell r="B994" t="str">
            <v>Đồng/cây</v>
          </cell>
          <cell r="C994" t="str">
            <v>1.369.000</v>
          </cell>
        </row>
        <row r="995">
          <cell r="A995" t="str">
            <v>Cây roi</v>
          </cell>
        </row>
        <row r="996">
          <cell r="A996" t="str">
            <v>Cây roi Cây giống đủ tiêu chuẩn mới trồng</v>
          </cell>
          <cell r="B996" t="str">
            <v>Đồng/cây</v>
          </cell>
          <cell r="C996" t="str">
            <v>25.000</v>
          </cell>
        </row>
        <row r="997">
          <cell r="A997" t="str">
            <v>Cây roi đường kính tán 0,7m ≤ ĐK tán &lt; 1m</v>
          </cell>
          <cell r="B997" t="str">
            <v>Đồng/cây</v>
          </cell>
          <cell r="C997" t="str">
            <v>35.000</v>
          </cell>
        </row>
        <row r="998">
          <cell r="A998" t="str">
            <v>Cây roi đường kính tán 1 m ≤ ĐK tán &lt; l,5m</v>
          </cell>
          <cell r="B998" t="str">
            <v>Đồng/cây</v>
          </cell>
          <cell r="C998" t="str">
            <v>66.000</v>
          </cell>
        </row>
        <row r="999">
          <cell r="A999" t="str">
            <v>Cây roi đường kính tán 1,5m ≤ ĐK tán &lt; 2m</v>
          </cell>
          <cell r="B999" t="str">
            <v>Đồng/cây</v>
          </cell>
          <cell r="C999" t="str">
            <v>108.000</v>
          </cell>
        </row>
        <row r="1000">
          <cell r="A1000" t="str">
            <v>Cây roi đường kính tán 2m ≤ ĐK tán &lt; 3m</v>
          </cell>
          <cell r="B1000" t="str">
            <v>Đồng/cây</v>
          </cell>
          <cell r="C1000" t="str">
            <v>168.000</v>
          </cell>
        </row>
        <row r="1001">
          <cell r="A1001" t="str">
            <v>Cây roi đường kính tán 3m ≤ ĐK tán &lt; 4m</v>
          </cell>
          <cell r="B1001" t="str">
            <v>Đồng/cây</v>
          </cell>
          <cell r="C1001" t="str">
            <v>264.000</v>
          </cell>
        </row>
        <row r="1002">
          <cell r="A1002" t="str">
            <v>Cây roi đường kính tán 4m ≤ ĐK tán &lt; 5m</v>
          </cell>
          <cell r="B1002" t="str">
            <v>Đồng/cây</v>
          </cell>
          <cell r="C1002" t="str">
            <v>372.000</v>
          </cell>
        </row>
        <row r="1003">
          <cell r="A1003" t="str">
            <v>Cây roi đường kính tán 5m ≤ ĐK tán &lt; 6m</v>
          </cell>
          <cell r="B1003" t="str">
            <v>Đồng/cây</v>
          </cell>
          <cell r="C1003" t="str">
            <v>480.000</v>
          </cell>
        </row>
        <row r="1004">
          <cell r="A1004" t="str">
            <v>Cây roi đường kính tán 6m ≤ ĐK tán &lt; 7m</v>
          </cell>
          <cell r="B1004" t="str">
            <v>Đồng/cây</v>
          </cell>
          <cell r="C1004" t="str">
            <v>588.000</v>
          </cell>
        </row>
        <row r="1005">
          <cell r="A1005" t="str">
            <v>Cây roi đường kính tán 7m ≤ ĐK tán &lt; 8m</v>
          </cell>
          <cell r="B1005" t="str">
            <v>Đồng/cây</v>
          </cell>
          <cell r="C1005" t="str">
            <v>720.000</v>
          </cell>
        </row>
        <row r="1006">
          <cell r="A1006" t="str">
            <v>Cây roi đường kính tán 8m ≤  ĐK tán &lt; 9m</v>
          </cell>
          <cell r="B1006" t="str">
            <v>Đồng/cây</v>
          </cell>
          <cell r="C1006" t="str">
            <v>864.000</v>
          </cell>
        </row>
        <row r="1007">
          <cell r="A1007" t="str">
            <v>Cây roi đường kính tán 9m ≤ ĐK tán &lt; 12m</v>
          </cell>
          <cell r="B1007" t="str">
            <v>Đồng/cây</v>
          </cell>
          <cell r="C1007" t="str">
            <v>1.020.000</v>
          </cell>
        </row>
        <row r="1008">
          <cell r="A1008" t="str">
            <v>Cây roi ĐK tán ≥ 12m</v>
          </cell>
          <cell r="B1008" t="str">
            <v>Đồng/cây</v>
          </cell>
          <cell r="C1008" t="str">
            <v>1.140.000</v>
          </cell>
        </row>
        <row r="1009">
          <cell r="A1009" t="str">
            <v>Cây hồng, cây cậy</v>
          </cell>
        </row>
        <row r="1010">
          <cell r="A1010" t="str">
            <v>Cây hồng, cây cậy Cây giống đủ tiêu chuẩn mới trồng, chiều cao cây H ≥ 40cm</v>
          </cell>
          <cell r="B1010" t="str">
            <v>Đồng/cây</v>
          </cell>
          <cell r="C1010" t="str">
            <v>20.000</v>
          </cell>
        </row>
        <row r="1011">
          <cell r="A1011" t="str">
            <v>Cây hồng, cây cậy ĐK tán ≤ 1,5m</v>
          </cell>
          <cell r="B1011" t="str">
            <v>Đồng/cây</v>
          </cell>
          <cell r="C1011" t="str">
            <v>75.000</v>
          </cell>
        </row>
        <row r="1012">
          <cell r="A1012" t="str">
            <v>Cây hồng, cây cậy đường kính tán 1,5 m &lt; ĐK tán ≤2,5 m</v>
          </cell>
          <cell r="B1012" t="str">
            <v>Đồng/cây</v>
          </cell>
          <cell r="C1012" t="str">
            <v>187.000</v>
          </cell>
        </row>
        <row r="1013">
          <cell r="A1013" t="str">
            <v>Cây hồng, cây cậy đường kính tán 2,5 m &lt; ĐK tán ≤3,5 m</v>
          </cell>
          <cell r="B1013" t="str">
            <v>Đồng/cây</v>
          </cell>
          <cell r="C1013" t="str">
            <v>311.000</v>
          </cell>
        </row>
        <row r="1014">
          <cell r="A1014" t="str">
            <v>Cây hồng, cây cậy đường kính tán 3,5 m &lt; ĐK tán ≤4,5 m</v>
          </cell>
          <cell r="B1014" t="str">
            <v>Đồng/cây</v>
          </cell>
          <cell r="C1014" t="str">
            <v>435.000</v>
          </cell>
        </row>
        <row r="1015">
          <cell r="A1015" t="str">
            <v>Cây hồng, cây cậy đường kính tán 4,5 m &lt; ĐK tán ≤5,5 m</v>
          </cell>
          <cell r="B1015" t="str">
            <v>Đồng/cây</v>
          </cell>
          <cell r="C1015" t="str">
            <v>560.000</v>
          </cell>
        </row>
        <row r="1016">
          <cell r="A1016" t="str">
            <v>Cây hồng, cây cậy đường kính tán 5,5 m &lt; ĐK tán ≤8 m</v>
          </cell>
          <cell r="B1016" t="str">
            <v>Đồng/cây</v>
          </cell>
          <cell r="C1016" t="str">
            <v>747.000</v>
          </cell>
        </row>
        <row r="1017">
          <cell r="A1017" t="str">
            <v>Cây hồng, cây cậy đường kính tán 8 m &lt; ĐK tán ≤10 m</v>
          </cell>
          <cell r="B1017" t="str">
            <v>Đồng/cây</v>
          </cell>
          <cell r="C1017" t="str">
            <v>995.000</v>
          </cell>
        </row>
        <row r="1018">
          <cell r="A1018" t="str">
            <v>Cây hồng, cây cậy ĐKtán &gt; 10 m</v>
          </cell>
          <cell r="B1018" t="str">
            <v>Đồng/cây</v>
          </cell>
          <cell r="C1018" t="str">
            <v>1.369.000</v>
          </cell>
        </row>
        <row r="1019">
          <cell r="A1019" t="str">
            <v>Cây chanh</v>
          </cell>
        </row>
        <row r="1020">
          <cell r="A1020" t="str">
            <v>Cây chanh Cây giống đủ tiêu chuẩn mới trồng, chiều cao cây H ≥ 40cm</v>
          </cell>
          <cell r="B1020" t="str">
            <v>Đồng/cây</v>
          </cell>
          <cell r="C1020" t="str">
            <v>25.000</v>
          </cell>
        </row>
        <row r="1021">
          <cell r="A1021" t="str">
            <v>Cây chanh ĐK tán ≤1 m</v>
          </cell>
          <cell r="B1021" t="str">
            <v>Đồng/cây</v>
          </cell>
          <cell r="C1021" t="str">
            <v>62.000</v>
          </cell>
        </row>
        <row r="1022">
          <cell r="A1022" t="str">
            <v>Cây chanh đường kính tán 1 m &lt; ĐK tán ≤ 1,5 m</v>
          </cell>
          <cell r="B1022" t="str">
            <v>Đồng/cây</v>
          </cell>
          <cell r="C1022" t="str">
            <v>124.000</v>
          </cell>
        </row>
        <row r="1023">
          <cell r="A1023" t="str">
            <v>Cây chanh đường kính tán 1,5 m &lt; ĐK tán ≤ 2 m</v>
          </cell>
          <cell r="B1023" t="str">
            <v>Đồng/cây</v>
          </cell>
          <cell r="C1023" t="str">
            <v>249.000</v>
          </cell>
        </row>
        <row r="1024">
          <cell r="A1024" t="str">
            <v>Cây chanh đường kính tán 2 m &lt; ĐK tán ≤ 3 m</v>
          </cell>
          <cell r="B1024" t="str">
            <v>Đồng/cây</v>
          </cell>
          <cell r="C1024" t="str">
            <v>373.000</v>
          </cell>
        </row>
        <row r="1025">
          <cell r="A1025" t="str">
            <v>Cây chanh đường kính tán 3 m &lt; ĐK tán ≤ 4 m</v>
          </cell>
          <cell r="B1025" t="str">
            <v>Đồng/cây</v>
          </cell>
          <cell r="C1025" t="str">
            <v>560.000</v>
          </cell>
        </row>
        <row r="1026">
          <cell r="A1026" t="str">
            <v>Cây chanh ĐKtán &gt; 4m</v>
          </cell>
          <cell r="B1026" t="str">
            <v>Đồng/cây</v>
          </cell>
          <cell r="C1026" t="str">
            <v>747.000</v>
          </cell>
        </row>
        <row r="1027">
          <cell r="A1027" t="str">
            <v>Cây cam</v>
          </cell>
        </row>
        <row r="1028">
          <cell r="A1028" t="str">
            <v>Cây cam giống Loại cây ghép có chiều cao cây 40cm ≤ H &lt; 1m</v>
          </cell>
          <cell r="B1028" t="str">
            <v>Đồng/cây</v>
          </cell>
          <cell r="C1028" t="str">
            <v>25.000</v>
          </cell>
        </row>
        <row r="1029">
          <cell r="A1029" t="str">
            <v>Cây cam giống Loại cây ghép có chiều cao cây H ≥ 1 m</v>
          </cell>
          <cell r="B1029" t="str">
            <v>Đồng/cây</v>
          </cell>
          <cell r="C1029" t="str">
            <v>30.000</v>
          </cell>
        </row>
        <row r="1030">
          <cell r="A1030" t="str">
            <v>Cây cam giống Loại cây chiết cành có chiều cao 40cm ≤ H &lt; 1m</v>
          </cell>
          <cell r="B1030" t="str">
            <v>Đồng/cây</v>
          </cell>
          <cell r="C1030" t="str">
            <v>30.000</v>
          </cell>
        </row>
        <row r="1031">
          <cell r="A1031" t="str">
            <v>Cây cam giống Loại cây chiết cành có chiều cao cây H ≥ 1m</v>
          </cell>
          <cell r="B1031" t="str">
            <v>Đồng/cây</v>
          </cell>
          <cell r="C1031" t="str">
            <v>40.000</v>
          </cell>
        </row>
        <row r="1032">
          <cell r="A1032" t="str">
            <v>Cây cam ĐK tán ≤1 m</v>
          </cell>
          <cell r="B1032" t="str">
            <v>Đông/cây</v>
          </cell>
          <cell r="C1032" t="str">
            <v>87.000</v>
          </cell>
        </row>
        <row r="1033">
          <cell r="A1033" t="str">
            <v>Cây cam đường kính tán 1 m &lt; ĐKtán ≤ 1,5 m</v>
          </cell>
          <cell r="B1033" t="str">
            <v>Đồng/cây</v>
          </cell>
          <cell r="C1033" t="str">
            <v>149.000</v>
          </cell>
        </row>
        <row r="1034">
          <cell r="A1034" t="str">
            <v>Cây cam đường kính tán 1,5 m &lt; ĐK tán ≤ 2 m</v>
          </cell>
          <cell r="B1034" t="str">
            <v>Đông/cây</v>
          </cell>
          <cell r="C1034" t="str">
            <v>249.000</v>
          </cell>
        </row>
        <row r="1035">
          <cell r="A1035" t="str">
            <v>Cây cam đường kính tán 2 m &lt; ĐK tán ≤ 3 m</v>
          </cell>
          <cell r="B1035" t="str">
            <v>Đồng/cây</v>
          </cell>
          <cell r="C1035" t="str">
            <v>560.000</v>
          </cell>
        </row>
        <row r="1036">
          <cell r="A1036" t="str">
            <v>Cây cam đường kính tán 3 m &lt; ĐK tán ≤ 5 m</v>
          </cell>
          <cell r="B1036" t="str">
            <v>Đông/cây</v>
          </cell>
          <cell r="C1036" t="str">
            <v>809.000</v>
          </cell>
        </row>
        <row r="1037">
          <cell r="A1037" t="str">
            <v>Cây cam ĐK tán &gt; 5 m</v>
          </cell>
          <cell r="B1037" t="str">
            <v>Đồng/cây</v>
          </cell>
          <cell r="C1037" t="str">
            <v>1.058.000</v>
          </cell>
        </row>
        <row r="1038">
          <cell r="A1038" t="str">
            <v>Cây quýt</v>
          </cell>
        </row>
        <row r="1039">
          <cell r="A1039" t="str">
            <v>Cây quýt ĐK tán ≤ 1,5 m</v>
          </cell>
          <cell r="B1039" t="str">
            <v>Đồng/cây</v>
          </cell>
          <cell r="C1039" t="str">
            <v>149.000</v>
          </cell>
        </row>
        <row r="1040">
          <cell r="A1040" t="str">
            <v>Cây quýt đường kính tán 1,5 m &lt; ĐK tán ≤ 2 m</v>
          </cell>
          <cell r="B1040" t="str">
            <v>Đông/cây</v>
          </cell>
          <cell r="C1040" t="str">
            <v>249.000</v>
          </cell>
        </row>
        <row r="1041">
          <cell r="A1041" t="str">
            <v>Cây quýt đường kính tán 2 m &lt; ĐK tán ≤ 3 m</v>
          </cell>
          <cell r="B1041" t="str">
            <v>Đồng/cây</v>
          </cell>
          <cell r="C1041" t="str">
            <v>560.000</v>
          </cell>
        </row>
        <row r="1042">
          <cell r="A1042" t="str">
            <v>Cây quýt đường kính tán 3 m &lt; ĐK tán ≤ 5 m</v>
          </cell>
          <cell r="B1042" t="str">
            <v>Đồng/cây</v>
          </cell>
          <cell r="C1042" t="str">
            <v>809.000</v>
          </cell>
        </row>
        <row r="1043">
          <cell r="A1043" t="str">
            <v>Cây quýt ĐK tán &gt; 5 m</v>
          </cell>
          <cell r="B1043" t="str">
            <v>Đông/cây</v>
          </cell>
          <cell r="C1043" t="str">
            <v>1.058.000</v>
          </cell>
        </row>
        <row r="1044">
          <cell r="A1044" t="str">
            <v>Cây quất</v>
          </cell>
        </row>
        <row r="1045">
          <cell r="A1045" t="str">
            <v>Cây quất Cây giống đủ tiêu chuẩn mới trồng</v>
          </cell>
          <cell r="B1045" t="str">
            <v>Đông/cây</v>
          </cell>
          <cell r="C1045" t="str">
            <v>7.000</v>
          </cell>
        </row>
        <row r="1046">
          <cell r="A1046" t="str">
            <v>Cây quất ĐK tán ≤1 m</v>
          </cell>
          <cell r="B1046" t="str">
            <v>Đồng/cây</v>
          </cell>
          <cell r="C1046" t="str">
            <v>149.000</v>
          </cell>
        </row>
        <row r="1047">
          <cell r="A1047" t="str">
            <v>Cây quất đường kính tán 1 m &lt; ĐK tán ≤2 m</v>
          </cell>
          <cell r="B1047" t="str">
            <v>Đồng/cây</v>
          </cell>
          <cell r="C1047" t="str">
            <v>311.000</v>
          </cell>
        </row>
        <row r="1048">
          <cell r="A1048" t="str">
            <v>Cây quất ĐK tán &gt; 2 m</v>
          </cell>
          <cell r="B1048" t="str">
            <v>Đồng/cây</v>
          </cell>
          <cell r="C1048" t="str">
            <v>547.000</v>
          </cell>
        </row>
        <row r="1049">
          <cell r="A1049" t="str">
            <v>Cây đào (lấy quả), cây mận (lấy quả), cây mơ (lấy quả)</v>
          </cell>
        </row>
        <row r="1050">
          <cell r="A1050" t="str">
            <v>Cây đào (lấy quả), cây mận (lấy quả), cây mơ (lấy quả) ĐK tán ≤1 m</v>
          </cell>
          <cell r="B1050" t="str">
            <v>Đồng/cây</v>
          </cell>
          <cell r="C1050" t="str">
            <v>81.000</v>
          </cell>
        </row>
        <row r="1051">
          <cell r="A1051" t="str">
            <v>Cây đào (lấy quả), cây mận (lấy quả), cây mơ (lấy quả) đường kính tán 1 m &lt; ĐK tán ≤1,5 m</v>
          </cell>
          <cell r="B1051" t="str">
            <v>Đồng/cấy</v>
          </cell>
          <cell r="C1051" t="str">
            <v>149.000</v>
          </cell>
        </row>
        <row r="1052">
          <cell r="A1052" t="str">
            <v>Cây đào (lấy quả), cây mận (lấy quả), cây mơ (lấy quả) đường kính tán  1,5 m &lt; ĐK tán ≤ 2 m</v>
          </cell>
          <cell r="B1052" t="str">
            <v>Đồng/cây</v>
          </cell>
          <cell r="C1052" t="str">
            <v>187.000</v>
          </cell>
        </row>
        <row r="1053">
          <cell r="A1053" t="str">
            <v>Cây đào (lấy quả), cây mận (lấy quả), cây mơ (lấy quả) đường kính tán 2 m &lt; ĐK tán ≤ 3 m</v>
          </cell>
          <cell r="B1053" t="str">
            <v>Đông/cây</v>
          </cell>
          <cell r="C1053" t="str">
            <v>224.000</v>
          </cell>
        </row>
        <row r="1054">
          <cell r="A1054" t="str">
            <v>Cây đào (lấy quả), cây mận (lấy quả), cây mơ (lấy quả) đường kính tán  3 m &lt; ĐK tán ≤ 5 m</v>
          </cell>
          <cell r="B1054" t="str">
            <v>Đồng/cây</v>
          </cell>
          <cell r="C1054" t="str">
            <v>435.000</v>
          </cell>
        </row>
        <row r="1055">
          <cell r="A1055" t="str">
            <v>Cây đào (lấy quả), cây mận (lấy quả), cây mơ (lấy quả) ĐK tán &gt; 5 m</v>
          </cell>
          <cell r="B1055" t="str">
            <v>Đồng/cây</v>
          </cell>
          <cell r="C1055" t="str">
            <v>796.000</v>
          </cell>
        </row>
        <row r="1056">
          <cell r="A1056" t="str">
            <v>Cây thanh trà (chanh trà)</v>
          </cell>
        </row>
        <row r="1057">
          <cell r="A1057" t="str">
            <v>Cây thanh trà (chanh trà) Cây giống đủ tiêu chuẩn mới trồng, chiều cao cây H ≥ 40cm</v>
          </cell>
          <cell r="B1057" t="str">
            <v>Đồng/cây</v>
          </cell>
          <cell r="C1057" t="str">
            <v>25.000</v>
          </cell>
        </row>
        <row r="1058">
          <cell r="A1058" t="str">
            <v>Cây thanh trà (chanh trà) ĐK tán ≤1 m</v>
          </cell>
          <cell r="B1058" t="str">
            <v>Đồng/cây</v>
          </cell>
          <cell r="C1058" t="str">
            <v>65.000</v>
          </cell>
        </row>
        <row r="1059">
          <cell r="A1059" t="str">
            <v>Cây thanh trà (chanh trà) đường kính tán 1 m &lt; ĐK tán ≤ 1,5 m</v>
          </cell>
          <cell r="B1059" t="str">
            <v>Đồng/cây</v>
          </cell>
          <cell r="C1059" t="str">
            <v>120.000</v>
          </cell>
        </row>
        <row r="1060">
          <cell r="A1060" t="str">
            <v>Cây thanh trà (chanh trà) đường kính tán 1,5 m &lt; ĐK tán ≤ 2 m</v>
          </cell>
          <cell r="B1060" t="str">
            <v>Đông/cây</v>
          </cell>
          <cell r="C1060" t="str">
            <v>150.000</v>
          </cell>
        </row>
        <row r="1061">
          <cell r="A1061" t="str">
            <v>Cây thanh trà (chanh trà) đường kính tán 2 m &lt; ĐK tán ≤ 3 m</v>
          </cell>
          <cell r="B1061" t="str">
            <v>Đồng/cây</v>
          </cell>
          <cell r="C1061" t="str">
            <v>180.000</v>
          </cell>
        </row>
        <row r="1062">
          <cell r="A1062" t="str">
            <v>Cây thanh trà (chanh trà) đường kính tán 3 m &lt; ĐK tán ≤ 5 m</v>
          </cell>
          <cell r="B1062" t="str">
            <v>Đồng/cây</v>
          </cell>
          <cell r="C1062" t="str">
            <v>350.000</v>
          </cell>
        </row>
        <row r="1063">
          <cell r="A1063" t="str">
            <v>Cây thanh trà (chanh trà) ĐK tán &gt; 5 m</v>
          </cell>
          <cell r="B1063" t="str">
            <v>Đồng/cây</v>
          </cell>
          <cell r="C1063" t="str">
            <v>640.000</v>
          </cell>
        </row>
        <row r="1064">
          <cell r="A1064" t="str">
            <v>Cây nhót</v>
          </cell>
        </row>
        <row r="1065">
          <cell r="A1065" t="str">
            <v>Cây nhót Cây giống mới trồng</v>
          </cell>
          <cell r="B1065" t="str">
            <v>Đồng/cây</v>
          </cell>
          <cell r="C1065" t="str">
            <v>20.000</v>
          </cell>
        </row>
        <row r="1066">
          <cell r="A1066" t="str">
            <v>Cây nhót ĐK tán ≤1,5 m</v>
          </cell>
          <cell r="B1066" t="str">
            <v>Đồng/cây</v>
          </cell>
          <cell r="C1066" t="str">
            <v>75.000</v>
          </cell>
        </row>
        <row r="1067">
          <cell r="A1067" t="str">
            <v>Cây nhót đường kính tán 1,5 m &lt; ĐK tán ≤2 m</v>
          </cell>
          <cell r="B1067" t="str">
            <v>Đồng/cây</v>
          </cell>
          <cell r="C1067" t="str">
            <v>124.000</v>
          </cell>
        </row>
        <row r="1068">
          <cell r="A1068" t="str">
            <v>Cây nhót đường kính tán 2 m &lt; ĐK tán ≤3 m</v>
          </cell>
          <cell r="B1068" t="str">
            <v>Đồng/cây</v>
          </cell>
          <cell r="C1068" t="str">
            <v>187.000</v>
          </cell>
        </row>
        <row r="1069">
          <cell r="A1069" t="str">
            <v>Cây nhót đường kính tán 3 m &lt; ĐK tán ≤5 m</v>
          </cell>
          <cell r="B1069" t="str">
            <v>Đông/cây</v>
          </cell>
          <cell r="C1069" t="str">
            <v>398.000</v>
          </cell>
        </row>
        <row r="1070">
          <cell r="A1070" t="str">
            <v>Cây nhót ĐK tán &gt; 5 m</v>
          </cell>
          <cell r="B1070" t="str">
            <v>Đồng/cây</v>
          </cell>
          <cell r="C1070" t="str">
            <v>622.000</v>
          </cell>
        </row>
        <row r="1071">
          <cell r="A1071" t="str">
            <v>Cây Thanh long</v>
          </cell>
        </row>
        <row r="1072">
          <cell r="A1072" t="str">
            <v>Cây Thanh long ĐK tán ≤1 m</v>
          </cell>
          <cell r="B1072" t="str">
            <v>đồng/trụ</v>
          </cell>
          <cell r="C1072" t="str">
            <v>150.000</v>
          </cell>
        </row>
        <row r="1073">
          <cell r="A1073" t="str">
            <v>Cây Thanh long đường kính tán 1 m &lt; ĐK tán ≤2 m</v>
          </cell>
          <cell r="B1073" t="str">
            <v>đồng/trụ</v>
          </cell>
          <cell r="C1073" t="str">
            <v>250.000</v>
          </cell>
        </row>
        <row r="1074">
          <cell r="A1074" t="str">
            <v>Cây Thanh long đường kính tán 2 m &lt; ĐK tán ≤3 m</v>
          </cell>
          <cell r="B1074" t="str">
            <v>đồng/trụ</v>
          </cell>
          <cell r="C1074" t="str">
            <v>300.000</v>
          </cell>
        </row>
        <row r="1075">
          <cell r="A1075" t="str">
            <v>Cây Thanh long ĐK tán &gt; 3 m</v>
          </cell>
          <cell r="B1075" t="str">
            <v>đồng/trụ</v>
          </cell>
          <cell r="C1075" t="str">
            <v>350.000</v>
          </cell>
        </row>
        <row r="1076">
          <cell r="A1076" t="str">
            <v>Cây chè</v>
          </cell>
        </row>
        <row r="1077">
          <cell r="A1077" t="str">
            <v>Cây chè Cây giống đủ tiêu chuẩn mới trồng</v>
          </cell>
          <cell r="B1077" t="str">
            <v>Đông/cây</v>
          </cell>
          <cell r="C1077" t="str">
            <v>5.000</v>
          </cell>
        </row>
        <row r="1078">
          <cell r="A1078" t="str">
            <v>Cây chè ĐK tán ≤0,8 m</v>
          </cell>
          <cell r="B1078" t="str">
            <v>Đồng/cây</v>
          </cell>
          <cell r="C1078" t="str">
            <v>25.000</v>
          </cell>
        </row>
        <row r="1079">
          <cell r="A1079" t="str">
            <v>Cây chè đường kính tán 0,8 m &lt; ĐK tán ≤1 m</v>
          </cell>
          <cell r="B1079" t="str">
            <v>Đồng/cây</v>
          </cell>
          <cell r="C1079" t="str">
            <v>87.000</v>
          </cell>
        </row>
        <row r="1080">
          <cell r="A1080" t="str">
            <v>Cây chè đường kính tán 1 m &lt; ĐK tán ≤1,2 m</v>
          </cell>
          <cell r="B1080" t="str">
            <v>Đồng/cây</v>
          </cell>
          <cell r="C1080" t="str">
            <v>187.000</v>
          </cell>
        </row>
        <row r="1081">
          <cell r="A1081" t="str">
            <v>Cây chè ĐK tán &gt; 1,2 m</v>
          </cell>
          <cell r="B1081" t="str">
            <v>Đồng/cây</v>
          </cell>
          <cell r="C1081" t="str">
            <v>373.000</v>
          </cell>
        </row>
        <row r="1082">
          <cell r="A1082" t="str">
            <v>Cây mẫu đơn ta</v>
          </cell>
        </row>
        <row r="1083">
          <cell r="A1083" t="str">
            <v>Cây mẫu đơn ta Cây giống đủ tiêu chuẩn mới trồng, chiều cao cây H &lt; 40cm</v>
          </cell>
          <cell r="B1083" t="str">
            <v>Đồng/cây</v>
          </cell>
          <cell r="C1083" t="str">
            <v>62.000</v>
          </cell>
        </row>
        <row r="1084">
          <cell r="A1084" t="str">
            <v>Cây mẫu đơn ta Cây giống đủ tiêu chuẩn mới trồng, chiều cao cây 40cm ≤ H &lt; 100cm</v>
          </cell>
          <cell r="B1084" t="str">
            <v>Đồng/cây</v>
          </cell>
          <cell r="C1084" t="str">
            <v>116.000</v>
          </cell>
        </row>
        <row r="1085">
          <cell r="A1085" t="str">
            <v>Cây mẫu đơn ta Cây giống đủ tiêu chuẩn mới trồng, chiều cao cây H ≥ 100cm</v>
          </cell>
          <cell r="B1085" t="str">
            <v>Đồng/cây</v>
          </cell>
          <cell r="C1085" t="str">
            <v>225.000</v>
          </cell>
        </row>
        <row r="1086">
          <cell r="A1086" t="str">
            <v>Cây mẫu đơn ta có ĐK tán &lt; 1m, gốc có 5-7 nhánh</v>
          </cell>
          <cell r="B1086" t="str">
            <v>Đồng/cây</v>
          </cell>
          <cell r="C1086" t="str">
            <v>440.000</v>
          </cell>
        </row>
        <row r="1087">
          <cell r="A1087" t="str">
            <v>Cây mẫu đơn ta có ĐK tán từ 1,0m đến 1,2m gốc có 5- 7 nhánh</v>
          </cell>
          <cell r="B1087" t="str">
            <v>Đồng/cây</v>
          </cell>
          <cell r="C1087" t="str">
            <v>660.000</v>
          </cell>
        </row>
        <row r="1088">
          <cell r="A1088" t="str">
            <v>Cây mẫu đơn ta có ĐK tán l,0m đến l,2m, gốc có 8-10 nhánh</v>
          </cell>
          <cell r="B1088" t="str">
            <v>Đồng/cây</v>
          </cell>
          <cell r="C1088" t="str">
            <v>1.100.000</v>
          </cell>
        </row>
        <row r="1089">
          <cell r="A1089" t="str">
            <v>Cây mẫu đơn ta có ĐK tán l,3m đến 1,5 m, gốc có 8- 10 nhánh</v>
          </cell>
          <cell r="B1089" t="str">
            <v>Đồng/cây</v>
          </cell>
          <cell r="C1089" t="str">
            <v>2.180.000</v>
          </cell>
        </row>
        <row r="1090">
          <cell r="A1090" t="str">
            <v>Cây mẫu đơn ta có ĐK tán l,6m đến 2m, gốc có trên 10 nhánh</v>
          </cell>
          <cell r="B1090" t="str">
            <v>Đồng/cây</v>
          </cell>
          <cell r="C1090" t="str">
            <v>3.280.000</v>
          </cell>
        </row>
        <row r="1091">
          <cell r="A1091" t="str">
            <v>Cây mẫu đơn ta có ĐK tán 2,0m đến 2,2 m, gốc có trên 10 nhánh</v>
          </cell>
          <cell r="B1091" t="str">
            <v>Đồng/cây</v>
          </cell>
          <cell r="C1091" t="str">
            <v>3.820.000</v>
          </cell>
        </row>
        <row r="1092">
          <cell r="A1092" t="str">
            <v>Cây mẫu đơn ta có ĐK tán &gt;2,2m đến 2,5m, gốc có trên 10 nhánh</v>
          </cell>
          <cell r="B1092" t="str">
            <v>Đồng/cây</v>
          </cell>
          <cell r="C1092" t="str">
            <v>4.940.000</v>
          </cell>
        </row>
        <row r="1093">
          <cell r="A1093" t="str">
            <v>Cây mẫu đơn ta có ĐK tán &gt;2,5 m, gôc có trên 10 nhánh</v>
          </cell>
          <cell r="B1093" t="str">
            <v>Đồng/cây</v>
          </cell>
          <cell r="C1093" t="str">
            <v>6.600.000</v>
          </cell>
        </row>
        <row r="1094">
          <cell r="A1094" t="str">
            <v>Cây thiên phúc (pháo hoa)</v>
          </cell>
        </row>
        <row r="1095">
          <cell r="A1095" t="str">
            <v>Cây thiên phúc (pháo hoa) Cây giống mới trồng</v>
          </cell>
          <cell r="B1095" t="str">
            <v>Đồng/cây</v>
          </cell>
          <cell r="C1095" t="str">
            <v>6.000</v>
          </cell>
        </row>
        <row r="1096">
          <cell r="A1096" t="str">
            <v>Cây thiên phúc (pháo hoa) đường kính tán 0,5 m &lt; ĐK tán ≤1 m</v>
          </cell>
          <cell r="B1096" t="str">
            <v>Đồng/cây</v>
          </cell>
          <cell r="C1096" t="str">
            <v>50.000</v>
          </cell>
        </row>
        <row r="1097">
          <cell r="A1097" t="str">
            <v>Cây thiên phúc (pháo hoa) đường kính tán 1 m &lt; ĐK tán ≤2,5 m</v>
          </cell>
          <cell r="B1097" t="str">
            <v>Đồng/cây</v>
          </cell>
          <cell r="C1097" t="str">
            <v>250.000</v>
          </cell>
        </row>
        <row r="1098">
          <cell r="A1098" t="str">
            <v>Cây thiên phúc (pháo hoa) ĐK tán &gt; 2,5 m</v>
          </cell>
          <cell r="B1098" t="str">
            <v>Đồng/cây</v>
          </cell>
          <cell r="C1098" t="str">
            <v>500.000</v>
          </cell>
        </row>
        <row r="1099">
          <cell r="A1099" t="str">
            <v>Cây mẫu đơn nhật</v>
          </cell>
        </row>
        <row r="1100">
          <cell r="A1100" t="str">
            <v>Cây mẫu đơn nhật Cây giống mới trồng</v>
          </cell>
          <cell r="B1100" t="str">
            <v>Đồng/cây</v>
          </cell>
          <cell r="C1100" t="str">
            <v>12.000</v>
          </cell>
        </row>
        <row r="1101">
          <cell r="A1101" t="str">
            <v>Cây mẫu đơn nhật đường kính tán 1 m &lt; ĐK tán ≤ 1,5 m</v>
          </cell>
          <cell r="B1101" t="str">
            <v>Đồng/cây</v>
          </cell>
          <cell r="C1101" t="str">
            <v>150.000</v>
          </cell>
        </row>
        <row r="1102">
          <cell r="A1102" t="str">
            <v>Cây mẫu đơn nhật đường kính tán 1,5 m &lt; ĐK tán ≤ 2m</v>
          </cell>
          <cell r="B1102" t="str">
            <v>Đồng/cây</v>
          </cell>
          <cell r="C1102" t="str">
            <v>300.000</v>
          </cell>
        </row>
        <row r="1103">
          <cell r="A1103" t="str">
            <v>Cây mẫu đơn nhật ĐK tán &gt; 2 m</v>
          </cell>
          <cell r="B1103" t="str">
            <v>Đồng/cây</v>
          </cell>
          <cell r="C1103" t="str">
            <v>450.000</v>
          </cell>
        </row>
        <row r="1104">
          <cell r="A1104" t="str">
            <v>Cây dâm bụt, cây ngũ sắc</v>
          </cell>
        </row>
        <row r="1105">
          <cell r="A1105" t="str">
            <v>Cây dâm bụt, cây ngũ sắc Cây giống mới trồng</v>
          </cell>
          <cell r="B1105" t="str">
            <v>Đồng/cây</v>
          </cell>
          <cell r="C1105" t="str">
            <v>7.000</v>
          </cell>
        </row>
        <row r="1106">
          <cell r="A1106" t="str">
            <v>Cây dâm bụt, cây ngũ sắc đường kính tán 0,5 m &lt; ĐK tán ≤ 1 m</v>
          </cell>
          <cell r="B1106" t="str">
            <v>Đồng/cây</v>
          </cell>
          <cell r="C1106" t="str">
            <v>40.000</v>
          </cell>
        </row>
        <row r="1107">
          <cell r="A1107" t="str">
            <v>Cây dâm bụt, cây ngũ sắc đường kính tán 1 m &lt; ĐK tán ≤ 1,5 m</v>
          </cell>
          <cell r="B1107" t="str">
            <v>Đông/cây</v>
          </cell>
          <cell r="C1107" t="str">
            <v>80.000</v>
          </cell>
        </row>
        <row r="1108">
          <cell r="A1108" t="str">
            <v>Cây dâm bụt, cây ngũ sắc đường kính tán 1,5 m &lt; ĐK tán ≤ 2 m</v>
          </cell>
          <cell r="B1108" t="str">
            <v>Đồng/cây</v>
          </cell>
          <cell r="C1108" t="str">
            <v>150.000</v>
          </cell>
        </row>
        <row r="1109">
          <cell r="A1109" t="str">
            <v>Cây dâm bụt, cây ngũ sắc đường kính tán 2 m &lt; ĐK tán ≤ 3 m</v>
          </cell>
          <cell r="B1109" t="str">
            <v>Đồng/cây</v>
          </cell>
          <cell r="C1109" t="str">
            <v>250.000</v>
          </cell>
        </row>
        <row r="1110">
          <cell r="A1110" t="str">
            <v>Cây dâm bụt, cây ngũ sắc ĐK tán &gt; 3 m</v>
          </cell>
          <cell r="B1110" t="str">
            <v>Đồng/cây</v>
          </cell>
          <cell r="C1110" t="str">
            <v>300.000</v>
          </cell>
        </row>
        <row r="1111">
          <cell r="A1111" t="str">
            <v>Cây hoa sứ</v>
          </cell>
          <cell r="B1111" t="str">
            <v>Đồng/cây</v>
          </cell>
          <cell r="C1111" t="str">
            <v>350.000</v>
          </cell>
        </row>
        <row r="1112">
          <cell r="A1112" t="str">
            <v>Cây hoa sứ Cây giống đủ tiêu chuẩn mới trồng, chưa ra hoa</v>
          </cell>
          <cell r="B1112" t="str">
            <v>Đồng/cây</v>
          </cell>
          <cell r="C1112" t="str">
            <v>50.000</v>
          </cell>
        </row>
        <row r="1113">
          <cell r="A1113" t="str">
            <v>Cây hoa sứ đường kính tán 0,5 m &lt; ĐK tán ≤1 m</v>
          </cell>
          <cell r="B1113" t="str">
            <v>Đồng/cây</v>
          </cell>
          <cell r="C1113" t="str">
            <v>80.000</v>
          </cell>
        </row>
        <row r="1114">
          <cell r="A1114" t="str">
            <v>Cây hoa sứ đường kính tán 1 m &lt; ĐK tán ≤2 m</v>
          </cell>
          <cell r="B1114" t="str">
            <v>Đồng/cây</v>
          </cell>
          <cell r="C1114" t="str">
            <v>180.000</v>
          </cell>
        </row>
        <row r="1115">
          <cell r="A1115" t="str">
            <v>Cây hoa sứ đường kính tán 2 m &lt; ĐK tán ≤3 m</v>
          </cell>
          <cell r="B1115" t="str">
            <v>Đồng/cây</v>
          </cell>
          <cell r="C1115" t="str">
            <v>250.000</v>
          </cell>
        </row>
        <row r="1116">
          <cell r="A1116" t="str">
            <v>Cây hoa sứ đường kính tán 3 m &lt; ĐK tán ≤4 m</v>
          </cell>
          <cell r="B1116" t="str">
            <v>Đồng/cây</v>
          </cell>
          <cell r="C1116" t="str">
            <v>350.000</v>
          </cell>
        </row>
        <row r="1117">
          <cell r="A1117" t="str">
            <v>Cây hoa sứ ĐK tán &gt; 4 m</v>
          </cell>
          <cell r="B1117" t="str">
            <v>Đồng/cây</v>
          </cell>
          <cell r="C1117" t="str">
            <v>500.000</v>
          </cell>
        </row>
        <row r="1118">
          <cell r="A1118" t="str">
            <v>Cây ngâu, cây tứ quý</v>
          </cell>
        </row>
        <row r="1119">
          <cell r="A1119" t="str">
            <v>Cây ngâu, cây tứ quý Cây giống đủ tiêu chuẩn mới trồng, chưa ra hoa</v>
          </cell>
          <cell r="B1119" t="str">
            <v>Đồng/cây</v>
          </cell>
          <cell r="C1119" t="str">
            <v>50.000</v>
          </cell>
        </row>
        <row r="1120">
          <cell r="A1120" t="str">
            <v>Cây ngâu, cây tứ quý đường kính tán 0,5 m &lt; ĐK tán ≤1 m</v>
          </cell>
          <cell r="B1120" t="str">
            <v>Đồng/cây</v>
          </cell>
          <cell r="C1120" t="str">
            <v>70.000</v>
          </cell>
        </row>
        <row r="1121">
          <cell r="A1121" t="str">
            <v>Cây ngâu, cây tứ quý đường kính tán 1 m &lt; ĐK tán ≤1,5 m</v>
          </cell>
          <cell r="B1121" t="str">
            <v>Đông/cây</v>
          </cell>
          <cell r="C1121" t="str">
            <v>170.000</v>
          </cell>
        </row>
        <row r="1122">
          <cell r="A1122" t="str">
            <v>Cây ngâu, cây tứ quý đường kính tán 1,5 m &lt; ĐK tán ≤2 m</v>
          </cell>
          <cell r="B1122" t="str">
            <v>Đồng/cây</v>
          </cell>
          <cell r="C1122" t="str">
            <v>220.000</v>
          </cell>
        </row>
        <row r="1123">
          <cell r="A1123" t="str">
            <v>Cây ngâu, cây tứ quý đường kính tán 2 m &lt; ĐK tán ≤3 m</v>
          </cell>
          <cell r="B1123" t="str">
            <v>Đồng/cây</v>
          </cell>
          <cell r="C1123" t="str">
            <v>320.000</v>
          </cell>
        </row>
        <row r="1124">
          <cell r="A1124" t="str">
            <v>Cây ngâu, cây tứ quý đường kính tán 3 m &lt; ĐK tán ≤4,5 m</v>
          </cell>
          <cell r="B1124" t="str">
            <v>Đồng/cây</v>
          </cell>
          <cell r="C1124" t="str">
            <v>420.000</v>
          </cell>
        </row>
        <row r="1125">
          <cell r="A1125" t="str">
            <v>Cây ngâu, cây tứ quý đường kính tán 4,5 m &lt; ĐK tán ≤6 m</v>
          </cell>
          <cell r="B1125" t="str">
            <v>Đồng/cây</v>
          </cell>
          <cell r="C1125" t="str">
            <v>550.000</v>
          </cell>
        </row>
        <row r="1126">
          <cell r="A1126" t="str">
            <v>Cây ngâu, cây tứ quý đường kính tán 6 m &lt; ĐK tán ≤8 m</v>
          </cell>
          <cell r="B1126" t="str">
            <v>Đồng/cây</v>
          </cell>
          <cell r="C1126" t="str">
            <v>700.000</v>
          </cell>
        </row>
        <row r="1127">
          <cell r="A1127" t="str">
            <v>Cây ngâu, cây tứ quý ĐK tán &gt; 8 m</v>
          </cell>
          <cell r="B1127" t="str">
            <v>Đồng/cây</v>
          </cell>
          <cell r="C1127" t="str">
            <v>1.000.000</v>
          </cell>
        </row>
        <row r="1128">
          <cell r="A1128" t="str">
            <v>Cây hoa nhài</v>
          </cell>
        </row>
        <row r="1129">
          <cell r="A1129" t="str">
            <v>Cây hoa nhài giống mới trồng</v>
          </cell>
          <cell r="B1129" t="str">
            <v>Đồng/cây</v>
          </cell>
          <cell r="C1129" t="str">
            <v>8.000</v>
          </cell>
        </row>
        <row r="1130">
          <cell r="A1130" t="str">
            <v>Cây hoa nhài đường kính tán 0,5 m &lt; ĐK tán ≤1,5 m</v>
          </cell>
          <cell r="B1130" t="str">
            <v>Đồng/cây</v>
          </cell>
          <cell r="C1130" t="str">
            <v>45.000</v>
          </cell>
        </row>
        <row r="1131">
          <cell r="A1131" t="str">
            <v>Cây hoa nhài ĐK tán &gt;1,5 m</v>
          </cell>
          <cell r="B1131" t="str">
            <v>Đồng/cây</v>
          </cell>
          <cell r="C1131" t="str">
            <v>100.000</v>
          </cell>
        </row>
        <row r="1132">
          <cell r="A1132" t="str">
            <v>Cây hương thảo, tuyết sơn phi hồng</v>
          </cell>
        </row>
        <row r="1133">
          <cell r="A1133" t="str">
            <v>Cây hương thảo, tuyết sơn phi hồng giống</v>
          </cell>
          <cell r="B1133" t="str">
            <v>Đồng/cây</v>
          </cell>
          <cell r="C1133" t="str">
            <v>30.000</v>
          </cell>
        </row>
        <row r="1134">
          <cell r="A1134" t="str">
            <v>Cây hương thảo, tuyết sơn phi hồng đường kính tán 0,2 m &lt; ĐK tán ≤0,5 m</v>
          </cell>
          <cell r="B1134" t="str">
            <v>Đồng/cây</v>
          </cell>
          <cell r="C1134" t="str">
            <v>70.000</v>
          </cell>
        </row>
        <row r="1135">
          <cell r="A1135" t="str">
            <v>Cây hương thảo, tuyết sơn phi hồng đường kính tán 0,5 m &lt; ĐK tán ≤1 m</v>
          </cell>
          <cell r="B1135" t="str">
            <v>Đồng/cây</v>
          </cell>
          <cell r="C1135" t="str">
            <v>185.000</v>
          </cell>
        </row>
        <row r="1136">
          <cell r="A1136" t="str">
            <v>Cây hương thảo, tuyết sơn phi hồng ĐK tán &gt;1 m</v>
          </cell>
          <cell r="B1136" t="str">
            <v>Đông/cây</v>
          </cell>
          <cell r="C1136" t="str">
            <v>320.000</v>
          </cell>
        </row>
        <row r="1137">
          <cell r="A1137" t="str">
            <v>Cây nhàu</v>
          </cell>
        </row>
        <row r="1138">
          <cell r="A1138" t="str">
            <v>Cây nhàu giống mới trồng</v>
          </cell>
          <cell r="B1138" t="str">
            <v>Đồng/cây</v>
          </cell>
          <cell r="C1138" t="str">
            <v>30.000</v>
          </cell>
        </row>
        <row r="1139">
          <cell r="A1139" t="str">
            <v>Cây nhàu đường kính tán 0,5 m &lt; ĐK tán ≤1 m</v>
          </cell>
          <cell r="B1139" t="str">
            <v>Đông/cây</v>
          </cell>
          <cell r="C1139" t="str">
            <v>120.000</v>
          </cell>
        </row>
        <row r="1140">
          <cell r="A1140" t="str">
            <v>Cây nhàu đường kính tán 1 m &lt; ĐK tán ≤2 m</v>
          </cell>
          <cell r="B1140" t="str">
            <v>Đồng/cây</v>
          </cell>
          <cell r="C1140" t="str">
            <v>250.000</v>
          </cell>
        </row>
        <row r="1141">
          <cell r="A1141" t="str">
            <v>Cây nhàu ĐK tán &gt; 2 m</v>
          </cell>
          <cell r="B1141" t="str">
            <v>Đồng/cây</v>
          </cell>
          <cell r="C1141" t="str">
            <v>440.000</v>
          </cell>
        </row>
        <row r="1142">
          <cell r="A1142" t="str">
            <v>Cây hoa hòe</v>
          </cell>
        </row>
        <row r="1143">
          <cell r="A1143" t="str">
            <v>Cây hoa hòe giống đủ tiêu chuẩn mới trồng</v>
          </cell>
          <cell r="B1143" t="str">
            <v>Đồng/cây</v>
          </cell>
          <cell r="C1143" t="str">
            <v>25.000</v>
          </cell>
        </row>
        <row r="1144">
          <cell r="A1144" t="str">
            <v>Cây hoa hòe đường kính tán 0,1m ≤ ĐK tán &lt; 0,5m</v>
          </cell>
          <cell r="B1144" t="str">
            <v>Đồng/cây</v>
          </cell>
          <cell r="C1144" t="str">
            <v>85.000</v>
          </cell>
        </row>
        <row r="1145">
          <cell r="A1145" t="str">
            <v>Cây hoa hòe đường kính tán 0,5m ≤ ĐK tán &lt; 1m</v>
          </cell>
          <cell r="B1145" t="str">
            <v>Đồng/cây</v>
          </cell>
          <cell r="C1145" t="str">
            <v>170.000</v>
          </cell>
        </row>
        <row r="1146">
          <cell r="A1146" t="str">
            <v>Cây hoa hòe đường kính tán 1 m ≤ ĐK tán &lt; 1,5m</v>
          </cell>
          <cell r="B1146" t="str">
            <v>Đồng/cây</v>
          </cell>
          <cell r="C1146" t="str">
            <v>385.000</v>
          </cell>
        </row>
        <row r="1147">
          <cell r="A1147" t="str">
            <v>Cây hoa hòe đường kính tán 1,5m ≤ ĐK tán &lt; 2m</v>
          </cell>
          <cell r="B1147" t="str">
            <v>Đồng/cây</v>
          </cell>
          <cell r="C1147" t="str">
            <v>660.000</v>
          </cell>
        </row>
        <row r="1148">
          <cell r="A1148" t="str">
            <v>Cây hoa hòe đường kính tán 2m ≤ ĐK tán &lt; 3m</v>
          </cell>
          <cell r="B1148" t="str">
            <v>Đồng/cây</v>
          </cell>
          <cell r="C1148" t="str">
            <v>1.080.000</v>
          </cell>
        </row>
        <row r="1149">
          <cell r="A1149" t="str">
            <v>Cây hoa hòe đường kính tán 3m ≤ ĐK tán &lt; 4m</v>
          </cell>
          <cell r="B1149" t="str">
            <v>Đồng/cây</v>
          </cell>
          <cell r="C1149" t="str">
            <v>1.800.000</v>
          </cell>
        </row>
        <row r="1150">
          <cell r="A1150" t="str">
            <v>Cây hoa hòe đường kính tán 4m ≤ ĐK tán &lt; 5m</v>
          </cell>
          <cell r="B1150" t="str">
            <v>Đồng/cây</v>
          </cell>
          <cell r="C1150" t="str">
            <v>2.400.000</v>
          </cell>
        </row>
        <row r="1151">
          <cell r="A1151" t="str">
            <v>Cây hoa hòe đường kính tán 5m ≤ ĐK tán &lt; 6m</v>
          </cell>
          <cell r="B1151" t="str">
            <v>Đồng/cây</v>
          </cell>
          <cell r="C1151" t="str">
            <v>3.000.000</v>
          </cell>
        </row>
        <row r="1152">
          <cell r="A1152" t="str">
            <v>Cây hoa hòe đường kính tán 6m ≤ ĐK tán &lt; 7m</v>
          </cell>
          <cell r="B1152" t="str">
            <v>Đồng/cây</v>
          </cell>
          <cell r="C1152" t="str">
            <v>3.600.000</v>
          </cell>
        </row>
        <row r="1153">
          <cell r="A1153" t="str">
            <v>Cây hoa hòe đường kính tán 7m ≤ ĐK tán &lt; 8m</v>
          </cell>
          <cell r="B1153" t="str">
            <v>Đồng/cây</v>
          </cell>
          <cell r="C1153" t="str">
            <v>4.200.000</v>
          </cell>
        </row>
        <row r="1154">
          <cell r="A1154" t="str">
            <v>Cây hoa hòe đường kính tán 8m ≤ ĐK tán &lt; 9m</v>
          </cell>
          <cell r="B1154" t="str">
            <v>Đồng/cây</v>
          </cell>
          <cell r="C1154" t="str">
            <v>4.800.000</v>
          </cell>
        </row>
        <row r="1155">
          <cell r="A1155" t="str">
            <v>Cây hoa hòe đường kính tán 9m ≤ ĐK tán &lt; 12m</v>
          </cell>
          <cell r="B1155" t="str">
            <v>Đồng/cây</v>
          </cell>
          <cell r="C1155" t="str">
            <v>5.400.000</v>
          </cell>
        </row>
        <row r="1156">
          <cell r="A1156" t="str">
            <v>Cây hoa hòe ĐK tán ≥ 12m</v>
          </cell>
          <cell r="B1156" t="str">
            <v>Đồng/cây</v>
          </cell>
          <cell r="C1156" t="str">
            <v>6.000.000</v>
          </cell>
        </row>
        <row r="1157">
          <cell r="A1157" t="str">
            <v>Xạ đen</v>
          </cell>
        </row>
        <row r="1158">
          <cell r="A1158" t="str">
            <v>Xạ đen giống đủ tiêu chuẩn mới trồng</v>
          </cell>
          <cell r="B1158" t="str">
            <v>Đồng/cây</v>
          </cell>
          <cell r="C1158" t="str">
            <v>35.000</v>
          </cell>
        </row>
        <row r="1159">
          <cell r="A1159" t="str">
            <v>Xạ đen đường kính tán 0,1 ≤ ĐK tán &lt; 0,5m</v>
          </cell>
          <cell r="B1159" t="str">
            <v>Đồng/cây</v>
          </cell>
          <cell r="C1159" t="str">
            <v>120.000</v>
          </cell>
        </row>
        <row r="1160">
          <cell r="A1160" t="str">
            <v>Xạ đen đường kính tán 0,5m ≤ ĐK tán &lt; 1m</v>
          </cell>
          <cell r="B1160" t="str">
            <v>Đồngzcây</v>
          </cell>
          <cell r="C1160" t="str">
            <v>180.000</v>
          </cell>
        </row>
        <row r="1161">
          <cell r="A1161" t="str">
            <v>Xạ đen đường kính tán 1m ≤ ĐK tán &lt; 1,5m</v>
          </cell>
          <cell r="B1161" t="str">
            <v>Đồng/cây</v>
          </cell>
          <cell r="C1161" t="str">
            <v>240.000</v>
          </cell>
        </row>
        <row r="1162">
          <cell r="A1162" t="str">
            <v>Xạ đen đường kính tán 1,5m ≤ ĐK tán &lt; 2m</v>
          </cell>
          <cell r="B1162" t="str">
            <v>Đongzcây</v>
          </cell>
          <cell r="C1162" t="str">
            <v>360.000</v>
          </cell>
        </row>
        <row r="1163">
          <cell r="A1163" t="str">
            <v>Xạ đen đường kính tán 2m ≤ ĐK tán &lt; 3m</v>
          </cell>
          <cell r="B1163" t="str">
            <v>Đồng/cây</v>
          </cell>
          <cell r="C1163" t="str">
            <v>600.000</v>
          </cell>
        </row>
        <row r="1164">
          <cell r="A1164" t="str">
            <v>Xạ đen đường kính tán 3m ≤ ĐK tán &lt; 4m</v>
          </cell>
          <cell r="B1164" t="str">
            <v>Đồng/cây</v>
          </cell>
          <cell r="C1164" t="str">
            <v>720.000</v>
          </cell>
        </row>
        <row r="1165">
          <cell r="A1165" t="str">
            <v>Xạ đen ĐK tán ≥ 4m</v>
          </cell>
          <cell r="B1165" t="str">
            <v>Đồng/cây</v>
          </cell>
          <cell r="C1165" t="str">
            <v>960.000</v>
          </cell>
        </row>
        <row r="1166">
          <cell r="A1166" t="str">
            <v>NHÓM CÂY TÍNH THEO MÉT VUÔNG GIÀN</v>
          </cell>
        </row>
        <row r="1167">
          <cell r="A1167" t="str">
            <v>Cây thiênlý</v>
          </cell>
          <cell r="B1167" t="str">
            <v>đồng/m2</v>
          </cell>
          <cell r="C1167" t="str">
            <v>60.000</v>
          </cell>
        </row>
        <row r="1168">
          <cell r="A1168" t="str">
            <v>Cây gấc</v>
          </cell>
        </row>
        <row r="1169">
          <cell r="A1169" t="str">
            <v>Cây gấc (Tính theo m2 giàn)</v>
          </cell>
          <cell r="B1169" t="str">
            <v>đồng/m2</v>
          </cell>
          <cell r="C1169" t="str">
            <v>20.000</v>
          </cell>
        </row>
        <row r="1170">
          <cell r="A1170" t="str">
            <v>Tính theo khóm gốc</v>
          </cell>
        </row>
        <row r="1171">
          <cell r="A1171" t="str">
            <v>Cây gấc (Tính theo khóm gốc) Chiều dài dây leo L &lt; 3m</v>
          </cell>
          <cell r="B1171" t="str">
            <v>Đồng/khóm gốc</v>
          </cell>
          <cell r="C1171" t="str">
            <v>50.000</v>
          </cell>
        </row>
        <row r="1172">
          <cell r="A1172" t="str">
            <v>Cây gấc (Tính theo khóm gốc) Chiều dài dây leo 3m ≤ L &lt; 10m</v>
          </cell>
          <cell r="B1172" t="str">
            <v>Đồng/khóm gốc</v>
          </cell>
          <cell r="C1172" t="str">
            <v>78.000</v>
          </cell>
        </row>
        <row r="1173">
          <cell r="A1173" t="str">
            <v>Cây gấc (Tính theo khóm gốc) Chiều dài dây leo L &gt; 10m</v>
          </cell>
          <cell r="B1173" t="str">
            <v>Đông/khóm gốc</v>
          </cell>
          <cell r="C1173" t="str">
            <v>120.000</v>
          </cell>
        </row>
        <row r="1174">
          <cell r="A1174" t="str">
            <v>Cây nho</v>
          </cell>
          <cell r="B1174" t="str">
            <v>đồng/m2</v>
          </cell>
          <cell r="C1174" t="str">
            <v>10.000</v>
          </cell>
        </row>
        <row r="1175">
          <cell r="A1175" t="str">
            <v>NHÓM CÂY KHÁC</v>
          </cell>
        </row>
        <row r="1176">
          <cell r="A1176" t="str">
            <v>Tre lấy măng</v>
          </cell>
        </row>
        <row r="1177">
          <cell r="A1177" t="str">
            <v>Tre lấy măng Loại 1 thân</v>
          </cell>
          <cell r="B1177" t="str">
            <v>Đồng/khóm</v>
          </cell>
          <cell r="C1177" t="str">
            <v>35.000</v>
          </cell>
        </row>
        <row r="1178">
          <cell r="A1178" t="str">
            <v>Tre lấy măng Loại 2-3 thân</v>
          </cell>
          <cell r="B1178" t="str">
            <v>Đồng/khóm</v>
          </cell>
          <cell r="C1178" t="str">
            <v>87.000</v>
          </cell>
        </row>
        <row r="1179">
          <cell r="A1179" t="str">
            <v>Tre lấy măng Loại 4-5 thân</v>
          </cell>
          <cell r="B1179" t="str">
            <v>Đồng/khóm</v>
          </cell>
          <cell r="C1179" t="str">
            <v>137.000</v>
          </cell>
        </row>
        <row r="1180">
          <cell r="A1180" t="str">
            <v>Măng tây</v>
          </cell>
          <cell r="B1180" t="str">
            <v>đồng/m2</v>
          </cell>
          <cell r="C1180" t="str">
            <v>40.000</v>
          </cell>
        </row>
        <row r="1181">
          <cell r="A1181" t="str">
            <v>Cà gai leo</v>
          </cell>
          <cell r="B1181" t="str">
            <v>Đồng/cây</v>
          </cell>
          <cell r="C1181" t="str">
            <v>18.000</v>
          </cell>
        </row>
        <row r="1182">
          <cell r="A1182" t="str">
            <v>Cây ngũ gia bì, kim ngân</v>
          </cell>
        </row>
        <row r="1183">
          <cell r="A1183" t="str">
            <v>Cây ngũ gia bì, kim ngân giống</v>
          </cell>
          <cell r="B1183" t="str">
            <v>Đồng/cây</v>
          </cell>
          <cell r="C1183" t="str">
            <v>9.000</v>
          </cell>
        </row>
        <row r="1184">
          <cell r="A1184" t="str">
            <v>Cây ngũ gia bì, kim ngân đang phát triển</v>
          </cell>
          <cell r="B1184" t="str">
            <v>Đồng/cây</v>
          </cell>
          <cell r="C1184" t="str">
            <v>45.000</v>
          </cell>
        </row>
        <row r="1185">
          <cell r="A1185" t="str">
            <v>Cây trúc mây, trúc nhật</v>
          </cell>
        </row>
        <row r="1186">
          <cell r="A1186" t="str">
            <v>Cây trúc mây, trúc nhật giống</v>
          </cell>
          <cell r="B1186" t="str">
            <v>Đồng/khóm</v>
          </cell>
          <cell r="C1186" t="str">
            <v>10.000</v>
          </cell>
        </row>
        <row r="1187">
          <cell r="A1187" t="str">
            <v>Cây trúc mây, trúc nhật Khóm từ 1-2 cây</v>
          </cell>
          <cell r="B1187" t="str">
            <v>Đồng/khóm</v>
          </cell>
          <cell r="C1187" t="str">
            <v>18.000</v>
          </cell>
        </row>
        <row r="1188">
          <cell r="A1188" t="str">
            <v>Cây trúc mây, trúc nhật Khóm từ 3-5 cây</v>
          </cell>
          <cell r="B1188" t="str">
            <v>Đồng/khóm</v>
          </cell>
          <cell r="C1188" t="str">
            <v>32.000</v>
          </cell>
        </row>
        <row r="1189">
          <cell r="A1189" t="str">
            <v>Cây trúc mây, trúc nhật Khóm trên 5 cây</v>
          </cell>
          <cell r="B1189" t="str">
            <v>Đồng/khóm</v>
          </cell>
          <cell r="C1189" t="str">
            <v>75.000</v>
          </cell>
        </row>
        <row r="1190">
          <cell r="A1190" t="str">
            <v>Cây trúc phật bà</v>
          </cell>
        </row>
        <row r="1191">
          <cell r="A1191" t="str">
            <v>Cây trúc phật bà Khóm từ 1-2 cây</v>
          </cell>
          <cell r="B1191" t="str">
            <v>Đồng/khóm</v>
          </cell>
          <cell r="C1191" t="str">
            <v>25.000</v>
          </cell>
        </row>
        <row r="1192">
          <cell r="A1192" t="str">
            <v>Cây trúc phật bà Khóm từ 3-5 cây</v>
          </cell>
          <cell r="B1192" t="str">
            <v>Đồng/khóm</v>
          </cell>
          <cell r="C1192" t="str">
            <v>50.000</v>
          </cell>
        </row>
        <row r="1193">
          <cell r="A1193" t="str">
            <v>Cây trúc phật bà Khóm trên 5 cây</v>
          </cell>
          <cell r="B1193" t="str">
            <v>Đồng/khóm</v>
          </cell>
          <cell r="C1193" t="str">
            <v>100.000</v>
          </cell>
        </row>
        <row r="1194">
          <cell r="A1194" t="str">
            <v>Cây trúc quân tử</v>
          </cell>
        </row>
        <row r="1195">
          <cell r="A1195" t="str">
            <v>Cây trúc quân tử Khóm từ 1-2 cây</v>
          </cell>
          <cell r="B1195" t="str">
            <v>Đồng/khóm</v>
          </cell>
          <cell r="C1195" t="str">
            <v>15.000</v>
          </cell>
        </row>
        <row r="1196">
          <cell r="A1196" t="str">
            <v>Cây trúc quân tử Khóm từ 3-5 cây</v>
          </cell>
          <cell r="B1196" t="str">
            <v>Đồng/khóm</v>
          </cell>
          <cell r="C1196" t="str">
            <v>25.000</v>
          </cell>
        </row>
        <row r="1197">
          <cell r="A1197" t="str">
            <v>Cây trúc quân tử Khóm trên 5 cây</v>
          </cell>
          <cell r="B1197" t="str">
            <v>Đồng/khóm</v>
          </cell>
          <cell r="C1197" t="str">
            <v>45.000</v>
          </cell>
        </row>
        <row r="1198">
          <cell r="A1198" t="str">
            <v>Cây thủy trúc</v>
          </cell>
          <cell r="B1198" t="str">
            <v>Đồng/khóm</v>
          </cell>
          <cell r="C1198" t="str">
            <v>25.000</v>
          </cell>
        </row>
        <row r="1199">
          <cell r="A1199" t="str">
            <v>Cây cọ</v>
          </cell>
        </row>
        <row r="1200">
          <cell r="A1200" t="str">
            <v>Cây cọ giống mới trồng</v>
          </cell>
          <cell r="B1200" t="str">
            <v>Đồng/cây</v>
          </cell>
          <cell r="C1200" t="str">
            <v>10.000</v>
          </cell>
        </row>
        <row r="1201">
          <cell r="A1201" t="str">
            <v>Cây cọ Cây bóc bẹ từ 1-2 lá</v>
          </cell>
          <cell r="B1201" t="str">
            <v>Đồng/cây</v>
          </cell>
          <cell r="C1201" t="str">
            <v>50.000</v>
          </cell>
        </row>
        <row r="1202">
          <cell r="A1202" t="str">
            <v>Cây cọ Cây bóc bẹ từ 3-5 lá</v>
          </cell>
          <cell r="B1202" t="str">
            <v>Đồng/cây</v>
          </cell>
          <cell r="C1202" t="str">
            <v>120.000</v>
          </cell>
        </row>
        <row r="1203">
          <cell r="A1203" t="str">
            <v>Cây cọ Cây bóc bẹ trên 5 lá</v>
          </cell>
          <cell r="B1203" t="str">
            <v>Đồng/cây</v>
          </cell>
          <cell r="C1203" t="str">
            <v>220.000</v>
          </cell>
        </row>
        <row r="1204">
          <cell r="A1204" t="str">
            <v>Cây cau Ha Oai</v>
          </cell>
        </row>
        <row r="1205">
          <cell r="A1205" t="str">
            <v>Cây cau Ha Oai giống mới trồng</v>
          </cell>
          <cell r="B1205" t="str">
            <v>Đồng/khóm</v>
          </cell>
          <cell r="C1205" t="str">
            <v>20.000</v>
          </cell>
        </row>
        <row r="1206">
          <cell r="A1206" t="str">
            <v>Cây cau Ha Oai Khóm 1-2 cây</v>
          </cell>
          <cell r="B1206" t="str">
            <v>Đồng/khóm</v>
          </cell>
          <cell r="C1206" t="str">
            <v>55.000</v>
          </cell>
        </row>
        <row r="1207">
          <cell r="A1207" t="str">
            <v>Cây cau Ha Oai Khóm trên 3-5 cây</v>
          </cell>
          <cell r="B1207" t="str">
            <v>Đồng/khóm</v>
          </cell>
          <cell r="C1207" t="str">
            <v>140.000</v>
          </cell>
        </row>
        <row r="1208">
          <cell r="A1208" t="str">
            <v>Cây cau Ha Oai Khóm trên 5 cây</v>
          </cell>
          <cell r="B1208" t="str">
            <v>Đông/khóm</v>
          </cell>
          <cell r="C1208" t="str">
            <v>220.000</v>
          </cell>
        </row>
        <row r="1209">
          <cell r="A1209" t="str">
            <v>Cây mây, song</v>
          </cell>
        </row>
        <row r="1210">
          <cell r="A1210" t="str">
            <v>Cây mây, song giống mới trồng</v>
          </cell>
          <cell r="B1210" t="str">
            <v>Đồng/khóm</v>
          </cell>
          <cell r="C1210" t="str">
            <v>10.000</v>
          </cell>
        </row>
        <row r="1211">
          <cell r="A1211" t="str">
            <v>Cây mây, song Cây dưới 3 năm tuối (chưa cho thu hoạch)</v>
          </cell>
          <cell r="B1211" t="str">
            <v>Đồng/khóm</v>
          </cell>
          <cell r="C1211" t="str">
            <v>35.000</v>
          </cell>
        </row>
        <row r="1212">
          <cell r="A1212" t="str">
            <v>Cây mây, song Cây từ 3-7 năm tuổi (bắt đầu cho thu hoạch)</v>
          </cell>
          <cell r="B1212" t="str">
            <v>Đồng/khóm</v>
          </cell>
          <cell r="C1212" t="str">
            <v>60.000</v>
          </cell>
        </row>
        <row r="1213">
          <cell r="A1213" t="str">
            <v>Cây mây, song Cây từ 7 năm tuổi trở lên (chiều dài thân 3-4 m)</v>
          </cell>
          <cell r="B1213" t="str">
            <v>Đồng/khóm</v>
          </cell>
          <cell r="C1213" t="str">
            <v>90.000</v>
          </cell>
        </row>
        <row r="1214">
          <cell r="A1214" t="str">
            <v>Cây đỗ quyên</v>
          </cell>
        </row>
        <row r="1215">
          <cell r="A1215" t="str">
            <v>Cây đỗ quyên giống mới trồng</v>
          </cell>
          <cell r="B1215" t="str">
            <v>Đông/cây</v>
          </cell>
          <cell r="C1215">
            <v>15000</v>
          </cell>
        </row>
        <row r="1216">
          <cell r="A1216" t="str">
            <v>Cây đỗ quyên đã ra hoa</v>
          </cell>
          <cell r="B1216" t="str">
            <v>Đồng/cây</v>
          </cell>
          <cell r="C1216" t="str">
            <v>60.000</v>
          </cell>
        </row>
        <row r="1217">
          <cell r="A1217" t="str">
            <v>Cây trân châu</v>
          </cell>
          <cell r="B1217" t="str">
            <v>Đồng/cây</v>
          </cell>
          <cell r="C1217" t="str">
            <v>22.000</v>
          </cell>
        </row>
        <row r="1218">
          <cell r="A1218" t="str">
            <v>Cây dành dành</v>
          </cell>
          <cell r="B1218" t="str">
            <v>Đồng/cây</v>
          </cell>
          <cell r="C1218">
            <v>18000</v>
          </cell>
        </row>
        <row r="1219">
          <cell r="A1219" t="str">
            <v>Cây lan dừ</v>
          </cell>
          <cell r="B1219" t="str">
            <v>Đồng/khóm</v>
          </cell>
          <cell r="C1219" t="str">
            <v>12.000</v>
          </cell>
        </row>
        <row r="1220">
          <cell r="A1220" t="str">
            <v>Cây lan ý</v>
          </cell>
          <cell r="B1220" t="str">
            <v>Đồng/khóm</v>
          </cell>
          <cell r="C1220" t="str">
            <v>40.000</v>
          </cell>
        </row>
        <row r="1221">
          <cell r="A1221" t="str">
            <v>Cây cô tòng</v>
          </cell>
          <cell r="B1221" t="str">
            <v>Đồng/khóm</v>
          </cell>
          <cell r="C1221" t="str">
            <v>60.000</v>
          </cell>
        </row>
        <row r="1222">
          <cell r="A1222" t="str">
            <v>Cây cô tòng đuôi lươn</v>
          </cell>
          <cell r="B1222" t="str">
            <v>Đồng/khóm</v>
          </cell>
          <cell r="C1222" t="str">
            <v>50.000</v>
          </cell>
        </row>
        <row r="1223">
          <cell r="A1223" t="str">
            <v>Cây cẩm tú cầu, thủy tiên</v>
          </cell>
        </row>
        <row r="1224">
          <cell r="A1224" t="str">
            <v>Cây cẩm tú cầu, thủy tiên chưa có hoa</v>
          </cell>
          <cell r="B1224" t="str">
            <v>Đồng/khóm</v>
          </cell>
          <cell r="C1224" t="str">
            <v>20.000</v>
          </cell>
        </row>
        <row r="1225">
          <cell r="A1225" t="str">
            <v>Cây cẩm tú cầu, thủy tiên đang có hoa</v>
          </cell>
          <cell r="B1225" t="str">
            <v>Đồng/khóm</v>
          </cell>
          <cell r="C1225" t="str">
            <v>55.000</v>
          </cell>
        </row>
        <row r="1226">
          <cell r="A1226" t="str">
            <v>Cây vạn niên thanh</v>
          </cell>
        </row>
        <row r="1227">
          <cell r="A1227" t="str">
            <v>Cây vạn niên thanh Khóm 1-2 cây</v>
          </cell>
          <cell r="B1227" t="str">
            <v>Đồng/khóm</v>
          </cell>
          <cell r="C1227" t="str">
            <v>70.000</v>
          </cell>
        </row>
        <row r="1228">
          <cell r="A1228" t="str">
            <v>Cây vạn niên thanh Khóm 3-5 cây</v>
          </cell>
          <cell r="B1228" t="str">
            <v>Đồng/khóm</v>
          </cell>
          <cell r="C1228" t="str">
            <v>150.000</v>
          </cell>
        </row>
        <row r="1229">
          <cell r="A1229" t="str">
            <v>Cây trầu bà</v>
          </cell>
        </row>
        <row r="1230">
          <cell r="A1230" t="str">
            <v>Cây trầu bà Khóm 1-2 cây</v>
          </cell>
          <cell r="B1230" t="str">
            <v>Đồng/khóm</v>
          </cell>
          <cell r="C1230" t="str">
            <v>70.000</v>
          </cell>
        </row>
        <row r="1231">
          <cell r="A1231" t="str">
            <v>Cây trầu bà Khóm 3-5 cây</v>
          </cell>
          <cell r="B1231" t="str">
            <v>Đồng/khóm</v>
          </cell>
          <cell r="C1231" t="str">
            <v>150.000</v>
          </cell>
        </row>
        <row r="1232">
          <cell r="A1232" t="str">
            <v>Cây dứa cảnh, ké, lưỡi hổ</v>
          </cell>
          <cell r="B1232" t="str">
            <v>Đồng/khóm</v>
          </cell>
          <cell r="C1232" t="str">
            <v>14.000</v>
          </cell>
        </row>
        <row r="1233">
          <cell r="A1233" t="str">
            <v>Cây chu định lan/lan hạc đỉnh</v>
          </cell>
          <cell r="B1233" t="str">
            <v>Đồng/khóm</v>
          </cell>
          <cell r="C1233" t="str">
            <v>15.000</v>
          </cell>
        </row>
        <row r="1234">
          <cell r="A1234" t="str">
            <v>Cây hoa ti gôn, hoa pháo</v>
          </cell>
        </row>
        <row r="1235">
          <cell r="A1235" t="str">
            <v>Cây hoa ti gôn, hoa pháo chưa leo giàn</v>
          </cell>
          <cell r="B1235" t="str">
            <v>Đồng/cây</v>
          </cell>
          <cell r="C1235" t="str">
            <v>10.000</v>
          </cell>
        </row>
        <row r="1236">
          <cell r="A1236" t="str">
            <v>Cây hoa ti gôn, hoa pháo đã leo giàn</v>
          </cell>
          <cell r="B1236" t="str">
            <v>Đồng/m2</v>
          </cell>
          <cell r="C1236" t="str">
            <v>15.000</v>
          </cell>
        </row>
        <row r="1237">
          <cell r="A1237" t="str">
            <v>Cây hoa đá</v>
          </cell>
          <cell r="B1237" t="str">
            <v>Đồng/cây</v>
          </cell>
          <cell r="C1237" t="str">
            <v>8.000</v>
          </cell>
        </row>
        <row r="1238">
          <cell r="A1238" t="str">
            <v>Cây ắc ó</v>
          </cell>
          <cell r="B1238" t="str">
            <v>Đồng/cây</v>
          </cell>
          <cell r="C1238" t="str">
            <v>15.000</v>
          </cell>
        </row>
        <row r="1239">
          <cell r="A1239" t="str">
            <v>Cây bướm bạc</v>
          </cell>
          <cell r="B1239" t="str">
            <v>Đồng/cây</v>
          </cell>
          <cell r="C1239" t="str">
            <v>32.000</v>
          </cell>
        </row>
        <row r="1240">
          <cell r="A1240" t="str">
            <v>Cây huỳnh anh</v>
          </cell>
          <cell r="B1240" t="str">
            <v>Đồng/cây</v>
          </cell>
          <cell r="C1240" t="str">
            <v>30.000</v>
          </cell>
        </row>
        <row r="1241">
          <cell r="A1241" t="str">
            <v>Cây môn cuống đỏ</v>
          </cell>
          <cell r="B1241" t="str">
            <v>Đồng/cây</v>
          </cell>
          <cell r="C1241" t="str">
            <v>35.000</v>
          </cell>
        </row>
        <row r="1242">
          <cell r="A1242" t="str">
            <v>Cây lan huệ</v>
          </cell>
          <cell r="B1242" t="str">
            <v>Đồng/cây</v>
          </cell>
          <cell r="C1242" t="str">
            <v>30.000</v>
          </cell>
        </row>
        <row r="1243">
          <cell r="A1243" t="str">
            <v>Cây ngọc nữ, ngọc dạ minh châu</v>
          </cell>
          <cell r="B1243" t="str">
            <v>Đồng/cây</v>
          </cell>
          <cell r="C1243" t="str">
            <v>35.000</v>
          </cell>
        </row>
        <row r="1244">
          <cell r="A1244" t="str">
            <v>Cây cốt khí</v>
          </cell>
          <cell r="B1244" t="str">
            <v>Đồng/cây</v>
          </cell>
          <cell r="C1244" t="str">
            <v>30.000</v>
          </cell>
        </row>
        <row r="1245">
          <cell r="A1245" t="str">
            <v>Cây chuông vàng</v>
          </cell>
          <cell r="B1245" t="str">
            <v>Đồng/cây</v>
          </cell>
          <cell r="C1245" t="str">
            <v>32.000</v>
          </cell>
        </row>
        <row r="1246">
          <cell r="A1246" t="str">
            <v>Cây náng</v>
          </cell>
          <cell r="B1246" t="str">
            <v>Đồng/cây</v>
          </cell>
          <cell r="C1246" t="str">
            <v>10.000</v>
          </cell>
        </row>
        <row r="1247">
          <cell r="A1247" t="str">
            <v>Cây hoa mào gà, cầy bóng nước</v>
          </cell>
        </row>
        <row r="1248">
          <cell r="A1248" t="str">
            <v>Cây hoa mào gà, cầy bóng nước chưa có hoa</v>
          </cell>
          <cell r="B1248" t="str">
            <v>Đồng/cây</v>
          </cell>
          <cell r="C1248" t="str">
            <v>15.000</v>
          </cell>
        </row>
        <row r="1249">
          <cell r="A1249" t="str">
            <v>Cây hoa mào gà, cầy bóng nước đã có hoa</v>
          </cell>
          <cell r="B1249" t="str">
            <v>Đồng/cây</v>
          </cell>
          <cell r="C1249" t="str">
            <v>35.000</v>
          </cell>
        </row>
        <row r="1250">
          <cell r="A1250" t="str">
            <v>Cây dứa</v>
          </cell>
        </row>
        <row r="1251">
          <cell r="A1251" t="str">
            <v>Cây dứa Chưa ra quả</v>
          </cell>
          <cell r="B1251" t="str">
            <v>Đồng/cây</v>
          </cell>
          <cell r="C1251" t="str">
            <v>6.000</v>
          </cell>
        </row>
        <row r="1252">
          <cell r="A1252" t="str">
            <v>Cây dứa Đang ra quả</v>
          </cell>
          <cell r="B1252" t="str">
            <v>Đồng/cây</v>
          </cell>
          <cell r="C1252" t="str">
            <v>8.000</v>
          </cell>
        </row>
        <row r="1253">
          <cell r="A1253" t="str">
            <v>Cây hoa quỳnh</v>
          </cell>
        </row>
        <row r="1254">
          <cell r="A1254" t="str">
            <v>Cây hoa quỳnh chưa có hoa</v>
          </cell>
          <cell r="B1254" t="str">
            <v>Đồng/khóm</v>
          </cell>
          <cell r="C1254" t="str">
            <v>14.000</v>
          </cell>
        </row>
        <row r="1255">
          <cell r="A1255" t="str">
            <v>Cây hoa quỳnh có hoa</v>
          </cell>
          <cell r="B1255" t="str">
            <v>Đồng/khóm</v>
          </cell>
          <cell r="C1255" t="str">
            <v>50.000</v>
          </cell>
        </row>
        <row r="1256">
          <cell r="A1256" t="str">
            <v>Cây thuần tía (thài lài tía)</v>
          </cell>
        </row>
        <row r="1257">
          <cell r="A1257" t="str">
            <v>Cây thuần tía (thài lài tía) mới trồng</v>
          </cell>
          <cell r="B1257" t="str">
            <v>Đông/m2</v>
          </cell>
          <cell r="C1257" t="str">
            <v>15.000</v>
          </cell>
        </row>
        <row r="1258">
          <cell r="A1258" t="str">
            <v>Cây thuần tía (thài lài tía) trưởng thành</v>
          </cell>
          <cell r="B1258" t="str">
            <v>Đồng/m2</v>
          </cell>
          <cell r="C1258" t="str">
            <v>35.000</v>
          </cell>
        </row>
        <row r="1259">
          <cell r="A1259" t="str">
            <v>Cây bỏng, cây xác pháo</v>
          </cell>
        </row>
        <row r="1260">
          <cell r="A1260" t="str">
            <v>Cây bỏng, cây xác pháo Cây non</v>
          </cell>
          <cell r="B1260" t="str">
            <v>Đồng/cây</v>
          </cell>
          <cell r="C1260" t="str">
            <v>6.000</v>
          </cell>
        </row>
        <row r="1261">
          <cell r="A1261" t="str">
            <v>Cây bỏng, cây xác pháo đã ra hoa</v>
          </cell>
          <cell r="B1261" t="str">
            <v>Đồng/cây</v>
          </cell>
          <cell r="C1261" t="str">
            <v>14.000</v>
          </cell>
        </row>
        <row r="1262">
          <cell r="A1262" t="str">
            <v>Cây sống đời (cây phát lộc)</v>
          </cell>
        </row>
        <row r="1263">
          <cell r="A1263" t="str">
            <v>Cây sống đời (cây phát lộc) cây non</v>
          </cell>
          <cell r="B1263" t="str">
            <v>Đồng/cây</v>
          </cell>
          <cell r="C1263" t="str">
            <v>8.000</v>
          </cell>
        </row>
        <row r="1264">
          <cell r="A1264" t="str">
            <v>Cây sống đời (cây phát lộc) đã ra hoa</v>
          </cell>
          <cell r="B1264" t="str">
            <v>Đồng/cây</v>
          </cell>
          <cell r="C1264" t="str">
            <v>14.000</v>
          </cell>
        </row>
        <row r="1265">
          <cell r="A1265" t="str">
            <v>Cây sử quân tử</v>
          </cell>
          <cell r="C1265" t="str">
            <v>-k</v>
          </cell>
        </row>
        <row r="1266">
          <cell r="A1266" t="str">
            <v>Cây sử quân tử giống</v>
          </cell>
          <cell r="B1266" t="str">
            <v>Đồng/cây</v>
          </cell>
          <cell r="C1266" t="str">
            <v>15.000</v>
          </cell>
        </row>
        <row r="1267">
          <cell r="A1267" t="str">
            <v>Cây sử quân tử có hoa</v>
          </cell>
          <cell r="B1267" t="str">
            <v>Đồng/m2</v>
          </cell>
          <cell r="C1267" t="str">
            <v>25.000</v>
          </cell>
        </row>
        <row r="1268">
          <cell r="A1268" t="str">
            <v>Cây xương rồng</v>
          </cell>
        </row>
        <row r="1269">
          <cell r="A1269" t="str">
            <v>Cây xương rồng Chưa ra hoa</v>
          </cell>
          <cell r="B1269" t="str">
            <v>Đồng/khóm</v>
          </cell>
          <cell r="C1269" t="str">
            <v>20.000</v>
          </cell>
        </row>
        <row r="1270">
          <cell r="A1270" t="str">
            <v>Cây xương rồng đã ra hoa</v>
          </cell>
          <cell r="B1270" t="str">
            <v>Đồng/khóm</v>
          </cell>
          <cell r="C1270" t="str">
            <v>70.000</v>
          </cell>
        </row>
        <row r="1271">
          <cell r="A1271" t="str">
            <v>Cây thuốc: bạch chỉ, cau xi, địa liền, ngưu tất, sa nhân, bồ công anh, mã đề, diệp hạ châu (chó đẻ), cầy thuốc Băc, thuốc Nam các loại</v>
          </cell>
        </row>
        <row r="1272">
          <cell r="A1272" t="str">
            <v>Cây thuốc: bạch chỉ, cau xi, địa liền, ngưu tất, sa nhân, bồ công anh, mã đề, diệp hạ châu (chó đẻ), cầy thuốc Băc, thuốc Nam các loại chưa trưởng thành</v>
          </cell>
          <cell r="B1272" t="str">
            <v>Đồng/m2</v>
          </cell>
          <cell r="C1272" t="str">
            <v>30.000</v>
          </cell>
        </row>
        <row r="1273">
          <cell r="A1273" t="str">
            <v>Cây thuốc: bạch chỉ, cau xi, địa liền, ngưu tất, sa nhân, bồ công anh, mã đề, diệp hạ châu (chó đẻ), cầy thuốc Băc, thuốc Nam các loại trưởng thành</v>
          </cell>
          <cell r="B1273" t="str">
            <v>Đông/m2</v>
          </cell>
          <cell r="C1273" t="str">
            <v>40.000</v>
          </cell>
        </row>
        <row r="1274">
          <cell r="A1274" t="str">
            <v>Cây thiên môn, mạch môn</v>
          </cell>
          <cell r="B1274" t="str">
            <v>Đồng/khóm</v>
          </cell>
          <cell r="C1274" t="str">
            <v>50.000</v>
          </cell>
        </row>
        <row r="1275">
          <cell r="A1275" t="str">
            <v>Cây mơ lông</v>
          </cell>
        </row>
        <row r="1276">
          <cell r="A1276" t="str">
            <v>Cây mơ lông giống</v>
          </cell>
          <cell r="B1276" t="str">
            <v>Đông/cãy</v>
          </cell>
          <cell r="C1276" t="str">
            <v>6.000</v>
          </cell>
        </row>
        <row r="1277">
          <cell r="A1277" t="str">
            <v>Cây mơ lông trưởng thành</v>
          </cell>
          <cell r="B1277" t="str">
            <v>Đồng/m2</v>
          </cell>
          <cell r="C1277" t="str">
            <v>30.000</v>
          </cell>
        </row>
        <row r="1278">
          <cell r="A1278" t="str">
            <v>Cây trầu không</v>
          </cell>
        </row>
        <row r="1279">
          <cell r="A1279" t="str">
            <v>Cây trầu không giống</v>
          </cell>
          <cell r="B1279" t="str">
            <v>Đồng/cây</v>
          </cell>
          <cell r="C1279" t="str">
            <v>6.000</v>
          </cell>
        </row>
        <row r="1280">
          <cell r="A1280" t="str">
            <v>Cây trầu không trường thành</v>
          </cell>
          <cell r="B1280" t="str">
            <v>Đông/m2</v>
          </cell>
          <cell r="C1280" t="str">
            <v>30.000</v>
          </cell>
        </row>
        <row r="1281">
          <cell r="A1281" t="str">
            <v>Cây diếp cá, rau sam, rau ngổ, lá cẩm</v>
          </cell>
          <cell r="B1281" t="str">
            <v>Đồng/m2</v>
          </cell>
          <cell r="C1281" t="str">
            <v>10.000</v>
          </cell>
        </row>
        <row r="1282">
          <cell r="A1282" t="str">
            <v>Cỏ nhật</v>
          </cell>
          <cell r="B1282" t="str">
            <v>Đồng/m2</v>
          </cell>
          <cell r="C1282" t="str">
            <v>34.000</v>
          </cell>
        </row>
        <row r="1283">
          <cell r="A1283" t="str">
            <v>Cây thanh táo</v>
          </cell>
          <cell r="B1283" t="str">
            <v>Đồng/m2</v>
          </cell>
          <cell r="C1283" t="str">
            <v>30.000</v>
          </cell>
        </row>
        <row r="1284">
          <cell r="A1284" t="str">
            <v>Cây dừa cạn</v>
          </cell>
          <cell r="B1284" t="str">
            <v>Đồng/m2</v>
          </cell>
          <cell r="C1284" t="str">
            <v>22.000</v>
          </cell>
        </row>
        <row r="1285">
          <cell r="A1285" t="str">
            <v>Cây tầm bỏi</v>
          </cell>
        </row>
        <row r="1286">
          <cell r="A1286" t="str">
            <v>Cây tầm bỏi giống</v>
          </cell>
          <cell r="B1286" t="str">
            <v>Đồng/cây</v>
          </cell>
          <cell r="C1286" t="str">
            <v>5.000</v>
          </cell>
        </row>
        <row r="1287">
          <cell r="A1287" t="str">
            <v>Cây tầm bỏi trưởng thành</v>
          </cell>
          <cell r="B1287" t="str">
            <v>Đồng/m2</v>
          </cell>
          <cell r="C1287" t="str">
            <v>15.000</v>
          </cell>
        </row>
        <row r="1288">
          <cell r="A1288" t="str">
            <v>Cây ráng làm chổi</v>
          </cell>
          <cell r="B1288" t="str">
            <v>Đồng/m2</v>
          </cell>
          <cell r="C1288" t="str">
            <v>15.000</v>
          </cell>
        </row>
        <row r="1289">
          <cell r="A1289" t="str">
            <v>Cây nha đam</v>
          </cell>
        </row>
        <row r="1290">
          <cell r="A1290" t="str">
            <v>Cây nha đam giống</v>
          </cell>
          <cell r="B1290" t="str">
            <v>Đồng/cây</v>
          </cell>
          <cell r="C1290" t="str">
            <v>6.000</v>
          </cell>
        </row>
        <row r="1291">
          <cell r="A1291" t="str">
            <v>Cây nha đam trưởng thành</v>
          </cell>
          <cell r="B1291" t="str">
            <v>Đồng/cây</v>
          </cell>
          <cell r="C1291" t="str">
            <v>15.000</v>
          </cell>
        </row>
        <row r="1292">
          <cell r="A1292" t="str">
            <v>Cây kim tiền</v>
          </cell>
          <cell r="B1292" t="str">
            <v>Đồng/m2</v>
          </cell>
          <cell r="C1292" t="str">
            <v>95.000</v>
          </cell>
        </row>
        <row r="1293">
          <cell r="A1293" t="str">
            <v>Cây hoa thanh tú</v>
          </cell>
          <cell r="B1293" t="str">
            <v>Đồng/m2</v>
          </cell>
          <cell r="C1293" t="str">
            <v>25.000</v>
          </cell>
        </row>
        <row r="1294">
          <cell r="A1294" t="str">
            <v>Đối với cây ươm, gieo hoặc cây trồng hàng năm xen dưới tán lá cây lầu nãm (tính bình quân trên diện tích cây trồng chiếm chỗ)</v>
          </cell>
          <cell r="B1294" t="str">
            <v>Đồng/m2</v>
          </cell>
          <cell r="C1294" t="str">
            <v>10.000</v>
          </cell>
        </row>
        <row r="1295">
          <cell r="A1295" t="str">
            <v>Đối vói lâm sản phụ trồng trên diện tích nông nghiệp do Nhà nước giao cho hộ gia đình, cá nhân để trồng, khoanh, nuôi, bảo vệ, tái sinh rừng, mà khi giao là đất trống, đồi núi trọc... hộ gia đình, cá nhân tự bỏ vốn đầu tư trồng rừng (tính bình quân trên diện tích cây trồng chiếm chỗ)</v>
          </cell>
          <cell r="B1295" t="str">
            <v>Đồng/m2</v>
          </cell>
          <cell r="C1295" t="str">
            <v>10.000</v>
          </cell>
        </row>
        <row r="1296">
          <cell r="A1296" t="str">
            <v>GIÓNG CÂỲ CẢNH</v>
          </cell>
        </row>
        <row r="1297">
          <cell r="A1297" t="str">
            <v>Cây giống đào, hoa cảnh</v>
          </cell>
        </row>
        <row r="1298">
          <cell r="A1298" t="str">
            <v>Cây giống đào, hoa cảnh Gieo, ươm hạt thành luông chưa ghép</v>
          </cell>
          <cell r="B1298" t="str">
            <v>Đồng/cây</v>
          </cell>
          <cell r="C1298" t="str">
            <v>2.000</v>
          </cell>
        </row>
        <row r="1299">
          <cell r="A1299" t="str">
            <v>Cây giống đào, hoa cảnh Gieo, ươm hạt thành luống đã ghép</v>
          </cell>
          <cell r="B1299" t="str">
            <v>Đồng/cây</v>
          </cell>
          <cell r="C1299" t="str">
            <v>5.000</v>
          </cell>
        </row>
        <row r="1300">
          <cell r="A1300" t="str">
            <v>Cây giống đào hoa cảnh đã ghép đủ tiêu chuẩn</v>
          </cell>
          <cell r="B1300" t="str">
            <v>Đồng/cây</v>
          </cell>
          <cell r="C1300" t="str">
            <v>30.000</v>
          </cell>
        </row>
        <row r="1301">
          <cell r="A1301" t="str">
            <v>Cây giống trồng từ đào mạ, không ghép trồng thành luống</v>
          </cell>
          <cell r="C1301" t="str">
            <v>15.000</v>
          </cell>
        </row>
        <row r="1302">
          <cell r="A1302" t="str">
            <v>Cây giống lộc vừng, sanh, si</v>
          </cell>
        </row>
        <row r="1303">
          <cell r="A1303" t="str">
            <v>Cây giống lộc vừng, sanh, si gieo ươm từ hạt</v>
          </cell>
        </row>
        <row r="1304">
          <cell r="A1304" t="str">
            <v>Cây giống lộc vừng, sanh, si Giống ươm gieo hạt chiều cao cây H &lt;  20cm</v>
          </cell>
          <cell r="B1304" t="str">
            <v>Đồng/cây</v>
          </cell>
          <cell r="C1304" t="str">
            <v>700</v>
          </cell>
        </row>
        <row r="1305">
          <cell r="A1305" t="str">
            <v>Cây giống lộc vừng, sanh, si Giống ươm gieo hạt chiều cao cây H &gt; 20cm</v>
          </cell>
          <cell r="B1305" t="str">
            <v>Đồng/cây</v>
          </cell>
          <cell r="C1305" t="str">
            <v>800</v>
          </cell>
        </row>
        <row r="1306">
          <cell r="A1306" t="str">
            <v>Cây giống lộc vừng, sanh, si Từ cây ươm gieo hạt tách ra đựng trong bầu nilong hoặc trồng thành luống</v>
          </cell>
        </row>
        <row r="1307">
          <cell r="A1307" t="str">
            <v>Cây giống lộc vừng, sanh, si Chiều cao cây 20cm ≤ H &lt; 50cm</v>
          </cell>
          <cell r="B1307" t="str">
            <v>Đồng/cây</v>
          </cell>
          <cell r="C1307" t="str">
            <v>4.000</v>
          </cell>
        </row>
        <row r="1308">
          <cell r="A1308" t="str">
            <v>Cây giống lộc vừng, sanh, si Chiều cao cây 50cm ≤ H &lt; 70cm</v>
          </cell>
          <cell r="B1308" t="str">
            <v>Đồng/cây</v>
          </cell>
          <cell r="C1308" t="str">
            <v>5.000</v>
          </cell>
        </row>
        <row r="1309">
          <cell r="A1309" t="str">
            <v>Cây giống lộc vừng, sanh, si Chiều cao cây 70cm ≤ H &lt;100cm</v>
          </cell>
          <cell r="B1309" t="str">
            <v>Đồng/cây</v>
          </cell>
          <cell r="C1309" t="str">
            <v>6.000</v>
          </cell>
        </row>
        <row r="1310">
          <cell r="A1310" t="str">
            <v>Cây giống cau cảnh</v>
          </cell>
        </row>
        <row r="1311">
          <cell r="A1311" t="str">
            <v>Cây giống cau cảnh gieo ươm từ hạt</v>
          </cell>
          <cell r="B1311" t="str">
            <v>•</v>
          </cell>
        </row>
        <row r="1312">
          <cell r="A1312" t="str">
            <v>Cây giống cau cảnh Giống ươm gieo hạt thành luống, vạt chiều cao cây H &lt; 20cm</v>
          </cell>
          <cell r="B1312" t="str">
            <v>Đồng/cây</v>
          </cell>
          <cell r="C1312" t="str">
            <v>1.200</v>
          </cell>
        </row>
        <row r="1313">
          <cell r="A1313" t="str">
            <v>Cây giống cau cảnh Giống ươm gieo hạt thành luống, vạt chiều cao cây H ≥ 20cm</v>
          </cell>
          <cell r="B1313" t="str">
            <v>Đồng/cây</v>
          </cell>
          <cell r="C1313" t="str">
            <v>1.400</v>
          </cell>
        </row>
        <row r="1314">
          <cell r="A1314" t="str">
            <v>Cây giống cau cảnh Từ cây ươm gieo hạt tách ra đựng trong bầu nilong hoặc trồng thành luống Chiều cao cây H &lt; 20cm</v>
          </cell>
          <cell r="B1314" t="str">
            <v>Đồng/cây</v>
          </cell>
          <cell r="C1314" t="str">
            <v>4.000</v>
          </cell>
        </row>
        <row r="1315">
          <cell r="A1315" t="str">
            <v>Cây giống cau cảnh Chiều cao cây 20cm ≤ H &lt; 50cm</v>
          </cell>
          <cell r="B1315" t="str">
            <v>Đồng/cây</v>
          </cell>
          <cell r="C1315" t="str">
            <v>5.000</v>
          </cell>
        </row>
        <row r="1316">
          <cell r="A1316" t="str">
            <v>Cây giống cau cảnh Chiều cao cây H ≥ 50cm</v>
          </cell>
          <cell r="B1316" t="str">
            <v>Đồng/cây</v>
          </cell>
          <cell r="C1316" t="str">
            <v>6.000</v>
          </cell>
        </row>
        <row r="1317">
          <cell r="A1317" t="str">
            <v>Đào tán (đào hoa cảnh có đặc điếm tán lá hình tròn, hình tháp, thân chính không uốn tạo thế phát triển tự nhiên, chỉ cắt tỉa cành nhỏ; trồng trên đất đã được chuyển mục đích theo quy định, bao gồm: Đào cây, các loại cây khác trồng xen canh, bể chứa nước, bể chứa phân.. .tính trên diện tích 1 sào =360m2).</v>
          </cell>
        </row>
        <row r="1318">
          <cell r="A1318" t="str">
            <v>Đào tán loại 1 (số cây có đường kính tán từ 0,8m đến Im, cao từ Im đến l,5m chiếm trên 50% diện tích; quy đổi 1 cây/l,8m2)</v>
          </cell>
          <cell r="B1318" t="str">
            <v>Đồng/sào</v>
          </cell>
          <cell r="C1318" t="str">
            <v>20.000.000</v>
          </cell>
        </row>
        <row r="1319">
          <cell r="A1319" t="str">
            <v>Đào tán loại 2 (số cây có đường kính tán từ 0,8m đến Im, cao từ lm đến l,5m chiếm từ 40% đến 50% diện tích; quy đổi 1 cây/l,8m2)</v>
          </cell>
          <cell r="B1319" t="str">
            <v>Đồng/sào</v>
          </cell>
          <cell r="C1319" t="str">
            <v>15.000.000</v>
          </cell>
        </row>
        <row r="1320">
          <cell r="A1320" t="str">
            <v>Đào tán loại 3 (số cây có đường kính tán từ 0,8m đến Im, cao từ Im đến l,5m chiếm từ 30% đến 40% diện tích; quy đổi 1 cây/l,8m2)</v>
          </cell>
          <cell r="B1320" t="str">
            <v>Đồng/sào</v>
          </cell>
          <cell r="C1320" t="str">
            <v>12.000.000</v>
          </cell>
        </row>
        <row r="1321">
          <cell r="A1321" t="str">
            <v>Đào tán loại 4 (số cây có đường kính tán từ 0,8m đến Im, cao từ Im đến l,5m chiếm dưới 30% diện tích; quy đổi 1 cây/l,2m2)</v>
          </cell>
          <cell r="B1321" t="str">
            <v>Đồng/sào</v>
          </cell>
          <cell r="C1321" t="str">
            <v>10.000.000</v>
          </cell>
        </row>
        <row r="1322">
          <cell r="A1322" t="str">
            <v>Đào thế (đào trồng trên đát đã được chuyển mục đích theo quy định, bao gồm: Đào cây, các loại cây khác trồng xen canh, bể chứa nước, bể chứa phân.. .tính trên diện tích 1 sào =360m2)</v>
          </cell>
        </row>
        <row r="1323">
          <cell r="A1323" t="str">
            <v>Đào thế loại 1 (số cây có chiều cao từ Im đến l,5m chiếm trên 50% diện tích; quy đổi 1 cây/l,8m2)</v>
          </cell>
          <cell r="B1323" t="str">
            <v>Đồng/sào</v>
          </cell>
          <cell r="C1323" t="str">
            <v>30.000.000</v>
          </cell>
        </row>
        <row r="1324">
          <cell r="A1324" t="str">
            <v>Đào thế loại 2 (số cây có chiều cao từ 1 m đến l,5m chiếm từ 40% đến 50% diện tích; quy đổi 1 cây/l,8m2)</v>
          </cell>
          <cell r="B1324" t="str">
            <v>Đồng/sào</v>
          </cell>
          <cell r="C1324" t="str">
            <v>25.000.000</v>
          </cell>
        </row>
        <row r="1325">
          <cell r="A1325" t="str">
            <v>Đào thế loại 3 (số cây có chiều cao từ Im đến l,5m chiếm dưới 40% diện tích; quy đổi 1 cây/l,2m2)</v>
          </cell>
          <cell r="B1325" t="str">
            <v>Đồng/sào</v>
          </cell>
          <cell r="C1325" t="str">
            <v>20.000.000</v>
          </cell>
        </row>
        <row r="1326">
          <cell r="A1326" t="str">
            <v>Cỏ cảnh lá tre (trồng dày đặc)</v>
          </cell>
          <cell r="B1326" t="str">
            <v>Đồng/m2</v>
          </cell>
          <cell r="C1326" t="str">
            <v>40.000</v>
          </cell>
        </row>
        <row r="1327">
          <cell r="A1327" t="str">
            <v>Hương nhu, lá ngải, lá nếp, lưỡi hổ, láng tía, ngũ gia bì</v>
          </cell>
          <cell r="B1327" t="str">
            <v>Đồng/m2</v>
          </cell>
          <cell r="C1327" t="str">
            <v>10.000</v>
          </cell>
        </row>
        <row r="1328">
          <cell r="A1328" t="str">
            <v>Hương bài</v>
          </cell>
          <cell r="B1328" t="str">
            <v>Đồng/m2</v>
          </cell>
          <cell r="C1328" t="str">
            <v>8.000</v>
          </cell>
        </row>
        <row r="1329">
          <cell r="A1329" t="str">
            <v>GIÓNG CÂY ĂN QUẢ</v>
          </cell>
        </row>
        <row r="1330">
          <cell r="A1330" t="str">
            <v>Thanh long</v>
          </cell>
        </row>
        <row r="1331">
          <cell r="A1331" t="str">
            <v>Thanh long giống Cành mới ươm chưa ra rễ</v>
          </cell>
          <cell r="B1331" t="str">
            <v>Đồng/cành</v>
          </cell>
          <cell r="C1331" t="str">
            <v>1.000</v>
          </cell>
        </row>
        <row r="1332">
          <cell r="A1332" t="str">
            <v>Thanh long Cây ươm đã ra rễ và mầm, thời gian trồng &lt;01 tháng</v>
          </cell>
          <cell r="B1332" t="str">
            <v>Đồng/khóm</v>
          </cell>
          <cell r="C1332" t="str">
            <v>5.000</v>
          </cell>
        </row>
        <row r="1333">
          <cell r="A1333" t="str">
            <v>Thanh long Cây ươm đã ra rê và mâm, từ 01 tháng đên &lt; 02 tháng</v>
          </cell>
          <cell r="B1333" t="str">
            <v>Đồng/khóm</v>
          </cell>
          <cell r="C1333" t="str">
            <v>10.000</v>
          </cell>
        </row>
        <row r="1334">
          <cell r="A1334" t="str">
            <v>Thanh long Cây ươm đã ra rễ và mầm, thời gian trồng ≥ 02 tháng</v>
          </cell>
          <cell r="B1334" t="str">
            <v>Đồng/khóm</v>
          </cell>
          <cell r="C1334" t="str">
            <v>20.000</v>
          </cell>
        </row>
        <row r="1335">
          <cell r="A1335" t="str">
            <v>Cây giống cây ăn quả</v>
          </cell>
        </row>
        <row r="1336">
          <cell r="A1336" t="str">
            <v>Loại ươm gieo hạt (thành luống, dảnh)</v>
          </cell>
        </row>
        <row r="1337">
          <cell r="A1337" t="str">
            <v>Cây giống cây ăn quả, Loại ươm gieo hạt (thành luống, dảnh) Chiều cao cây H &lt; 20cm</v>
          </cell>
          <cell r="B1337" t="str">
            <v>Đồng/cây</v>
          </cell>
          <cell r="C1337" t="str">
            <v>1.000</v>
          </cell>
        </row>
        <row r="1338">
          <cell r="A1338" t="str">
            <v>Cây giống cây ăn quả, Loại ươm gieo hạt (thành luống, dảnh Chiều cao cây H ≥ 20cm</v>
          </cell>
          <cell r="B1338" t="str">
            <v>Đồng/cây</v>
          </cell>
          <cell r="C1338" t="str">
            <v>1.200</v>
          </cell>
        </row>
        <row r="1339">
          <cell r="A1339" t="str">
            <v>Cây giống vải, nhãn, doi, bưởi, thị, na, xoài, muỗm, quéo, trứng gà, sấu, táo, ổi, chay, me, khế, mận, mơ (từ cây ươm gieo hạt, đựng trong bầu nilon hoặc trồng thành luống chưa ghép)</v>
          </cell>
        </row>
        <row r="1340">
          <cell r="A1340" t="str">
            <v>Cây giống vải, nhãn, doi, bưởi, thị, na, xoài, muỗm, quéo, trứng gà, sấu, táo, ổi, chay, me, khế, mận, mơ (từ cây ươm gieo hạt, đựng trong bầu nilon hoặc trồng thành luống chưa ghép) Chiều cao cây H &lt; 40cm</v>
          </cell>
          <cell r="B1340" t="str">
            <v>Đồng/cây</v>
          </cell>
          <cell r="C1340" t="str">
            <v>4.000</v>
          </cell>
        </row>
        <row r="1341">
          <cell r="A1341" t="str">
            <v>Cây giống vải, nhãn, doi, bưởi, thị, na, xoài, muỗm, quéo, trứng gà, sấu, táo, ổi, chay, me, khế, mận, mơ (từ cây ươm gieo hạt, đựng trong bầu nilon hoặc trồng thành luống chưa ghép) Chiều cao cây 40cm ≤ H &lt; 100cn</v>
          </cell>
          <cell r="B1341" t="str">
            <v>Đồng/cây</v>
          </cell>
          <cell r="C1341" t="str">
            <v>6.000</v>
          </cell>
        </row>
        <row r="1342">
          <cell r="A1342" t="str">
            <v>Cây giống vải, nhãn, doi, bưởi, thị, na, xoài, muỗm, quéo, trứng gà, sấu, táo, ổi, chay, me, khế, mận, mơ (từ cây ươm gieo hạt, đựng trong bầu nilon hoặc trồng thành luống chưa ghép) Chiều cao cây H  ≥ 100cm</v>
          </cell>
          <cell r="B1342" t="str">
            <v>Đồng/cây</v>
          </cell>
          <cell r="C1342" t="str">
            <v>8.000</v>
          </cell>
        </row>
        <row r="1343">
          <cell r="A1343" t="str">
            <v>Cây giống vải, nhãn, cam, bưởi, táo, ổi, khế (gieo hạt ươm thành luống đã ghép)</v>
          </cell>
        </row>
        <row r="1344">
          <cell r="A1344" t="str">
            <v>Cây giống vải, nhãn, cam, bưởi, táo, ổi, khế (gieo hạt ươm thành luống đã ghép) Chiều cao cây H &lt; 40cm</v>
          </cell>
          <cell r="B1344" t="str">
            <v>Đồng/cây</v>
          </cell>
          <cell r="C1344" t="str">
            <v>5.000</v>
          </cell>
        </row>
        <row r="1345">
          <cell r="A1345" t="str">
            <v>Cây giống vải, nhãn, cam, bưởi, táo, ổi, khế (gieo hạt ươm thành luống đã ghép) Chiều cao cây 40cm ≤ H &lt; 100cm</v>
          </cell>
          <cell r="B1345" t="str">
            <v>Đồng/cây</v>
          </cell>
          <cell r="C1345" t="str">
            <v>7.000</v>
          </cell>
        </row>
        <row r="1346">
          <cell r="A1346" t="str">
            <v>Cây giống vải, nhãn, cam, bưởi, táo, ổi, khế (gieo hạt ươm thành luống đã ghép) Chiều cao cây H ≥ 100cm</v>
          </cell>
          <cell r="B1346" t="str">
            <v>Đồng/cây</v>
          </cell>
          <cell r="C1346" t="str">
            <v>10.000</v>
          </cell>
        </row>
        <row r="1347">
          <cell r="A1347" t="str">
            <v>Cây giống vải, nhãn, cam, bưởi, doi, hông xiêm ... đang chiết cành (đã có rễ) chưa đem trồng</v>
          </cell>
          <cell r="C1347" t="str">
            <v>10.000</v>
          </cell>
        </row>
        <row r="1348">
          <cell r="A1348" t="str">
            <v>Giống Vải, Nhãn đã chiết cành, đã đem dâm ra vườn</v>
          </cell>
        </row>
        <row r="1349">
          <cell r="A1349" t="str">
            <v>Giống Vải, Nhãn đã chiết cành, đã đem dâm ra vườn Chiều cao cây H &lt; 40cm</v>
          </cell>
          <cell r="B1349" t="str">
            <v>Đông/cây</v>
          </cell>
          <cell r="C1349" t="str">
            <v>10.000</v>
          </cell>
        </row>
        <row r="1350">
          <cell r="A1350" t="str">
            <v>Giống Vải, Nhãn đã chiết cành, đã đem dâm ra vườn Chiều cao cây 40cm ≤ H &lt; 1,0m</v>
          </cell>
          <cell r="B1350" t="str">
            <v>Đồng/cây</v>
          </cell>
          <cell r="C1350" t="str">
            <v>15.000</v>
          </cell>
        </row>
        <row r="1351">
          <cell r="A1351" t="str">
            <v>Giống Vải, Nhãn đã chiết cành, đã đem dâm ra vườn Chiều cao cây H ≥ l,0m</v>
          </cell>
          <cell r="B1351" t="str">
            <v>Đồng/cây</v>
          </cell>
          <cell r="C1351" t="str">
            <v>20.000</v>
          </cell>
        </row>
        <row r="1352">
          <cell r="A1352" t="str">
            <v>Cây giống cam, bưởi, doi, hồng xiêm đã chiết cành dâm ra vườn</v>
          </cell>
          <cell r="C1352" t="str">
            <v>20.000</v>
          </cell>
        </row>
        <row r="1353">
          <cell r="A1353" t="str">
            <v>Cây giống cây lấy gỗ, cây lấy lá...ươm gieo hạt thành luống, vạt</v>
          </cell>
        </row>
        <row r="1354">
          <cell r="A1354" t="str">
            <v>Cây giống cây lấy gỗ, cây lấy lá...ươm gieo hạt thành luống, vạt Chiều cao cây H &lt; 20cm</v>
          </cell>
          <cell r="B1354" t="str">
            <v>Đông/cây</v>
          </cell>
          <cell r="C1354" t="str">
            <v>600</v>
          </cell>
        </row>
        <row r="1355">
          <cell r="A1355" t="str">
            <v>Cây giống cây lấy gỗ, cây lấy lá...ươm gieo hạt thành luống, vạt Chiều cao cây H &gt; 20cm</v>
          </cell>
          <cell r="B1355" t="str">
            <v>Đồng/cây</v>
          </cell>
          <cell r="C1355" t="str">
            <v>1.000</v>
          </cell>
        </row>
        <row r="1356">
          <cell r="A1356" t="str">
            <v>Cây cảnh trồng trong chậu (tính chi phí di chuyển cả cây và chậu)</v>
          </cell>
        </row>
        <row r="1357">
          <cell r="A1357" t="str">
            <v>Di chuyển chậu có đường kính &lt; 0,5m</v>
          </cell>
          <cell r="B1357" t="str">
            <v>đồng/chậu</v>
          </cell>
          <cell r="C1357" t="str">
            <v>20.000</v>
          </cell>
        </row>
        <row r="1358">
          <cell r="A1358" t="str">
            <v>Di chuyển chậu có đường kính 0,5m ≤ ĐK &lt; 0,7m</v>
          </cell>
          <cell r="B1358" t="str">
            <v>đồng/chậu</v>
          </cell>
          <cell r="C1358" t="str">
            <v>30.000</v>
          </cell>
        </row>
        <row r="1359">
          <cell r="A1359" t="str">
            <v>Di chuyển chậu có đường kính 0,7m ≤ ĐK &lt; 1m</v>
          </cell>
          <cell r="B1359" t="str">
            <v>đồng/chậu</v>
          </cell>
          <cell r="C1359" t="str">
            <v>100.000</v>
          </cell>
        </row>
        <row r="1360">
          <cell r="A1360" t="str">
            <v>Di chuyển chậu có đường kính 1m ≤ ĐK &lt; 1,5m</v>
          </cell>
          <cell r="B1360" t="str">
            <v>đồng/chậu</v>
          </cell>
          <cell r="C1360" t="str">
            <v>200.000</v>
          </cell>
        </row>
        <row r="1361">
          <cell r="A1361" t="str">
            <v>Di chuyển chậu có đường kính ≥ 1,5m</v>
          </cell>
          <cell r="B1361" t="str">
            <v>đông/chậu</v>
          </cell>
          <cell r="C1361" t="str">
            <v>300.000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foxz"/>
      <sheetName val="foxz_2"/>
      <sheetName val="Đơn giá cây cối"/>
      <sheetName val="THPA"/>
      <sheetName val="1. Tuấn"/>
      <sheetName val="2.  Diễm Mười"/>
      <sheetName val="3. Truân"/>
      <sheetName val="4.  Đào"/>
      <sheetName val="5. Sơn Phượng"/>
      <sheetName val="6 Hạnh"/>
      <sheetName val="7 Thắm"/>
      <sheetName val="8 Mong"/>
      <sheetName val="53. Tươi"/>
      <sheetName val="55. Tùng"/>
      <sheetName val="56. Nghĩa Trâm"/>
      <sheetName val="58. Nhì"/>
      <sheetName val="59.60. Vượng"/>
      <sheetName val="61. Thắng"/>
      <sheetName val="62. Lâm"/>
      <sheetName val="63. Đức Nhung"/>
      <sheetName val="66. Thuê"/>
      <sheetName val="67. Luyên"/>
      <sheetName val="68. Kiếm"/>
      <sheetName val="70. Việt"/>
      <sheetName val="71. Tài"/>
      <sheetName val="72. Chức"/>
      <sheetName val="73. Hận"/>
      <sheetName val="74. Kiên"/>
      <sheetName val="75. Đức Nhung"/>
      <sheetName val="76. Ngọc"/>
      <sheetName val="77. Xuân"/>
      <sheetName val="78. Hiển"/>
      <sheetName val="87. Thạch"/>
      <sheetName val="88. Hà"/>
      <sheetName val="89. Luật"/>
      <sheetName val="90. Thách"/>
      <sheetName val="97. Thắm"/>
      <sheetName val="99. Chính"/>
      <sheetName val="XXXXXXXX"/>
    </sheetNames>
    <sheetDataSet>
      <sheetData sheetId="0"/>
      <sheetData sheetId="1"/>
      <sheetData sheetId="2"/>
      <sheetData sheetId="3">
        <row r="1">
          <cell r="F1" t="str">
            <v>KQ</v>
          </cell>
        </row>
        <row r="2">
          <cell r="A2" t="str">
            <v>Nhóm cây lương thực</v>
          </cell>
          <cell r="F2">
            <v>0</v>
          </cell>
        </row>
        <row r="3">
          <cell r="A3" t="str">
            <v>Lúa</v>
          </cell>
          <cell r="F3">
            <v>0</v>
          </cell>
        </row>
        <row r="4">
          <cell r="A4" t="str">
            <v>Ngô (bắp)</v>
          </cell>
          <cell r="F4">
            <v>0</v>
          </cell>
        </row>
        <row r="5">
          <cell r="A5" t="str">
            <v>Khoai lang</v>
          </cell>
          <cell r="F5">
            <v>0</v>
          </cell>
        </row>
        <row r="6">
          <cell r="A6" t="str">
            <v>Sắn (mỳ)</v>
          </cell>
          <cell r="F6">
            <v>0</v>
          </cell>
        </row>
        <row r="7">
          <cell r="A7" t="str">
            <v>Nhóm cây rau, màu</v>
          </cell>
          <cell r="F7">
            <v>0</v>
          </cell>
        </row>
        <row r="8">
          <cell r="A8" t="str">
            <v>Khoai sọ</v>
          </cell>
          <cell r="F8">
            <v>0</v>
          </cell>
        </row>
        <row r="9">
          <cell r="A9" t="str">
            <v>Khoai mỡ, củ canh</v>
          </cell>
          <cell r="F9">
            <v>0</v>
          </cell>
        </row>
        <row r="10">
          <cell r="A10" t="str">
            <v>Khoai môn</v>
          </cell>
          <cell r="F10">
            <v>0</v>
          </cell>
        </row>
        <row r="11">
          <cell r="A11" t="str">
            <v>Khoai tây</v>
          </cell>
          <cell r="F11">
            <v>0</v>
          </cell>
        </row>
        <row r="12">
          <cell r="A12" t="str">
            <v>Dong riềng</v>
          </cell>
          <cell r="F12">
            <v>0</v>
          </cell>
        </row>
        <row r="13">
          <cell r="A13" t="str">
            <v>Sắn dây</v>
          </cell>
          <cell r="F13">
            <v>0</v>
          </cell>
        </row>
        <row r="14">
          <cell r="A14" t="str">
            <v>Củ từ</v>
          </cell>
          <cell r="F14">
            <v>0</v>
          </cell>
        </row>
        <row r="15">
          <cell r="A15" t="str">
            <v>Mía</v>
          </cell>
          <cell r="F15">
            <v>0</v>
          </cell>
        </row>
        <row r="16">
          <cell r="A16" t="str">
            <v>Thuốc lào</v>
          </cell>
          <cell r="F16">
            <v>0</v>
          </cell>
        </row>
        <row r="17">
          <cell r="A17" t="str">
            <v>Cói</v>
          </cell>
          <cell r="F17">
            <v>0</v>
          </cell>
        </row>
        <row r="18">
          <cell r="A18" t="str">
            <v xml:space="preserve"> Đậu tương (đậu nành) lấy hạt</v>
          </cell>
          <cell r="F18">
            <v>0</v>
          </cell>
        </row>
        <row r="19">
          <cell r="A19" t="str">
            <v>Lạc (đậu phộng)</v>
          </cell>
          <cell r="F19">
            <v>0</v>
          </cell>
        </row>
        <row r="20">
          <cell r="A20" t="str">
            <v>Vừng (mè)</v>
          </cell>
          <cell r="F20">
            <v>0</v>
          </cell>
        </row>
        <row r="21">
          <cell r="A21" t="str">
            <v>Rau muống</v>
          </cell>
          <cell r="F21">
            <v>0</v>
          </cell>
        </row>
        <row r="22">
          <cell r="A22" t="str">
            <v>Cải canh</v>
          </cell>
          <cell r="F22">
            <v>0</v>
          </cell>
        </row>
        <row r="23">
          <cell r="A23" t="str">
            <v>Cải chíp</v>
          </cell>
          <cell r="F23">
            <v>0</v>
          </cell>
        </row>
        <row r="24">
          <cell r="A24" t="str">
            <v>Cải ngồng</v>
          </cell>
          <cell r="F24">
            <v>0</v>
          </cell>
        </row>
        <row r="25">
          <cell r="A25" t="str">
            <v>Cải bẹ</v>
          </cell>
          <cell r="F25">
            <v>0</v>
          </cell>
        </row>
        <row r="26">
          <cell r="A26" t="str">
            <v>Cải làn</v>
          </cell>
          <cell r="F26">
            <v>0</v>
          </cell>
        </row>
        <row r="27">
          <cell r="A27" t="str">
            <v>Cải bó xôi</v>
          </cell>
          <cell r="F27">
            <v>0</v>
          </cell>
        </row>
        <row r="28">
          <cell r="A28" t="str">
            <v>Cải ngọt</v>
          </cell>
          <cell r="F28">
            <v>0</v>
          </cell>
        </row>
        <row r="29">
          <cell r="A29" t="str">
            <v>Cải xoong</v>
          </cell>
          <cell r="F29">
            <v>0</v>
          </cell>
        </row>
        <row r="30">
          <cell r="A30" t="str">
            <v>Cải thảo</v>
          </cell>
          <cell r="F30">
            <v>0</v>
          </cell>
        </row>
        <row r="31">
          <cell r="A31" t="str">
            <v>Cải cúc</v>
          </cell>
          <cell r="F31">
            <v>0</v>
          </cell>
        </row>
        <row r="32">
          <cell r="A32" t="str">
            <v>Cải kale</v>
          </cell>
          <cell r="F32">
            <v>0</v>
          </cell>
        </row>
        <row r="33">
          <cell r="A33" t="str">
            <v>Cải bắp</v>
          </cell>
          <cell r="F33">
            <v>0</v>
          </cell>
        </row>
        <row r="34">
          <cell r="A34" t="str">
            <v>Rau mùng tơi</v>
          </cell>
          <cell r="F34">
            <v>0</v>
          </cell>
        </row>
        <row r="35">
          <cell r="A35" t="str">
            <v>Rau đay</v>
          </cell>
          <cell r="F35">
            <v>0</v>
          </cell>
        </row>
        <row r="36">
          <cell r="A36" t="str">
            <v>Rau ngót</v>
          </cell>
          <cell r="F36">
            <v>0</v>
          </cell>
        </row>
        <row r="37">
          <cell r="A37" t="str">
            <v>Rau má</v>
          </cell>
          <cell r="F37">
            <v>0</v>
          </cell>
        </row>
        <row r="38">
          <cell r="A38" t="str">
            <v>Rau diếp/xà lách</v>
          </cell>
          <cell r="F38">
            <v>0</v>
          </cell>
        </row>
        <row r="39">
          <cell r="A39" t="str">
            <v>Rau dền</v>
          </cell>
          <cell r="F39">
            <v>0</v>
          </cell>
        </row>
        <row r="40">
          <cell r="A40" t="str">
            <v>Súp lơ</v>
          </cell>
          <cell r="F40">
            <v>0</v>
          </cell>
        </row>
        <row r="41">
          <cell r="A41" t="str">
            <v>Su su (lấy ngọn)</v>
          </cell>
          <cell r="F41">
            <v>0</v>
          </cell>
        </row>
        <row r="42">
          <cell r="A42" t="str">
            <v>Ngô rau</v>
          </cell>
          <cell r="F42">
            <v>0</v>
          </cell>
        </row>
        <row r="43">
          <cell r="A43" t="str">
            <v>Dưa hấu</v>
          </cell>
          <cell r="F43">
            <v>0</v>
          </cell>
        </row>
        <row r="44">
          <cell r="A44" t="str">
            <v>Dưa lê</v>
          </cell>
          <cell r="F44">
            <v>0</v>
          </cell>
        </row>
        <row r="45">
          <cell r="A45" t="str">
            <v>Dưa vàng</v>
          </cell>
          <cell r="F45">
            <v>0</v>
          </cell>
        </row>
        <row r="46">
          <cell r="A46" t="str">
            <v>Dưa lưới</v>
          </cell>
          <cell r="F46">
            <v>0</v>
          </cell>
        </row>
        <row r="47">
          <cell r="A47" t="str">
            <v>Dưa bở</v>
          </cell>
          <cell r="F47">
            <v>0</v>
          </cell>
        </row>
        <row r="48">
          <cell r="A48" t="str">
            <v>Dưa gang</v>
          </cell>
          <cell r="F48">
            <v>0</v>
          </cell>
        </row>
        <row r="49">
          <cell r="A49" t="str">
            <v>Dưa chuột/ dưa leo</v>
          </cell>
          <cell r="F49">
            <v>0</v>
          </cell>
        </row>
        <row r="50">
          <cell r="A50" t="str">
            <v>Đậu tương rau</v>
          </cell>
          <cell r="F50">
            <v>0</v>
          </cell>
        </row>
        <row r="51">
          <cell r="A51" t="str">
            <v>Đậu/ đỗ đũa</v>
          </cell>
          <cell r="F51">
            <v>0</v>
          </cell>
        </row>
        <row r="52">
          <cell r="A52" t="str">
            <v>Đậu/ đỗ cove</v>
          </cell>
          <cell r="F52">
            <v>0</v>
          </cell>
        </row>
        <row r="53">
          <cell r="A53" t="str">
            <v>Đậu/ đỗ Hà Lan</v>
          </cell>
          <cell r="F53">
            <v>0</v>
          </cell>
        </row>
        <row r="54">
          <cell r="A54" t="str">
            <v>Đậu/ đỗ rồng</v>
          </cell>
          <cell r="F54">
            <v>0</v>
          </cell>
        </row>
        <row r="55">
          <cell r="A55" t="str">
            <v xml:space="preserve"> Đậu/ đỗ ván</v>
          </cell>
          <cell r="F55">
            <v>0</v>
          </cell>
        </row>
        <row r="56">
          <cell r="A56" t="str">
            <v>Đậu bắp</v>
          </cell>
          <cell r="F56">
            <v>0</v>
          </cell>
        </row>
        <row r="57">
          <cell r="A57" t="str">
            <v>Cà chua</v>
          </cell>
          <cell r="F57">
            <v>0</v>
          </cell>
        </row>
        <row r="58">
          <cell r="A58" t="str">
            <v>Cà tím</v>
          </cell>
          <cell r="F58">
            <v>0</v>
          </cell>
        </row>
        <row r="59">
          <cell r="A59" t="str">
            <v>Cà bát</v>
          </cell>
          <cell r="F59">
            <v>0</v>
          </cell>
        </row>
        <row r="60">
          <cell r="A60" t="str">
            <v>Cà pháo</v>
          </cell>
          <cell r="F60">
            <v>0</v>
          </cell>
        </row>
        <row r="61">
          <cell r="A61" t="str">
            <v>Bí ngô</v>
          </cell>
          <cell r="F61">
            <v>0</v>
          </cell>
        </row>
        <row r="62">
          <cell r="A62" t="str">
            <v>Bí xanh</v>
          </cell>
          <cell r="F62">
            <v>0</v>
          </cell>
        </row>
        <row r="63">
          <cell r="A63" t="str">
            <v>Bí ngòi</v>
          </cell>
          <cell r="F63">
            <v>0</v>
          </cell>
        </row>
        <row r="64">
          <cell r="A64" t="str">
            <v>Bầu</v>
          </cell>
          <cell r="F64">
            <v>0</v>
          </cell>
        </row>
        <row r="65">
          <cell r="A65" t="str">
            <v>Mướp</v>
          </cell>
          <cell r="F65">
            <v>0</v>
          </cell>
        </row>
        <row r="66">
          <cell r="A66" t="str">
            <v>Mướp đắng</v>
          </cell>
          <cell r="F66">
            <v>0</v>
          </cell>
        </row>
        <row r="67">
          <cell r="A67" t="str">
            <v>Su su (lấy quả)</v>
          </cell>
          <cell r="F67">
            <v>0</v>
          </cell>
        </row>
        <row r="68">
          <cell r="A68" t="str">
            <v>Ớt ngọt</v>
          </cell>
          <cell r="F68">
            <v>0</v>
          </cell>
        </row>
        <row r="69">
          <cell r="A69" t="str">
            <v>Su hào</v>
          </cell>
          <cell r="F69">
            <v>0</v>
          </cell>
        </row>
        <row r="70">
          <cell r="A70" t="str">
            <v>Cà rốt</v>
          </cell>
          <cell r="F70">
            <v>0</v>
          </cell>
        </row>
        <row r="71">
          <cell r="A71" t="str">
            <v xml:space="preserve"> Củ cải trắng</v>
          </cell>
          <cell r="F71">
            <v>0</v>
          </cell>
        </row>
        <row r="72">
          <cell r="A72" t="str">
            <v>Củ dền</v>
          </cell>
          <cell r="F72">
            <v>0</v>
          </cell>
        </row>
        <row r="73">
          <cell r="A73" t="str">
            <v>Củ đậu</v>
          </cell>
          <cell r="F73">
            <v>0</v>
          </cell>
        </row>
        <row r="74">
          <cell r="A74" t="str">
            <v>Tỏi lấy củ</v>
          </cell>
          <cell r="F74">
            <v>0</v>
          </cell>
        </row>
        <row r="75">
          <cell r="A75" t="str">
            <v>Tỏi tây</v>
          </cell>
          <cell r="F75">
            <v>0</v>
          </cell>
        </row>
        <row r="76">
          <cell r="A76" t="str">
            <v>Hành tây</v>
          </cell>
          <cell r="F76">
            <v>0</v>
          </cell>
        </row>
        <row r="77">
          <cell r="A77" t="str">
            <v>Hành hoa</v>
          </cell>
          <cell r="F77">
            <v>0</v>
          </cell>
        </row>
        <row r="78">
          <cell r="A78" t="str">
            <v>Hành củ</v>
          </cell>
          <cell r="F78">
            <v>0</v>
          </cell>
        </row>
        <row r="79">
          <cell r="A79" t="str">
            <v>Hành paro</v>
          </cell>
          <cell r="F79">
            <v>0</v>
          </cell>
        </row>
        <row r="80">
          <cell r="A80" t="str">
            <v>Sen lấy củ</v>
          </cell>
          <cell r="F80">
            <v>0</v>
          </cell>
        </row>
        <row r="81">
          <cell r="A81" t="str">
            <v>Sen lấy ngó</v>
          </cell>
          <cell r="F81">
            <v>0</v>
          </cell>
        </row>
        <row r="82">
          <cell r="A82" t="str">
            <v>Rau cần ta</v>
          </cell>
          <cell r="F82">
            <v>0</v>
          </cell>
        </row>
        <row r="83">
          <cell r="A83" t="str">
            <v>Rau cần tây</v>
          </cell>
          <cell r="F83">
            <v>0</v>
          </cell>
        </row>
        <row r="84">
          <cell r="A84" t="str">
            <v>Dọc mùng</v>
          </cell>
          <cell r="F84">
            <v>0</v>
          </cell>
        </row>
        <row r="85">
          <cell r="A85" t="str">
            <v>Rau rút</v>
          </cell>
          <cell r="F85">
            <v>0</v>
          </cell>
        </row>
        <row r="86">
          <cell r="A86" t="str">
            <v>Rau dớn</v>
          </cell>
          <cell r="F86">
            <v>0</v>
          </cell>
        </row>
        <row r="87">
          <cell r="A87" t="str">
            <v>Khoai nước (lấy mầm)</v>
          </cell>
          <cell r="F87">
            <v>0</v>
          </cell>
        </row>
        <row r="88">
          <cell r="A88" t="str">
            <v>Đậu/đỗ đen</v>
          </cell>
          <cell r="F88">
            <v>0</v>
          </cell>
        </row>
        <row r="89">
          <cell r="A89" t="str">
            <v>Đậu/đỗ xanh</v>
          </cell>
          <cell r="F89">
            <v>0</v>
          </cell>
        </row>
        <row r="90">
          <cell r="A90" t="str">
            <v xml:space="preserve"> Đậu/đỗ đỏ</v>
          </cell>
          <cell r="F90">
            <v>0</v>
          </cell>
        </row>
        <row r="91">
          <cell r="A91" t="str">
            <v>Nhóm cây hoa</v>
          </cell>
          <cell r="F91">
            <v>0</v>
          </cell>
        </row>
        <row r="92">
          <cell r="A92" t="str">
            <v>Hoa cúc</v>
          </cell>
          <cell r="F92">
            <v>0</v>
          </cell>
        </row>
        <row r="93">
          <cell r="A93" t="str">
            <v>Hoa lay ơn</v>
          </cell>
          <cell r="F93">
            <v>0</v>
          </cell>
        </row>
        <row r="94">
          <cell r="A94" t="str">
            <v>Hoa cẩm chướng</v>
          </cell>
          <cell r="F94">
            <v>0</v>
          </cell>
        </row>
        <row r="95">
          <cell r="A95" t="str">
            <v>Hoa lily</v>
          </cell>
          <cell r="F95">
            <v>0</v>
          </cell>
        </row>
        <row r="96">
          <cell r="A96" t="str">
            <v>Hoa loa kèn</v>
          </cell>
          <cell r="F96">
            <v>0</v>
          </cell>
        </row>
        <row r="97">
          <cell r="A97" t="str">
            <v>Hoa đồng tiền</v>
          </cell>
          <cell r="F97">
            <v>0</v>
          </cell>
        </row>
        <row r="98">
          <cell r="A98" t="str">
            <v>Hoa thạch thảo</v>
          </cell>
          <cell r="F98">
            <v>0</v>
          </cell>
        </row>
        <row r="99">
          <cell r="A99" t="str">
            <v>Hoa cát tường</v>
          </cell>
          <cell r="F99">
            <v>0</v>
          </cell>
        </row>
        <row r="100">
          <cell r="A100" t="str">
            <v>Hoa hướng dương</v>
          </cell>
          <cell r="F100">
            <v>0</v>
          </cell>
        </row>
        <row r="101">
          <cell r="A101" t="str">
            <v>Hoa huệ</v>
          </cell>
          <cell r="F101">
            <v>0</v>
          </cell>
        </row>
        <row r="102">
          <cell r="A102" t="str">
            <v>Hoa cánh bướm</v>
          </cell>
          <cell r="F102">
            <v>0</v>
          </cell>
        </row>
        <row r="103">
          <cell r="A103" t="str">
            <v>Hoa phi yến</v>
          </cell>
          <cell r="F103">
            <v>0</v>
          </cell>
        </row>
        <row r="104">
          <cell r="A104" t="str">
            <v>Hoa sen lấy hoa</v>
          </cell>
          <cell r="F104">
            <v>0</v>
          </cell>
        </row>
        <row r="105">
          <cell r="A105" t="str">
            <v>Hoa súng</v>
          </cell>
          <cell r="F105">
            <v>0</v>
          </cell>
        </row>
        <row r="106">
          <cell r="A106" t="str">
            <v>Violet, cosmot</v>
          </cell>
          <cell r="F106">
            <v>0</v>
          </cell>
        </row>
        <row r="107">
          <cell r="A107" t="str">
            <v>Violet, cosmot cây chưa có hoa</v>
          </cell>
          <cell r="F107">
            <v>0</v>
          </cell>
        </row>
        <row r="108">
          <cell r="A108" t="str">
            <v>Violet, cosmot cây có hoa</v>
          </cell>
          <cell r="F108">
            <v>0</v>
          </cell>
        </row>
        <row r="109">
          <cell r="A109" t="str">
            <v>Cây hoa mười giờ, cây hoa sam, tóc tiên</v>
          </cell>
          <cell r="F109">
            <v>0</v>
          </cell>
        </row>
        <row r="110">
          <cell r="A110" t="str">
            <v>Cây dạ yến thảo, cây ngọc thảo</v>
          </cell>
          <cell r="F110">
            <v>0</v>
          </cell>
        </row>
        <row r="111">
          <cell r="A111" t="str">
            <v>Cây salem</v>
          </cell>
          <cell r="F111">
            <v>0</v>
          </cell>
        </row>
        <row r="112">
          <cell r="A112" t="str">
            <v>Cây salem chưa có hoa</v>
          </cell>
          <cell r="F112">
            <v>0</v>
          </cell>
        </row>
        <row r="113">
          <cell r="A113" t="str">
            <v>Cây salem có hoa</v>
          </cell>
          <cell r="F113">
            <v>0</v>
          </cell>
        </row>
        <row r="114">
          <cell r="A114" t="str">
            <v>Nhóm cây gia vị</v>
          </cell>
          <cell r="F114">
            <v>0</v>
          </cell>
        </row>
        <row r="115">
          <cell r="A115" t="str">
            <v>Ớt cay</v>
          </cell>
          <cell r="F115">
            <v>0</v>
          </cell>
        </row>
        <row r="116">
          <cell r="A116" t="str">
            <v>Gừng</v>
          </cell>
          <cell r="F116">
            <v>0</v>
          </cell>
        </row>
        <row r="117">
          <cell r="A117" t="str">
            <v>Nghệ</v>
          </cell>
          <cell r="F117">
            <v>0</v>
          </cell>
        </row>
        <row r="118">
          <cell r="A118" t="str">
            <v>Riềng</v>
          </cell>
          <cell r="F118">
            <v>0</v>
          </cell>
        </row>
        <row r="119">
          <cell r="A119" t="str">
            <v>Sả</v>
          </cell>
          <cell r="F119">
            <v>0</v>
          </cell>
        </row>
        <row r="120">
          <cell r="A120" t="str">
            <v>Tía tô</v>
          </cell>
          <cell r="F120">
            <v>0</v>
          </cell>
        </row>
        <row r="121">
          <cell r="A121" t="str">
            <v>Kinh giới, húng tép</v>
          </cell>
          <cell r="F121">
            <v>0</v>
          </cell>
        </row>
        <row r="122">
          <cell r="A122" t="str">
            <v>Húng bąc hà, húng Hà Nội</v>
          </cell>
          <cell r="F122">
            <v>0</v>
          </cell>
        </row>
        <row r="123">
          <cell r="A123" t="str">
            <v>Húng quế (húng chó)</v>
          </cell>
          <cell r="F123">
            <v>0</v>
          </cell>
        </row>
        <row r="124">
          <cell r="A124" t="str">
            <v>Rau mùi</v>
          </cell>
          <cell r="F124">
            <v>0</v>
          </cell>
        </row>
        <row r="125">
          <cell r="A125" t="str">
            <v>Mùi tàu (răng cua, ngò gai)</v>
          </cell>
          <cell r="F125">
            <v>0</v>
          </cell>
        </row>
        <row r="126">
          <cell r="A126" t="str">
            <v>Ngải cứu</v>
          </cell>
          <cell r="F126">
            <v>0</v>
          </cell>
        </row>
        <row r="127">
          <cell r="A127" t="str">
            <v>Thì là</v>
          </cell>
          <cell r="F127">
            <v>0</v>
          </cell>
        </row>
        <row r="128">
          <cell r="A128" t="str">
            <v>Rau rám</v>
          </cell>
          <cell r="F128">
            <v>0</v>
          </cell>
        </row>
        <row r="129">
          <cell r="A129" t="str">
            <v>Lá nốt</v>
          </cell>
          <cell r="F129">
            <v>0</v>
          </cell>
        </row>
        <row r="130">
          <cell r="A130" t="str">
            <v>Nhóm cây dược liệu</v>
          </cell>
          <cell r="F130">
            <v>0</v>
          </cell>
        </row>
        <row r="131">
          <cell r="A131" t="str">
            <v>Hương nhu</v>
          </cell>
          <cell r="F131">
            <v>0</v>
          </cell>
        </row>
        <row r="132">
          <cell r="A132" t="str">
            <v>Cúc dược liệu (Cúc chi)</v>
          </cell>
          <cell r="F132">
            <v>0</v>
          </cell>
        </row>
        <row r="133">
          <cell r="A133" t="str">
            <v>Húng chanh</v>
          </cell>
          <cell r="F133">
            <v>0</v>
          </cell>
        </row>
        <row r="134">
          <cell r="A134" t="str">
            <v>Lá nếp</v>
          </cell>
          <cell r="F134">
            <v>0</v>
          </cell>
        </row>
        <row r="135">
          <cell r="A135" t="str">
            <v>Xương sông</v>
          </cell>
          <cell r="F135">
            <v>0</v>
          </cell>
        </row>
        <row r="136">
          <cell r="A136" t="str">
            <v>Hoàn ngọc (cây lá khỉ)</v>
          </cell>
          <cell r="F136">
            <v>0</v>
          </cell>
        </row>
        <row r="137">
          <cell r="A137" t="str">
            <v>Atiso đỏ</v>
          </cell>
          <cell r="F137">
            <v>0</v>
          </cell>
        </row>
        <row r="138">
          <cell r="A138" t="str">
            <v>Nhóm cây hàng năm khác</v>
          </cell>
          <cell r="F138">
            <v>0</v>
          </cell>
        </row>
        <row r="139">
          <cell r="A139" t="str">
            <v xml:space="preserve"> Ấu</v>
          </cell>
          <cell r="F139">
            <v>0</v>
          </cell>
        </row>
        <row r="140">
          <cell r="A140" t="str">
            <v>Thạch đen</v>
          </cell>
          <cell r="F140">
            <v>0</v>
          </cell>
        </row>
        <row r="141">
          <cell r="A141" t="str">
            <v>Hương bài</v>
          </cell>
          <cell r="F141">
            <v>0</v>
          </cell>
        </row>
        <row r="142">
          <cell r="A142" t="str">
            <v>Cỏ voi</v>
          </cell>
          <cell r="F142">
            <v>0</v>
          </cell>
        </row>
        <row r="143">
          <cell r="A143" t="str">
            <v>Cỏ nhung</v>
          </cell>
          <cell r="F143">
            <v>0</v>
          </cell>
        </row>
        <row r="144">
          <cell r="A144" t="str">
            <v>Ngô sinh khối</v>
          </cell>
          <cell r="F144">
            <v>0</v>
          </cell>
        </row>
        <row r="145">
          <cell r="A145" t="str">
            <v>Nấm rơm</v>
          </cell>
          <cell r="F145">
            <v>0</v>
          </cell>
        </row>
        <row r="146">
          <cell r="A146" t="str">
            <v>Nấm mỡ</v>
          </cell>
          <cell r="F146">
            <v>0</v>
          </cell>
        </row>
        <row r="147">
          <cell r="A147" t="str">
            <v>Đay</v>
          </cell>
          <cell r="F147">
            <v>0</v>
          </cell>
        </row>
        <row r="148">
          <cell r="A148" t="str">
            <v>Gai</v>
          </cell>
          <cell r="F148">
            <v>0</v>
          </cell>
        </row>
        <row r="149">
          <cell r="A149" t="str">
            <v>Dứa sợi</v>
          </cell>
          <cell r="F149">
            <v>0</v>
          </cell>
        </row>
        <row r="150">
          <cell r="A150" t="str">
            <v>NHÓM CÂY TÍNH THEO CHIỀU CAO THÂN</v>
          </cell>
          <cell r="F150">
            <v>0</v>
          </cell>
        </row>
        <row r="151">
          <cell r="A151" t="str">
            <v>Cây na xiêm</v>
          </cell>
          <cell r="F151">
            <v>0</v>
          </cell>
        </row>
        <row r="152">
          <cell r="A152" t="str">
            <v>Cây na xiêm chiều cao cây H ≤ 1,5 m</v>
          </cell>
          <cell r="F152">
            <v>0</v>
          </cell>
        </row>
        <row r="153">
          <cell r="A153" t="str">
            <v>Cây na xiêm chiều cao cây 1,5 m &lt; H ≤ 3 m</v>
          </cell>
          <cell r="F153">
            <v>0</v>
          </cell>
        </row>
        <row r="154">
          <cell r="A154" t="str">
            <v>Cây na xiêm chiều cao cây H &gt; 3 m</v>
          </cell>
          <cell r="F154">
            <v>0</v>
          </cell>
        </row>
        <row r="155">
          <cell r="A155" t="str">
            <v>Cây sắn thuyền</v>
          </cell>
          <cell r="F155">
            <v>0</v>
          </cell>
        </row>
        <row r="156">
          <cell r="A156" t="str">
            <v>Cây sắn thuyền chiều cao cây H ≤ 1,5 m</v>
          </cell>
          <cell r="F156">
            <v>0</v>
          </cell>
        </row>
        <row r="157">
          <cell r="A157" t="str">
            <v>Cây sắn thuyền chiều cao cây 1,5 m &lt; H ≤ 3 m</v>
          </cell>
          <cell r="F157">
            <v>0</v>
          </cell>
        </row>
        <row r="158">
          <cell r="A158" t="str">
            <v>Cây sắn thuyền chiều cao cây H &gt; 3 m</v>
          </cell>
          <cell r="F158">
            <v>0</v>
          </cell>
        </row>
        <row r="159">
          <cell r="A159" t="str">
            <v>Cau ta ăn quả</v>
          </cell>
          <cell r="F159">
            <v>0</v>
          </cell>
        </row>
        <row r="160">
          <cell r="A160" t="str">
            <v>Cau ta ăn quả giống đủ tiêu chuẩn mới trồng, chiều cao cây H ≥ 40cm</v>
          </cell>
          <cell r="F160">
            <v>0</v>
          </cell>
        </row>
        <row r="161">
          <cell r="A161" t="str">
            <v>Cau ta ăn quả chiều cao cây H &lt; 1,5 m</v>
          </cell>
          <cell r="F161">
            <v>0</v>
          </cell>
        </row>
        <row r="162">
          <cell r="A162" t="str">
            <v>Cau ta ăn quả chiều cao cây 1,5 m ≤  H &lt; 3 m</v>
          </cell>
          <cell r="F162">
            <v>0</v>
          </cell>
        </row>
        <row r="163">
          <cell r="A163" t="str">
            <v>Cau ta ăn quả chiều cao cây 3 m ≤  H &lt; 4 m</v>
          </cell>
          <cell r="F163">
            <v>0</v>
          </cell>
        </row>
        <row r="164">
          <cell r="A164" t="str">
            <v>Cau ta ăn quả chiều cao cây H ≥ 4 m</v>
          </cell>
          <cell r="F164">
            <v>0</v>
          </cell>
        </row>
        <row r="165">
          <cell r="A165" t="str">
            <v>Cây cau lợn cọ (độ cao bóc bẹ)</v>
          </cell>
          <cell r="F165">
            <v>0</v>
          </cell>
        </row>
        <row r="166">
          <cell r="A166" t="str">
            <v>Cây cau lợn cọ (độ cao bóc bẹ) Cây giống mới trồng</v>
          </cell>
          <cell r="F166">
            <v>0</v>
          </cell>
        </row>
        <row r="167">
          <cell r="A167" t="str">
            <v>Cây cau lợn cọ (độ cao bóc bẹ)  H &lt; 15 cm</v>
          </cell>
          <cell r="F167">
            <v>0</v>
          </cell>
        </row>
        <row r="168">
          <cell r="A168" t="str">
            <v>Cây cau lợn cọ (độ cao bóc bẹ) 15 cm &lt; H ≤ 30 cm</v>
          </cell>
          <cell r="F168">
            <v>0</v>
          </cell>
        </row>
        <row r="169">
          <cell r="A169" t="str">
            <v>Cây cau lợn cọ (độ cao bóc bẹ) 30 cm &lt; H ≤ 45 cm</v>
          </cell>
          <cell r="F169">
            <v>0</v>
          </cell>
        </row>
        <row r="170">
          <cell r="A170" t="str">
            <v>Cây cau lợn cọ (độ cao bóc bẹ)  45 cm &lt; H ≤ 60 cm</v>
          </cell>
          <cell r="F170">
            <v>0</v>
          </cell>
        </row>
        <row r="171">
          <cell r="A171" t="str">
            <v>Cây cau lợn cọ (độ cao bóc bẹ)  60 cm &lt; H ≤ 75 cm</v>
          </cell>
          <cell r="F171">
            <v>0</v>
          </cell>
        </row>
        <row r="172">
          <cell r="A172" t="str">
            <v>Cây cau lợn cọ (độ cao bóc bẹ) 75 cm &lt; H ≤ 90 cm</v>
          </cell>
          <cell r="F172">
            <v>0</v>
          </cell>
        </row>
        <row r="173">
          <cell r="A173" t="str">
            <v>Cây cau lợn cọ (độ cao bóc bẹ) H &gt; 90 cm</v>
          </cell>
          <cell r="F173">
            <v>0</v>
          </cell>
        </row>
        <row r="174">
          <cell r="A174" t="str">
            <v>Cây cau trắng (độ cao bóc bẹ)</v>
          </cell>
          <cell r="F174">
            <v>0</v>
          </cell>
        </row>
        <row r="175">
          <cell r="A175" t="str">
            <v>Cây cau trắng (độ cao bóc bẹ) Cây giống mới trồng</v>
          </cell>
          <cell r="F175">
            <v>0</v>
          </cell>
        </row>
        <row r="176">
          <cell r="A176" t="str">
            <v>Cây cau trắng (độ cao bóc bẹ) chiều cao cây H ≤ 15 cm</v>
          </cell>
          <cell r="F176">
            <v>0</v>
          </cell>
        </row>
        <row r="177">
          <cell r="A177" t="str">
            <v>Cây cau trắng (độ cao bóc bẹ) chiều cao cây 15 cm &lt; H ≤ 30 cm</v>
          </cell>
          <cell r="F177">
            <v>0</v>
          </cell>
        </row>
        <row r="178">
          <cell r="A178" t="str">
            <v>Cây cau trắng (độ cao bóc bẹ) chiều cao cây 30 cm &lt; H ≤ 45 cm</v>
          </cell>
          <cell r="F178">
            <v>0</v>
          </cell>
        </row>
        <row r="179">
          <cell r="A179" t="str">
            <v>Cây cau trắng (độ cao bóc bẹ) chiều cao cây 45 cm &lt; H ≤ 60 cm</v>
          </cell>
          <cell r="F179">
            <v>0</v>
          </cell>
        </row>
        <row r="180">
          <cell r="A180" t="str">
            <v>Cây cau trắng (độ cao bóc bẹ) chiều cao cây 60 cm &lt; H ≤ 75 cm</v>
          </cell>
          <cell r="F180">
            <v>0</v>
          </cell>
        </row>
        <row r="181">
          <cell r="A181" t="str">
            <v>Cây cau trắng (độ cao bóc bẹ) chiều cao cây 75 cm &lt; H ≤ 90 cm</v>
          </cell>
          <cell r="F181">
            <v>0</v>
          </cell>
        </row>
        <row r="182">
          <cell r="A182" t="str">
            <v>Cây cau trắng (độ cao bóc bẹ) chiều cao cây 90 cm &lt; H ≤ 150 cm</v>
          </cell>
          <cell r="F182">
            <v>0</v>
          </cell>
        </row>
        <row r="183">
          <cell r="A183" t="str">
            <v>Cây cau trắng (độ cao bóc bẹ) chiều cao cây 150 cm &lt; H ≤ 250 cm</v>
          </cell>
          <cell r="F183">
            <v>0</v>
          </cell>
        </row>
        <row r="184">
          <cell r="A184" t="str">
            <v>Cây cau trắng (độ cao bóc bẹ) chiều cao cây H &gt; 250 cm</v>
          </cell>
          <cell r="F184">
            <v>0</v>
          </cell>
        </row>
        <row r="185">
          <cell r="A185" t="str">
            <v>Cây cau đẻ (độ cao bóc bẹ)</v>
          </cell>
          <cell r="F185">
            <v>0</v>
          </cell>
        </row>
        <row r="186">
          <cell r="A186" t="str">
            <v>Cây cau đẻ (độ cao bóc bẹ) Cây giống mới trồng</v>
          </cell>
          <cell r="F186">
            <v>0</v>
          </cell>
        </row>
        <row r="187">
          <cell r="A187" t="str">
            <v>Cây cau đẻ (độ cao bóc bẹ) chiều cao cây H ≤ 15 cm</v>
          </cell>
          <cell r="F187">
            <v>0</v>
          </cell>
        </row>
        <row r="188">
          <cell r="A188" t="str">
            <v>Cây cau đẻ (độ cao bóc bẹ) chiều cao cây 15 cm &lt; H ≤ 30 cm</v>
          </cell>
          <cell r="F188">
            <v>0</v>
          </cell>
        </row>
        <row r="189">
          <cell r="A189" t="str">
            <v>Cây cau đẻ (độ cao bóc bẹ) chiều cao cây 30 cm &lt; H ≤ 45 cm</v>
          </cell>
          <cell r="F189">
            <v>0</v>
          </cell>
        </row>
        <row r="190">
          <cell r="A190" t="str">
            <v>Cây cau đẻ (độ cao bóc bẹ) chiều cao cây 45 cm &lt; H ≤ 60 cm</v>
          </cell>
          <cell r="F190">
            <v>0</v>
          </cell>
        </row>
        <row r="191">
          <cell r="A191" t="str">
            <v>Cây cau đẻ (độ cao bóc bẹ) chiều cao cây 60 cm &lt; H ≤ 75 cm</v>
          </cell>
          <cell r="F191">
            <v>0</v>
          </cell>
        </row>
        <row r="192">
          <cell r="A192" t="str">
            <v>Cây cau đẻ (độ cao bóc bẹ) chiều cao cây 75 cm &lt; H ≤ 90 cm</v>
          </cell>
          <cell r="F192">
            <v>0</v>
          </cell>
        </row>
        <row r="193">
          <cell r="A193" t="str">
            <v>Cây cau đẻ (độ cao bóc bẹ) chiều cao cây 90 cm &lt; H ≤ 150 cm</v>
          </cell>
          <cell r="F193">
            <v>0</v>
          </cell>
        </row>
        <row r="194">
          <cell r="A194" t="str">
            <v>Cây cau đẻ (độ cao bóc bẹ) chiều cao cây 150 cm &lt; H ≤ 250 cm</v>
          </cell>
          <cell r="F194">
            <v>0</v>
          </cell>
        </row>
        <row r="195">
          <cell r="A195" t="str">
            <v>Cây cau đẻ (độ cao bóc bẹ) chiều cao cây H &gt; 250 cm</v>
          </cell>
          <cell r="F195">
            <v>0</v>
          </cell>
        </row>
        <row r="196">
          <cell r="A196" t="str">
            <v>Cây thiên tuế</v>
          </cell>
          <cell r="F196">
            <v>0</v>
          </cell>
        </row>
        <row r="197">
          <cell r="A197" t="str">
            <v>Cây thiên tuế Cây giống mới trồng</v>
          </cell>
          <cell r="F197">
            <v>0</v>
          </cell>
        </row>
        <row r="198">
          <cell r="A198" t="str">
            <v>Cây thiên tuế chiều cao cây H &lt; 15 cm</v>
          </cell>
          <cell r="F198">
            <v>0</v>
          </cell>
        </row>
        <row r="199">
          <cell r="A199" t="str">
            <v>Cây thiên tuế chiều cao cây 15 cm &lt; H ≤ 30 cm</v>
          </cell>
          <cell r="F199">
            <v>0</v>
          </cell>
        </row>
        <row r="200">
          <cell r="A200" t="str">
            <v>Cây thiên tuế chiều cao cây 30 cm &lt; H ≤ 45 cm</v>
          </cell>
          <cell r="F200">
            <v>0</v>
          </cell>
        </row>
        <row r="201">
          <cell r="A201" t="str">
            <v>Cây thiên tuế chiều cao cây 45 cm &lt; H ≤ 60 cm</v>
          </cell>
          <cell r="F201">
            <v>0</v>
          </cell>
        </row>
        <row r="202">
          <cell r="A202" t="str">
            <v>Cây thiên tuế chiều cao cây 60 cm &lt; H ≤ 75 cm</v>
          </cell>
          <cell r="F202">
            <v>0</v>
          </cell>
        </row>
        <row r="203">
          <cell r="A203" t="str">
            <v>Cây thiên tuế chiều cao cây H &gt; 75 cm</v>
          </cell>
          <cell r="F203">
            <v>0</v>
          </cell>
        </row>
        <row r="204">
          <cell r="A204" t="str">
            <v>Cây thiết mộc lan</v>
          </cell>
          <cell r="F204">
            <v>0</v>
          </cell>
        </row>
        <row r="205">
          <cell r="A205" t="str">
            <v>Cây thiết mộc lan Cây giống mới trồng</v>
          </cell>
          <cell r="F205">
            <v>0</v>
          </cell>
        </row>
        <row r="206">
          <cell r="A206" t="str">
            <v>Cây thiết mộc lan chiều cao cây H ≤ 15 cm</v>
          </cell>
          <cell r="F206">
            <v>0</v>
          </cell>
        </row>
        <row r="207">
          <cell r="A207" t="str">
            <v>Cây thiết mộc lan chiều cao cây 15 cm &lt; H ≤ 70 cm</v>
          </cell>
          <cell r="F207">
            <v>0</v>
          </cell>
        </row>
        <row r="208">
          <cell r="A208" t="str">
            <v>Cây thiết mộc lan chiều cao cây 70 cm &lt; H ≤ 100 cm</v>
          </cell>
          <cell r="F208">
            <v>0</v>
          </cell>
        </row>
        <row r="209">
          <cell r="A209" t="str">
            <v>Cây thiết mộc lan chiều cao cây H &gt; 100 cm</v>
          </cell>
          <cell r="F209">
            <v>0</v>
          </cell>
        </row>
        <row r="210">
          <cell r="A210" t="str">
            <v>Cây trúc anh đào</v>
          </cell>
          <cell r="F210">
            <v>0</v>
          </cell>
        </row>
        <row r="211">
          <cell r="A211" t="str">
            <v>Cây trúc anh đào Cây giống mới trồng</v>
          </cell>
          <cell r="F211">
            <v>0</v>
          </cell>
        </row>
        <row r="212">
          <cell r="A212" t="str">
            <v>Cây trúc anh đào chiều cao cây H &lt; 15 cm</v>
          </cell>
          <cell r="F212">
            <v>0</v>
          </cell>
        </row>
        <row r="213">
          <cell r="A213" t="str">
            <v>Cây trúc anh đào chiều cao cây 15 cm ≤ H &lt;  30 cm</v>
          </cell>
          <cell r="F213">
            <v>0</v>
          </cell>
        </row>
        <row r="214">
          <cell r="A214" t="str">
            <v>Cây trúc anh đào chiều cao cây 30 cm ≤ H &lt; 70 cm</v>
          </cell>
          <cell r="F214">
            <v>0</v>
          </cell>
        </row>
        <row r="215">
          <cell r="A215" t="str">
            <v>Cây trúc anh đào chiều cao cây 70 cm ≤ H &lt; 100 cm</v>
          </cell>
          <cell r="F215">
            <v>0</v>
          </cell>
        </row>
        <row r="216">
          <cell r="A216" t="str">
            <v>Cây trúc anh đào chiều cao cây H ≥ 100 cm</v>
          </cell>
          <cell r="F216">
            <v>0</v>
          </cell>
        </row>
        <row r="217">
          <cell r="A217" t="str">
            <v>Cây lá màu</v>
          </cell>
          <cell r="F217">
            <v>0</v>
          </cell>
        </row>
        <row r="218">
          <cell r="A218" t="str">
            <v>Cây lá màu Cây giống mới trồng</v>
          </cell>
          <cell r="F218">
            <v>0</v>
          </cell>
        </row>
        <row r="219">
          <cell r="A219" t="str">
            <v>Cây lá màu chiều cao cây H &lt; 15 cm</v>
          </cell>
          <cell r="F219">
            <v>0</v>
          </cell>
        </row>
        <row r="220">
          <cell r="A220" t="str">
            <v>Cây lá màu chiều cao cây 15 cm &lt; H ≤ 30 cm</v>
          </cell>
          <cell r="F220">
            <v>0</v>
          </cell>
        </row>
        <row r="221">
          <cell r="A221" t="str">
            <v>Cây lá màu chiều cao cây 30 cm &lt; H ≤ 45 cm</v>
          </cell>
          <cell r="F221">
            <v>0</v>
          </cell>
        </row>
        <row r="222">
          <cell r="A222" t="str">
            <v>Cây lá màu chiều cao cây 45 cm &lt; H ≤ 60 cm</v>
          </cell>
          <cell r="F222">
            <v>0</v>
          </cell>
        </row>
        <row r="223">
          <cell r="A223" t="str">
            <v>Cây lá màu chiều cao cây 60 cm &lt; H ≤ 75 cm</v>
          </cell>
          <cell r="F223">
            <v>0</v>
          </cell>
        </row>
        <row r="224">
          <cell r="A224" t="str">
            <v>Cây lá màu chiều cao cây 75 cm &lt; H ≤ 90 cm</v>
          </cell>
          <cell r="F224">
            <v>0</v>
          </cell>
        </row>
        <row r="225">
          <cell r="A225" t="str">
            <v>Cây lá màu chiều cao cây 90 cm &lt; H ≤ 150 cm</v>
          </cell>
          <cell r="F225">
            <v>0</v>
          </cell>
        </row>
        <row r="226">
          <cell r="A226" t="str">
            <v>Cây lá màu chiều cao cây H &gt; 150 cm</v>
          </cell>
          <cell r="F226">
            <v>0</v>
          </cell>
        </row>
        <row r="227">
          <cell r="A227" t="str">
            <v>Cây đinh lăng</v>
          </cell>
          <cell r="F227">
            <v>0</v>
          </cell>
        </row>
        <row r="228">
          <cell r="A228" t="str">
            <v>Cây đinh lăng Cây giống mới trồng</v>
          </cell>
          <cell r="F228">
            <v>0</v>
          </cell>
        </row>
        <row r="229">
          <cell r="A229" t="str">
            <v>Cây đinh lăng chiều cao cây H ≤ 15 cm</v>
          </cell>
          <cell r="F229">
            <v>0</v>
          </cell>
        </row>
        <row r="230">
          <cell r="A230" t="str">
            <v>Cây đinh lăng chiều cao cây 15 cm &lt; H ≤ 30 cm</v>
          </cell>
          <cell r="F230">
            <v>0</v>
          </cell>
        </row>
        <row r="231">
          <cell r="A231" t="str">
            <v>Cây đinh lăng chiều cao cây 30 cm &lt; H ≤ 60 cm</v>
          </cell>
          <cell r="F231">
            <v>0</v>
          </cell>
        </row>
        <row r="232">
          <cell r="A232" t="str">
            <v>Cây đinh lăng chiều cao cây H &gt; 60 cm</v>
          </cell>
          <cell r="F232">
            <v>0</v>
          </cell>
        </row>
        <row r="233">
          <cell r="A233" t="str">
            <v>Cây đào cảnh</v>
          </cell>
          <cell r="F233">
            <v>0</v>
          </cell>
        </row>
        <row r="234">
          <cell r="A234" t="str">
            <v>Cây đào cảnh Cây giống mới trồng</v>
          </cell>
          <cell r="F234">
            <v>0</v>
          </cell>
        </row>
        <row r="235">
          <cell r="A235" t="str">
            <v>Cây đào cảnh chiều cao cây H ≤ 150 cm</v>
          </cell>
          <cell r="F235">
            <v>0</v>
          </cell>
        </row>
        <row r="236">
          <cell r="A236" t="str">
            <v>Cây đào cảnh chiều cao cây 150 cm &lt; H ≤ 200 cm</v>
          </cell>
          <cell r="F236">
            <v>0</v>
          </cell>
        </row>
        <row r="237">
          <cell r="A237" t="str">
            <v>Cây đào cảnh chiều cao cây H &gt; 200 cm</v>
          </cell>
          <cell r="F237">
            <v>0</v>
          </cell>
        </row>
        <row r="238">
          <cell r="A238" t="str">
            <v>Cây mai trắng</v>
          </cell>
          <cell r="F238">
            <v>0</v>
          </cell>
        </row>
        <row r="239">
          <cell r="A239" t="str">
            <v>Cây mai trắng chiều cao cây H ≤ 70 cm</v>
          </cell>
          <cell r="F239">
            <v>0</v>
          </cell>
        </row>
        <row r="240">
          <cell r="A240" t="str">
            <v>Cây mai trắng chiều cao cây 70 cm &lt; H ≤ 100 cm</v>
          </cell>
          <cell r="F240">
            <v>0</v>
          </cell>
        </row>
        <row r="241">
          <cell r="A241" t="str">
            <v>Cây mai trắng chiều cao cây 100 cm &lt; H ≤ 150 cm</v>
          </cell>
          <cell r="F241">
            <v>0</v>
          </cell>
        </row>
        <row r="242">
          <cell r="A242" t="str">
            <v>Cây mai trắng chiều cao cây H &gt; 150 cm</v>
          </cell>
          <cell r="F242">
            <v>0</v>
          </cell>
        </row>
        <row r="243">
          <cell r="A243" t="str">
            <v>Cây bạch thiên hương, bạch ngọc anh</v>
          </cell>
          <cell r="F243">
            <v>0</v>
          </cell>
        </row>
        <row r="244">
          <cell r="A244" t="str">
            <v>Cây bạch thiên hương, bạch ngọc anh chiều cao cây H ≤ 100 cm</v>
          </cell>
          <cell r="F244">
            <v>0</v>
          </cell>
        </row>
        <row r="245">
          <cell r="A245" t="str">
            <v>Cây bạch thiên hương, bạch ngọc anh chiều cao cây H &gt; 100 cm</v>
          </cell>
          <cell r="F245">
            <v>0</v>
          </cell>
        </row>
        <row r="246">
          <cell r="A246" t="str">
            <v>Cây trạng nguyên</v>
          </cell>
          <cell r="F246">
            <v>0</v>
          </cell>
        </row>
        <row r="247">
          <cell r="A247" t="str">
            <v>Cây trạng nguyên chiều cao cây H ≤ 100 cm</v>
          </cell>
          <cell r="F247">
            <v>0</v>
          </cell>
        </row>
        <row r="248">
          <cell r="A248" t="str">
            <v>Cây trạng nguyên chiều cao cây H &gt; 100 cm</v>
          </cell>
          <cell r="F248">
            <v>0</v>
          </cell>
        </row>
        <row r="249">
          <cell r="A249" t="str">
            <v>Cây ngô đồng cảnh</v>
          </cell>
          <cell r="F249">
            <v>0</v>
          </cell>
        </row>
        <row r="250">
          <cell r="A250" t="str">
            <v>Cây ngô đồng cảnh chiều cao cây H ≤ 50 cm</v>
          </cell>
          <cell r="F250">
            <v>0</v>
          </cell>
        </row>
        <row r="251">
          <cell r="A251" t="str">
            <v>Cây ngô đồng cảnh chiều cao cây H &gt; 50 cm</v>
          </cell>
          <cell r="F251">
            <v>0</v>
          </cell>
        </row>
        <row r="252">
          <cell r="A252" t="str">
            <v>Cây agao sọc</v>
          </cell>
          <cell r="F252">
            <v>0</v>
          </cell>
        </row>
        <row r="253">
          <cell r="A253" t="str">
            <v>Cây agao sọc chiều cao cây H ≤ 50 cm</v>
          </cell>
          <cell r="F253">
            <v>0</v>
          </cell>
        </row>
        <row r="254">
          <cell r="A254" t="str">
            <v>Cây agao sọc chiều cao cây H &gt; 50 cm</v>
          </cell>
          <cell r="F254">
            <v>0</v>
          </cell>
        </row>
        <row r="255">
          <cell r="A255" t="str">
            <v>Cây nguyệt quế</v>
          </cell>
          <cell r="F255">
            <v>0</v>
          </cell>
        </row>
        <row r="256">
          <cell r="A256" t="str">
            <v>Cây nguyệt quế chiều cao cây H ≤ 100 cm</v>
          </cell>
          <cell r="F256">
            <v>0</v>
          </cell>
        </row>
        <row r="257">
          <cell r="A257" t="str">
            <v>Cây nguyệt quế chiều cao cây 100 cm &lt; H ≤ 200 cm</v>
          </cell>
          <cell r="F257">
            <v>0</v>
          </cell>
        </row>
        <row r="258">
          <cell r="A258" t="str">
            <v>Cây nguyệt quế chiều cao cây H &gt; 200 cm</v>
          </cell>
          <cell r="F258">
            <v>0</v>
          </cell>
        </row>
        <row r="259">
          <cell r="A259" t="str">
            <v>Cây huyết dụ</v>
          </cell>
          <cell r="F259">
            <v>0</v>
          </cell>
        </row>
        <row r="260">
          <cell r="A260" t="str">
            <v>Cây huyết dụ Cây giống mới trồng</v>
          </cell>
          <cell r="F260">
            <v>0</v>
          </cell>
        </row>
        <row r="261">
          <cell r="A261" t="str">
            <v>Cây huyết dụ chiều cao cây H ≤ 60 cm</v>
          </cell>
          <cell r="F261">
            <v>0</v>
          </cell>
        </row>
        <row r="262">
          <cell r="A262" t="str">
            <v>Cây huyết dụ chiều cao cây H &gt; 60 cm</v>
          </cell>
          <cell r="F262">
            <v>0</v>
          </cell>
        </row>
        <row r="263">
          <cell r="A263" t="str">
            <v>Cây măng cảnh</v>
          </cell>
          <cell r="F263">
            <v>0</v>
          </cell>
        </row>
        <row r="264">
          <cell r="A264" t="str">
            <v>Cây măng cảnh chiều cao cây H ≤ 50 cm</v>
          </cell>
          <cell r="F264">
            <v>0</v>
          </cell>
        </row>
        <row r="265">
          <cell r="A265" t="str">
            <v>Cây măng cảnh chiều cao cây H &gt; 50 cm</v>
          </cell>
          <cell r="F265">
            <v>0</v>
          </cell>
        </row>
        <row r="266">
          <cell r="A266" t="str">
            <v>Cây chuối</v>
          </cell>
          <cell r="F266">
            <v>0</v>
          </cell>
        </row>
        <row r="267">
          <cell r="A267" t="str">
            <v>Cây chuối Cây giống mới trồng</v>
          </cell>
          <cell r="F267">
            <v>0</v>
          </cell>
        </row>
        <row r="268">
          <cell r="A268" t="str">
            <v>Cây chuối chiều cao cây H ≤ 120cm</v>
          </cell>
          <cell r="F268">
            <v>0</v>
          </cell>
        </row>
        <row r="269">
          <cell r="A269" t="str">
            <v>Cây chuối chiều cao cây H &gt; 120cm</v>
          </cell>
          <cell r="F269">
            <v>0</v>
          </cell>
        </row>
        <row r="270">
          <cell r="A270" t="str">
            <v>Cây chuối có quả</v>
          </cell>
          <cell r="F270">
            <v>0</v>
          </cell>
        </row>
        <row r="271">
          <cell r="A271" t="str">
            <v>Cây khổ sâm</v>
          </cell>
          <cell r="F271">
            <v>0</v>
          </cell>
        </row>
        <row r="272">
          <cell r="A272" t="str">
            <v>Cây khổ sâm Cây giống</v>
          </cell>
          <cell r="F272">
            <v>0</v>
          </cell>
        </row>
        <row r="273">
          <cell r="A273" t="str">
            <v>Cây khổ sâm chiều cao cây H ≤ 100 cm</v>
          </cell>
          <cell r="F273">
            <v>0</v>
          </cell>
        </row>
        <row r="274">
          <cell r="A274" t="str">
            <v>Cây khổ sâm chiều cao cây H &gt; 100 cm</v>
          </cell>
          <cell r="F274">
            <v>0</v>
          </cell>
        </row>
        <row r="275">
          <cell r="A275" t="str">
            <v>Cây hoa phù dung, dã quỳ</v>
          </cell>
          <cell r="F275">
            <v>0</v>
          </cell>
        </row>
        <row r="276">
          <cell r="A276" t="str">
            <v>Cây hoa phù dung, dã quỳ Cây giống mới trồng</v>
          </cell>
          <cell r="F276">
            <v>0</v>
          </cell>
        </row>
        <row r="277">
          <cell r="A277" t="str">
            <v>Cây hoa phù dung, dã quỳ chiều cao cây H ≤ 100 cm</v>
          </cell>
          <cell r="F277">
            <v>0</v>
          </cell>
        </row>
        <row r="278">
          <cell r="A278" t="str">
            <v>Cây hoa phù dung, dã quỳ chiều cao cây H &gt; 100 cm</v>
          </cell>
          <cell r="F278">
            <v>0</v>
          </cell>
        </row>
        <row r="279">
          <cell r="A279" t="str">
            <v>Cây lam tiền (lan tuyết)</v>
          </cell>
          <cell r="F279">
            <v>0</v>
          </cell>
        </row>
        <row r="280">
          <cell r="A280" t="str">
            <v>Cây lam tiền (lan tuyết) Cây giống mới trồng</v>
          </cell>
          <cell r="F280">
            <v>0</v>
          </cell>
        </row>
        <row r="281">
          <cell r="A281" t="str">
            <v>Cây lam tiền (lan tuyết) chiều cao cây H ≤ 50 cm</v>
          </cell>
          <cell r="F281">
            <v>0</v>
          </cell>
        </row>
        <row r="282">
          <cell r="A282" t="str">
            <v>Cây lam tiền (lan tuyết) chiều cao cây H &gt; 50 cm</v>
          </cell>
          <cell r="F282">
            <v>0</v>
          </cell>
        </row>
        <row r="283">
          <cell r="A283" t="str">
            <v>Cây ngọc lan</v>
          </cell>
          <cell r="F283">
            <v>0</v>
          </cell>
        </row>
        <row r="284">
          <cell r="A284" t="str">
            <v>Cây ngọc lan Cây giống mới trồng</v>
          </cell>
          <cell r="F284">
            <v>0</v>
          </cell>
        </row>
        <row r="285">
          <cell r="A285" t="str">
            <v>Cây ngọc lan chiều cao cây H &lt; 15 cm</v>
          </cell>
          <cell r="F285">
            <v>0</v>
          </cell>
        </row>
        <row r="286">
          <cell r="A286" t="str">
            <v>Cây ngọc lan chiều cao cây 15 cm ≤ H &lt; 30 cm</v>
          </cell>
          <cell r="F286">
            <v>0</v>
          </cell>
        </row>
        <row r="287">
          <cell r="A287" t="str">
            <v>Cây ngọc lan chiều cao cây 30 cm ≤ H &lt; 45 cm</v>
          </cell>
          <cell r="F287">
            <v>0</v>
          </cell>
        </row>
        <row r="288">
          <cell r="A288" t="str">
            <v>Cây ngọc lan chiều cao cây 45 cm ≤ H &lt; 60 cm</v>
          </cell>
          <cell r="F288">
            <v>0</v>
          </cell>
        </row>
        <row r="289">
          <cell r="A289" t="str">
            <v>Cây ngọc lan chiều cao cây 60 cm ≤ H &lt; 75 cm</v>
          </cell>
          <cell r="F289">
            <v>0</v>
          </cell>
        </row>
        <row r="290">
          <cell r="A290" t="str">
            <v>Cây ngọc lan chiều cao cây 75 cm ≤ H &lt; 90 cm</v>
          </cell>
          <cell r="F290">
            <v>0</v>
          </cell>
        </row>
        <row r="291">
          <cell r="A291" t="str">
            <v>Cây ngọc lan chiều cao cây 90 cm ≤ H &lt; 150 cm</v>
          </cell>
          <cell r="F291">
            <v>0</v>
          </cell>
        </row>
        <row r="292">
          <cell r="A292" t="str">
            <v>Cây ngọc lan chiều cao cây 150 cm ≤ H &lt; 250 cm</v>
          </cell>
          <cell r="F292">
            <v>0</v>
          </cell>
        </row>
        <row r="293">
          <cell r="A293" t="str">
            <v>Cây ngọc lan chiều cao cây H ≥ 250 cm</v>
          </cell>
          <cell r="F293">
            <v>0</v>
          </cell>
        </row>
        <row r="294">
          <cell r="A294" t="str">
            <v>Cây hoàng lan</v>
          </cell>
          <cell r="F294">
            <v>0</v>
          </cell>
        </row>
        <row r="295">
          <cell r="A295" t="str">
            <v>Cây hoàng lan Cây giống mới trồng</v>
          </cell>
          <cell r="F295">
            <v>0</v>
          </cell>
        </row>
        <row r="296">
          <cell r="A296" t="str">
            <v>Cây hoàng lan chiều cao cây H &lt; 15 cm</v>
          </cell>
          <cell r="F296">
            <v>0</v>
          </cell>
        </row>
        <row r="297">
          <cell r="A297" t="str">
            <v>Cây hoàng lan chiều cao cây 15 cm ≤ H &lt; 30 cm</v>
          </cell>
          <cell r="F297">
            <v>0</v>
          </cell>
        </row>
        <row r="298">
          <cell r="A298" t="str">
            <v>Cây hoàng lan chiều cao cây 30 cm ≤ H &lt; 45 cm</v>
          </cell>
          <cell r="F298">
            <v>0</v>
          </cell>
        </row>
        <row r="299">
          <cell r="A299" t="str">
            <v>Cây hoàng lan chiều cao cây 45 cm ≤ H &lt; 60 cm</v>
          </cell>
          <cell r="F299">
            <v>0</v>
          </cell>
        </row>
        <row r="300">
          <cell r="A300" t="str">
            <v>Cây hoàng lan chiều cao cây 60 cm ≤ H &lt; 75 cm</v>
          </cell>
          <cell r="F300">
            <v>0</v>
          </cell>
        </row>
        <row r="301">
          <cell r="A301" t="str">
            <v>Cây hoàng lan chiều cao cây 75 cm ≤ H &lt; 90 cm</v>
          </cell>
          <cell r="F301">
            <v>0</v>
          </cell>
        </row>
        <row r="302">
          <cell r="A302" t="str">
            <v>Cây hoàng lan chiều cao cây 90 cm ≤ H &lt; 150 cm</v>
          </cell>
          <cell r="F302">
            <v>0</v>
          </cell>
        </row>
        <row r="303">
          <cell r="A303" t="str">
            <v>Cây hoàng lan chiều cao cây 150 cm ≤ H &lt; 250 cm</v>
          </cell>
          <cell r="F303">
            <v>0</v>
          </cell>
        </row>
        <row r="304">
          <cell r="A304" t="str">
            <v>Cây hoàng lan chiều cao cây H ≥ 250 cm</v>
          </cell>
          <cell r="F304">
            <v>0</v>
          </cell>
        </row>
        <row r="305">
          <cell r="A305" t="str">
            <v>Cây Chùm ngây</v>
          </cell>
          <cell r="F305">
            <v>0</v>
          </cell>
        </row>
        <row r="306">
          <cell r="A306" t="str">
            <v>Cây Chùm ngây Cây giống mới trồng</v>
          </cell>
          <cell r="F306">
            <v>0</v>
          </cell>
        </row>
        <row r="307">
          <cell r="A307" t="str">
            <v>Cây Chùm ngây chiều cao cây H ≤ 100 cm</v>
          </cell>
          <cell r="F307">
            <v>0</v>
          </cell>
        </row>
        <row r="308">
          <cell r="A308" t="str">
            <v>Cây Chùm ngây chiều cao cây 100 &lt; H ≤ 150 cm</v>
          </cell>
          <cell r="F308">
            <v>0</v>
          </cell>
        </row>
        <row r="309">
          <cell r="A309" t="str">
            <v>Cây Chùm ngây chiều cao cây H &gt; 150 cm</v>
          </cell>
          <cell r="F309">
            <v>0</v>
          </cell>
        </row>
        <row r="310">
          <cell r="A310" t="str">
            <v>NHÓM CÂY TÍNH THEO ĐƯỜNG KÍNH THÂN, GÔC</v>
          </cell>
          <cell r="F310">
            <v>0</v>
          </cell>
        </row>
        <row r="311">
          <cell r="A311" t="str">
            <v>Cây bưởi, bòng</v>
          </cell>
          <cell r="F311">
            <v>0</v>
          </cell>
        </row>
        <row r="312">
          <cell r="A312" t="str">
            <v>Cây giống đủ tiêu chuẩn mới trồng</v>
          </cell>
          <cell r="F312">
            <v>0</v>
          </cell>
        </row>
        <row r="313">
          <cell r="A313" t="str">
            <v>Cây bưởi, bòng giống Loại cây ghép có chiều cao cây 40cm ≤ H &lt; 1m</v>
          </cell>
          <cell r="F313">
            <v>0</v>
          </cell>
        </row>
        <row r="314">
          <cell r="A314" t="str">
            <v>Cây bưởi, bòng giống Loại cây ghép có chiều cao cây H ≥ 1m</v>
          </cell>
          <cell r="F314">
            <v>0</v>
          </cell>
        </row>
        <row r="315">
          <cell r="A315" t="str">
            <v>Cây bưởi, bòng giống Loại cây chiết cành có chiều cao 40cm ≤ H &lt; 1m</v>
          </cell>
          <cell r="F315">
            <v>0</v>
          </cell>
        </row>
        <row r="316">
          <cell r="A316" t="str">
            <v>Cây bưởi, bòng giống Loại cây chiết cành có chiều cao cây H ≥ 1m</v>
          </cell>
          <cell r="F316">
            <v>0</v>
          </cell>
        </row>
        <row r="317">
          <cell r="A317" t="str">
            <v>Cây bưởi, bòng ĐK thân ≤ 5 cm</v>
          </cell>
          <cell r="F317">
            <v>0</v>
          </cell>
        </row>
        <row r="318">
          <cell r="A318" t="str">
            <v>Cây bưởi, bòng đường kính thân 5 cm &lt; ĐK thân ≤10 cm</v>
          </cell>
          <cell r="F318">
            <v>0</v>
          </cell>
        </row>
        <row r="319">
          <cell r="A319" t="str">
            <v>Cây bưởi, bòng đường kính thân 10 cm &lt; ĐK thân ≤ 15 cm</v>
          </cell>
          <cell r="F319">
            <v>0</v>
          </cell>
        </row>
        <row r="320">
          <cell r="A320" t="str">
            <v>Cây bưởi, bòng đường kính thân 15 cm &lt; ĐK thân ≤ 20 cm</v>
          </cell>
          <cell r="F320">
            <v>0</v>
          </cell>
        </row>
        <row r="321">
          <cell r="A321" t="str">
            <v>Cây bưởi, bòng đường kính thân 20 cm &lt; ĐK thân ≤25 cm</v>
          </cell>
          <cell r="F321">
            <v>0</v>
          </cell>
        </row>
        <row r="322">
          <cell r="A322" t="str">
            <v>Cây bưởi, bòng đường kính thân 25 cm &lt; ĐK thân ≤ 30 cm</v>
          </cell>
          <cell r="F322">
            <v>0</v>
          </cell>
        </row>
        <row r="323">
          <cell r="A323" t="str">
            <v>Cây bưởi, bòng đường kính thân 30 cm &lt; ĐK thân ≤ 40 cm</v>
          </cell>
          <cell r="F323">
            <v>0</v>
          </cell>
        </row>
        <row r="324">
          <cell r="A324" t="str">
            <v>Cây bưởi, bòng ĐK thân &gt; 40 cm</v>
          </cell>
          <cell r="F324">
            <v>0</v>
          </cell>
        </row>
        <row r="325">
          <cell r="A325" t="str">
            <v>Cây mít</v>
          </cell>
          <cell r="F325">
            <v>0</v>
          </cell>
        </row>
        <row r="326">
          <cell r="A326" t="str">
            <v>Cây mít giống đủ tiêu chuẩn mới trồng</v>
          </cell>
          <cell r="F326">
            <v>0</v>
          </cell>
        </row>
        <row r="327">
          <cell r="A327" t="str">
            <v>Cây mít ĐK thân ≤ 5 cm</v>
          </cell>
          <cell r="F327">
            <v>0</v>
          </cell>
        </row>
        <row r="328">
          <cell r="A328" t="str">
            <v>Cây mít đường kính thân 5 cm &lt; ĐK thân ≤ 10 cm</v>
          </cell>
          <cell r="F328">
            <v>0</v>
          </cell>
        </row>
        <row r="329">
          <cell r="A329" t="str">
            <v>Cây mít đường kính thân 10 cm &lt; ĐK thân ≤ 15 cm</v>
          </cell>
          <cell r="F329">
            <v>0</v>
          </cell>
        </row>
        <row r="330">
          <cell r="A330" t="str">
            <v>Cây mít đường kính thân 15 cm &lt; ĐK thân ≤ 20 cm</v>
          </cell>
          <cell r="F330">
            <v>0</v>
          </cell>
        </row>
        <row r="331">
          <cell r="A331" t="str">
            <v>Cây mít đường kính thân 20 cm &lt; ĐK thân ≤ 30 cm</v>
          </cell>
          <cell r="F331">
            <v>0</v>
          </cell>
        </row>
        <row r="332">
          <cell r="A332" t="str">
            <v>Cây mít đường kính thân 30 cm &lt; ĐK thân ≤ 40 cm</v>
          </cell>
          <cell r="F332">
            <v>0</v>
          </cell>
        </row>
        <row r="333">
          <cell r="A333" t="str">
            <v>Cây mít ĐK thân &gt; 40 cm</v>
          </cell>
          <cell r="F333">
            <v>0</v>
          </cell>
        </row>
        <row r="334">
          <cell r="A334" t="str">
            <v>Cây chay</v>
          </cell>
          <cell r="F334">
            <v>0</v>
          </cell>
        </row>
        <row r="335">
          <cell r="A335" t="str">
            <v>Cây chay giống đủ tiêu chuẩn mới trồng</v>
          </cell>
          <cell r="F335">
            <v>0</v>
          </cell>
        </row>
        <row r="336">
          <cell r="A336" t="str">
            <v>Cây chay ĐK thân ≤ 5 cm</v>
          </cell>
          <cell r="F336">
            <v>0</v>
          </cell>
        </row>
        <row r="337">
          <cell r="A337" t="str">
            <v>Cây chay đường kính thân 5 cm &lt; ĐK thân ≤ 10 cm</v>
          </cell>
          <cell r="F337">
            <v>0</v>
          </cell>
        </row>
        <row r="338">
          <cell r="A338" t="str">
            <v>Cây chay đường kính thân 10 cm &lt; ĐK thân ≤ 15 cm</v>
          </cell>
          <cell r="F338">
            <v>0</v>
          </cell>
        </row>
        <row r="339">
          <cell r="A339" t="str">
            <v>Cây chay đường kính thân 15 cm &lt; ĐK thân ≤ 20 cm</v>
          </cell>
          <cell r="F339">
            <v>0</v>
          </cell>
        </row>
        <row r="340">
          <cell r="A340" t="str">
            <v>Cây chay đường kính thân 20 cm &lt; ĐK thân ≤ 30 cm</v>
          </cell>
          <cell r="F340">
            <v>0</v>
          </cell>
        </row>
        <row r="341">
          <cell r="A341" t="str">
            <v>Cây chay đường kính thân 30 cm &lt; ĐK thân ≤ 40 cm</v>
          </cell>
          <cell r="F341">
            <v>0</v>
          </cell>
        </row>
        <row r="342">
          <cell r="A342" t="str">
            <v>Cây chay ĐK thân &gt; 40 cm</v>
          </cell>
          <cell r="F342">
            <v>0</v>
          </cell>
        </row>
        <row r="343">
          <cell r="A343" t="str">
            <v>Cây táo</v>
          </cell>
          <cell r="F343">
            <v>0</v>
          </cell>
        </row>
        <row r="344">
          <cell r="A344" t="str">
            <v>Cây táo giống đủ tiêu chuẩn mới trồng Loại cây ghép có chiều cao cây 40cm ≤ H &lt; 1m</v>
          </cell>
          <cell r="F344">
            <v>0</v>
          </cell>
        </row>
        <row r="345">
          <cell r="A345" t="str">
            <v>Cây táo loại cây ghép có chiều cao cây H ≥  1m</v>
          </cell>
          <cell r="F345">
            <v>0</v>
          </cell>
        </row>
        <row r="346">
          <cell r="A346" t="str">
            <v>Cây táo ĐK thân ≤ 5 cm</v>
          </cell>
          <cell r="F346">
            <v>0</v>
          </cell>
        </row>
        <row r="347">
          <cell r="A347" t="str">
            <v>Cây táo đường kính thân 5 cm &lt; ĐK thân ≤ 7 cm</v>
          </cell>
          <cell r="F347">
            <v>0</v>
          </cell>
        </row>
        <row r="348">
          <cell r="A348" t="str">
            <v>Cây táo đường kính thân 7 cm &lt; ĐK thân ≤ 11 cm</v>
          </cell>
          <cell r="F348">
            <v>0</v>
          </cell>
        </row>
        <row r="349">
          <cell r="A349" t="str">
            <v>Cây táo đường kính thân 11 cm &lt; ĐK thân ≤ 15 cm</v>
          </cell>
          <cell r="F349">
            <v>0</v>
          </cell>
        </row>
        <row r="350">
          <cell r="A350" t="str">
            <v>Cây táo đường kính thân 15 cm &lt; ĐK thân ≤ 20 cm</v>
          </cell>
          <cell r="F350">
            <v>0</v>
          </cell>
        </row>
        <row r="351">
          <cell r="A351" t="str">
            <v>Cây táo đường kính thân 20 cm &lt; ĐK thân ≤ 25 cm</v>
          </cell>
          <cell r="F351">
            <v>0</v>
          </cell>
        </row>
        <row r="352">
          <cell r="A352" t="str">
            <v>Cây táo ĐK thân &gt; 25 cm</v>
          </cell>
          <cell r="F352">
            <v>0</v>
          </cell>
        </row>
        <row r="353">
          <cell r="A353" t="str">
            <v>Cây xoài, cây quéo</v>
          </cell>
          <cell r="F353">
            <v>0</v>
          </cell>
        </row>
        <row r="354">
          <cell r="A354" t="str">
            <v>Cây xoài giống đủ tiêu chuẩn mới trồng, chiều cao cây H ≥ 40cm</v>
          </cell>
          <cell r="F354">
            <v>0</v>
          </cell>
        </row>
        <row r="355">
          <cell r="A355" t="str">
            <v>Cây xoài ĐK thân ≤ 5 cm</v>
          </cell>
          <cell r="F355">
            <v>0</v>
          </cell>
        </row>
        <row r="356">
          <cell r="A356" t="str">
            <v>Cây xoài đường kính thân 5 cm &lt; ĐK thân ≤ 10 cm</v>
          </cell>
          <cell r="F356">
            <v>0</v>
          </cell>
        </row>
        <row r="357">
          <cell r="A357" t="str">
            <v>Cây xoài đường kính thân 10 cm &lt;ĐK thân ≤ 15 cm</v>
          </cell>
          <cell r="F357">
            <v>0</v>
          </cell>
        </row>
        <row r="358">
          <cell r="A358" t="str">
            <v>Cây xoài đường kính thân 15 cm &lt; ĐK thân ≤ 20 cm</v>
          </cell>
          <cell r="F358">
            <v>0</v>
          </cell>
        </row>
        <row r="359">
          <cell r="A359" t="str">
            <v>Cây xoài đường kính thân 20 cm &lt; ĐK thân ≤ 30 cm</v>
          </cell>
          <cell r="F359">
            <v>0</v>
          </cell>
        </row>
        <row r="360">
          <cell r="A360" t="str">
            <v>Cây xoài đường kính thân 30 cm &lt; ĐK thân ≤ 40 cm</v>
          </cell>
          <cell r="F360">
            <v>0</v>
          </cell>
        </row>
        <row r="361">
          <cell r="A361" t="str">
            <v>Cây xoài ĐK thân &gt; 40 cm</v>
          </cell>
          <cell r="F361">
            <v>0</v>
          </cell>
        </row>
        <row r="362">
          <cell r="A362" t="str">
            <v>Cây vú sữa</v>
          </cell>
          <cell r="F362">
            <v>0</v>
          </cell>
        </row>
        <row r="363">
          <cell r="A363" t="str">
            <v>Cây vú sữa giống đủ tiêu chuẩn mới trồng, chiều cao cây H ≥ 40cm</v>
          </cell>
          <cell r="F363">
            <v>0</v>
          </cell>
        </row>
        <row r="364">
          <cell r="A364" t="str">
            <v>Cây vú sữa ĐK thân ≤5 cm</v>
          </cell>
          <cell r="F364">
            <v>0</v>
          </cell>
        </row>
        <row r="365">
          <cell r="A365" t="str">
            <v>Cây vú sữa đường kính thân 5 cm &lt; ĐK thân  ≤ 10 cm</v>
          </cell>
          <cell r="F365">
            <v>0</v>
          </cell>
        </row>
        <row r="366">
          <cell r="A366" t="str">
            <v>Cây vú sữa đường kính thân 10 cm &lt; ĐK thân  ≤ 15 cm</v>
          </cell>
          <cell r="F366">
            <v>0</v>
          </cell>
        </row>
        <row r="367">
          <cell r="A367" t="str">
            <v>Cây vú sữa đường kính thân 15 cm &lt; ĐK thân  ≤ 20 cm</v>
          </cell>
          <cell r="F367">
            <v>0</v>
          </cell>
        </row>
        <row r="368">
          <cell r="A368" t="str">
            <v>Cây vú sữa đường kính thân 20 cm &lt; ĐK thân  ≤ 30 cm</v>
          </cell>
          <cell r="F368">
            <v>0</v>
          </cell>
        </row>
        <row r="369">
          <cell r="A369" t="str">
            <v>Cây vú sữa ĐK thân &gt; 30 cm</v>
          </cell>
          <cell r="F369">
            <v>0</v>
          </cell>
        </row>
        <row r="370">
          <cell r="A370" t="str">
            <v>Cây vú sữa hoàng kim</v>
          </cell>
          <cell r="F370">
            <v>0</v>
          </cell>
        </row>
        <row r="371">
          <cell r="A371" t="str">
            <v>Cây vú sữa hoàng kim ĐK thân  ≤ 5 cm</v>
          </cell>
          <cell r="F371">
            <v>0</v>
          </cell>
        </row>
        <row r="372">
          <cell r="A372" t="str">
            <v>Cây vú sữa hoàng kim đường kính thân 5 cm &lt; ĐK thân  ≤ 10 cm</v>
          </cell>
          <cell r="F372">
            <v>0</v>
          </cell>
        </row>
        <row r="373">
          <cell r="A373" t="str">
            <v>Cây vú sữa hoàng kim đường kính thân 10 cm &lt; ĐK thân  ≤ 15 cm</v>
          </cell>
          <cell r="F373">
            <v>0</v>
          </cell>
        </row>
        <row r="374">
          <cell r="A374" t="str">
            <v>Cây vú sữa hoàng kim đường kính thân 15 cm &lt; ĐK thân  ≤ 20 cm</v>
          </cell>
          <cell r="F374">
            <v>0</v>
          </cell>
        </row>
        <row r="375">
          <cell r="A375" t="str">
            <v>Cây vú sữa hoàng kim đường kính thân 20 cm &lt; ĐK thân  ≤ 30 cm</v>
          </cell>
          <cell r="F375">
            <v>0</v>
          </cell>
        </row>
        <row r="376">
          <cell r="A376" t="str">
            <v>Cây vú sữa hoàng kim ĐK thân &gt;30 cm</v>
          </cell>
          <cell r="F376">
            <v>0</v>
          </cell>
        </row>
        <row r="377">
          <cell r="A377" t="str">
            <v>Cây na (na dai, na bở)</v>
          </cell>
          <cell r="F377">
            <v>0</v>
          </cell>
        </row>
        <row r="378">
          <cell r="A378" t="str">
            <v>Cây na giống đủ tiêu chuẩn mới trồng, chiều cao cây H ≥ 40cm</v>
          </cell>
          <cell r="F378">
            <v>0</v>
          </cell>
        </row>
        <row r="379">
          <cell r="A379" t="str">
            <v>Cây na ĐK thân ≤ 3 cm</v>
          </cell>
          <cell r="F379">
            <v>0</v>
          </cell>
        </row>
        <row r="380">
          <cell r="A380" t="str">
            <v>Cây na đường kính thân 3 cm &lt; ĐK thân ≤ 5 cm</v>
          </cell>
          <cell r="F380">
            <v>0</v>
          </cell>
        </row>
        <row r="381">
          <cell r="A381" t="str">
            <v>Cây na đường kính thân 5 cm &lt; ĐK thân ≤ 7 cm</v>
          </cell>
          <cell r="F381">
            <v>0</v>
          </cell>
        </row>
        <row r="382">
          <cell r="A382" t="str">
            <v>Cây na đường kính thân 7 cm &lt; ĐK thân ≤ 10 cm</v>
          </cell>
          <cell r="F382">
            <v>0</v>
          </cell>
        </row>
        <row r="383">
          <cell r="A383" t="str">
            <v>Cây na ĐK thân &gt; 10 cm</v>
          </cell>
          <cell r="F383">
            <v>0</v>
          </cell>
        </row>
        <row r="384">
          <cell r="A384" t="str">
            <v>Cây khế</v>
          </cell>
          <cell r="F384">
            <v>0</v>
          </cell>
        </row>
        <row r="385">
          <cell r="A385" t="str">
            <v>Cây khế giống Loại cây ghép có chiều cao cây 40cm ≤ H &lt; 1m</v>
          </cell>
          <cell r="F385">
            <v>0</v>
          </cell>
        </row>
        <row r="386">
          <cell r="A386" t="str">
            <v>Cây khế giống Loại cây ghép có chiều cao cây H ≥ 1m</v>
          </cell>
          <cell r="F386">
            <v>0</v>
          </cell>
        </row>
        <row r="387">
          <cell r="A387" t="str">
            <v>Cây khế ĐK thân ≤ 5 cm</v>
          </cell>
          <cell r="F387">
            <v>0</v>
          </cell>
        </row>
        <row r="388">
          <cell r="A388" t="str">
            <v>Cây khế đường kính thân 5 cm &lt; ĐK thân ≤ 10 cm</v>
          </cell>
          <cell r="F388">
            <v>0</v>
          </cell>
        </row>
        <row r="389">
          <cell r="A389" t="str">
            <v>Cây khế đường kính thân 10 cm &lt; ĐK thân ≤ 15 cm</v>
          </cell>
          <cell r="F389">
            <v>0</v>
          </cell>
        </row>
        <row r="390">
          <cell r="A390" t="str">
            <v>Cây khế đường kính thân 15 cm &lt; ĐK thân ≤ 20 cm</v>
          </cell>
          <cell r="F390">
            <v>0</v>
          </cell>
        </row>
        <row r="391">
          <cell r="A391" t="str">
            <v>Cây khế đường kính thân 20 cm &lt; ĐK thân ≤ 25 cm</v>
          </cell>
          <cell r="F391">
            <v>0</v>
          </cell>
        </row>
        <row r="392">
          <cell r="A392" t="str">
            <v>Cây khế ĐK thân &gt; 25 cm</v>
          </cell>
          <cell r="F392">
            <v>0</v>
          </cell>
        </row>
        <row r="393">
          <cell r="A393" t="str">
            <v>Cây ổi</v>
          </cell>
          <cell r="F393">
            <v>0</v>
          </cell>
        </row>
        <row r="394">
          <cell r="A394" t="str">
            <v>Cây ổi giống Loại cây ghép có chiều cao cây 40cm ≤ H &lt; 1m</v>
          </cell>
          <cell r="F394">
            <v>0</v>
          </cell>
        </row>
        <row r="395">
          <cell r="A395" t="str">
            <v>Cây ổi giống Loại cây ghép có chiều cao cây H ≥ 1m</v>
          </cell>
          <cell r="F395">
            <v>0</v>
          </cell>
        </row>
        <row r="396">
          <cell r="A396" t="str">
            <v>Cây ổi giống Loại cây chiết có chiều cao cây 40cm ≤ H &lt; 1 m</v>
          </cell>
          <cell r="F396">
            <v>0</v>
          </cell>
        </row>
        <row r="397">
          <cell r="A397" t="str">
            <v>Cây ổi ĐK thân ≤ 5 cm</v>
          </cell>
          <cell r="F397">
            <v>0</v>
          </cell>
        </row>
        <row r="398">
          <cell r="A398" t="str">
            <v>Cây ổi đường kính thân 5 cm &lt; ĐK thân ≤ 10 cm</v>
          </cell>
          <cell r="F398">
            <v>0</v>
          </cell>
        </row>
        <row r="399">
          <cell r="A399" t="str">
            <v>Cây ổi đường kính thân 10 cm &lt; ĐK thân ≤ 15 cm</v>
          </cell>
          <cell r="F399">
            <v>0</v>
          </cell>
        </row>
        <row r="400">
          <cell r="A400" t="str">
            <v>Cây ổi đường kính thân 15 cm &lt; ĐK thân ≤ 20 cm</v>
          </cell>
          <cell r="F400">
            <v>0</v>
          </cell>
        </row>
        <row r="401">
          <cell r="A401" t="str">
            <v>Cây ổi ĐK thân &gt; 20 cm</v>
          </cell>
          <cell r="F401">
            <v>0</v>
          </cell>
        </row>
        <row r="402">
          <cell r="A402" t="str">
            <v>Cây nhãn</v>
          </cell>
          <cell r="F402">
            <v>0</v>
          </cell>
        </row>
        <row r="403">
          <cell r="A403" t="str">
            <v>Cây nhãn giống Loại cây ghép có chiều cao cây 40cm ≤ H &lt; 1m</v>
          </cell>
          <cell r="F403">
            <v>0</v>
          </cell>
        </row>
        <row r="404">
          <cell r="A404" t="str">
            <v>Cây nhãn giống Loại cây ghép có chiều cao cây H ≥ 1m</v>
          </cell>
          <cell r="F404">
            <v>0</v>
          </cell>
        </row>
        <row r="405">
          <cell r="A405" t="str">
            <v>Cây nhãn giống Loại cây chiết cành có chiều cao 40cm  ≤ H &lt; 1m</v>
          </cell>
          <cell r="F405">
            <v>0</v>
          </cell>
        </row>
        <row r="406">
          <cell r="A406" t="str">
            <v>Cây nhãn giống Loại cây chiết cành có chiều cao cây H ≥ 1m</v>
          </cell>
          <cell r="F406">
            <v>0</v>
          </cell>
        </row>
        <row r="407">
          <cell r="A407" t="str">
            <v>Cây nhãn ĐK thân ≤ 5 cm</v>
          </cell>
          <cell r="F407">
            <v>0</v>
          </cell>
        </row>
        <row r="408">
          <cell r="A408" t="str">
            <v>Cây nhãn đường kính thân 5 cm &lt; ĐK thân ≤ 10cm</v>
          </cell>
          <cell r="F408">
            <v>0</v>
          </cell>
        </row>
        <row r="409">
          <cell r="A409" t="str">
            <v>Cây nhãn đường kính thân 10 cm &lt; ĐK thân ≤ 15 cm</v>
          </cell>
          <cell r="F409">
            <v>0</v>
          </cell>
        </row>
        <row r="410">
          <cell r="A410" t="str">
            <v>Cây nhãn đường kính thân 15 cm &lt; ĐK thân ≤ 20 cm</v>
          </cell>
          <cell r="F410">
            <v>0</v>
          </cell>
        </row>
        <row r="411">
          <cell r="A411" t="str">
            <v>Cây nhãn đường kính thân 20 cm &lt; ĐK thân ≤ 25 cm</v>
          </cell>
          <cell r="F411">
            <v>0</v>
          </cell>
        </row>
        <row r="412">
          <cell r="A412" t="str">
            <v>Cây nhãn đường kính thân 25 cm &lt; ĐK thân ≤ 30 cm</v>
          </cell>
          <cell r="F412">
            <v>0</v>
          </cell>
        </row>
        <row r="413">
          <cell r="A413" t="str">
            <v>Cây nhãn đường kính thân 30 cm &lt; ĐK thân ≤ 40 cm</v>
          </cell>
          <cell r="F413">
            <v>0</v>
          </cell>
        </row>
        <row r="414">
          <cell r="A414" t="str">
            <v>Cây nhãn ĐK thân &gt; 40 cm</v>
          </cell>
          <cell r="F414">
            <v>0</v>
          </cell>
        </row>
        <row r="415">
          <cell r="A415" t="str">
            <v>Cây vải</v>
          </cell>
          <cell r="F415">
            <v>0</v>
          </cell>
        </row>
        <row r="416">
          <cell r="A416" t="str">
            <v>Cây vải giống Loại cây ghép có chiều cao cây 40cm ≤ H &lt; 1m</v>
          </cell>
          <cell r="F416">
            <v>0</v>
          </cell>
        </row>
        <row r="417">
          <cell r="A417" t="str">
            <v>Cây vải giống Loại cây ghép có chiều cao cây H ≥ 1m</v>
          </cell>
          <cell r="F417">
            <v>0</v>
          </cell>
        </row>
        <row r="418">
          <cell r="A418" t="str">
            <v>Cây vải giống Loại cây chiết cành có chiều cao 40cm  ≤ H &lt; 1m</v>
          </cell>
          <cell r="F418">
            <v>0</v>
          </cell>
        </row>
        <row r="419">
          <cell r="A419" t="str">
            <v>Cây vải giống Loại cây chiết cành có chiều cao cây H ≥ 1m</v>
          </cell>
          <cell r="F419">
            <v>0</v>
          </cell>
        </row>
        <row r="420">
          <cell r="A420" t="str">
            <v>Cây vải ĐK thân ≤ 5 cm</v>
          </cell>
          <cell r="F420">
            <v>0</v>
          </cell>
        </row>
        <row r="421">
          <cell r="A421" t="str">
            <v>Cây vải đường kính thân 5 cm &lt; ĐK thân ≤ 10cm</v>
          </cell>
          <cell r="F421">
            <v>0</v>
          </cell>
        </row>
        <row r="422">
          <cell r="A422" t="str">
            <v>Cây vải đường kính thân 10 cm &lt; ĐK thân ≤ 15 cm</v>
          </cell>
          <cell r="F422">
            <v>0</v>
          </cell>
        </row>
        <row r="423">
          <cell r="A423" t="str">
            <v>Cây vải đường kính thân 15 cm &lt; ĐK thân ≤ 20 cm</v>
          </cell>
          <cell r="F423">
            <v>0</v>
          </cell>
        </row>
        <row r="424">
          <cell r="A424" t="str">
            <v>Cây vải đường kính thân 20 cm &lt; ĐK thân ≤ 25 cm</v>
          </cell>
          <cell r="F424">
            <v>0</v>
          </cell>
        </row>
        <row r="425">
          <cell r="A425" t="str">
            <v>Cây vải đường kính thân 25 cm &lt; ĐK thân ≤ 30 cm</v>
          </cell>
          <cell r="F425">
            <v>0</v>
          </cell>
        </row>
        <row r="426">
          <cell r="A426" t="str">
            <v>Cây vải đường kính thân 30 cm &lt; ĐK thân ≤ 40 cm</v>
          </cell>
          <cell r="F426">
            <v>0</v>
          </cell>
        </row>
        <row r="427">
          <cell r="A427" t="str">
            <v>Cây vải ĐK thân &gt; 40 cm</v>
          </cell>
          <cell r="F427">
            <v>0</v>
          </cell>
        </row>
        <row r="428">
          <cell r="A428" t="str">
            <v>Cây đu đủ</v>
          </cell>
          <cell r="F428">
            <v>0</v>
          </cell>
        </row>
        <row r="429">
          <cell r="A429" t="str">
            <v>Cây đu đủ giống đủ tiêu chuẩn mới trồng, chiều cao cây H ≥ 40cm</v>
          </cell>
          <cell r="F429">
            <v>0</v>
          </cell>
        </row>
        <row r="430">
          <cell r="A430" t="str">
            <v>Cây đu đủ ĐK thân ≤ 3 cm</v>
          </cell>
          <cell r="F430">
            <v>0</v>
          </cell>
        </row>
        <row r="431">
          <cell r="A431" t="str">
            <v>Cây đu đủ đường kính thân 3 cm &lt; ĐK thân ≤ 7 cm</v>
          </cell>
          <cell r="F431">
            <v>0</v>
          </cell>
        </row>
        <row r="432">
          <cell r="A432" t="str">
            <v>Cây đu đủ đường kính thân 7 cm &lt; ĐK thân ≤ 10 cm</v>
          </cell>
          <cell r="F432">
            <v>0</v>
          </cell>
        </row>
        <row r="433">
          <cell r="A433" t="str">
            <v>Cây đu đủ đường kính thân ĐK thân &gt; 10 cm</v>
          </cell>
          <cell r="F433">
            <v>0</v>
          </cell>
        </row>
        <row r="434">
          <cell r="A434" t="str">
            <v>Cây trứng gà</v>
          </cell>
          <cell r="F434">
            <v>0</v>
          </cell>
        </row>
        <row r="435">
          <cell r="A435" t="str">
            <v>Cây trứng gà giống đủ tiêu chuẩn mới trồng, chiều cao cây H  ≥ 40cm</v>
          </cell>
          <cell r="F435">
            <v>0</v>
          </cell>
        </row>
        <row r="436">
          <cell r="A436" t="str">
            <v>Cây trứng gà ĐK thân ≤5 cm</v>
          </cell>
          <cell r="F436">
            <v>0</v>
          </cell>
        </row>
        <row r="437">
          <cell r="A437" t="str">
            <v>Cây trứng gà đường kính thân 5 cm &lt; ĐK thân ≤ 10 cm</v>
          </cell>
          <cell r="F437">
            <v>0</v>
          </cell>
        </row>
        <row r="438">
          <cell r="A438" t="str">
            <v>Cây trứng gà đường kính thân 10 cm &lt; ĐK thân ≤ 15 cm</v>
          </cell>
          <cell r="F438">
            <v>0</v>
          </cell>
        </row>
        <row r="439">
          <cell r="A439" t="str">
            <v>Cây trứng gà đường kính thân 15 cm &lt; ĐK thân ≤ 20 cm</v>
          </cell>
          <cell r="F439">
            <v>0</v>
          </cell>
        </row>
        <row r="440">
          <cell r="A440" t="str">
            <v>Cây trứng gà đường kính thân 20 cm &lt; ĐK thân ≤ 25 cm</v>
          </cell>
          <cell r="F440">
            <v>0</v>
          </cell>
        </row>
        <row r="441">
          <cell r="A441" t="str">
            <v>Cây trứng gà ĐK thân &gt; 25 cm</v>
          </cell>
          <cell r="F441">
            <v>0</v>
          </cell>
        </row>
        <row r="442">
          <cell r="A442" t="str">
            <v>Cây dừa</v>
          </cell>
          <cell r="F442">
            <v>0</v>
          </cell>
        </row>
        <row r="443">
          <cell r="A443" t="str">
            <v>Cây dừa giống đủ tiêu chuẩn mới trồng</v>
          </cell>
          <cell r="F443">
            <v>0</v>
          </cell>
        </row>
        <row r="444">
          <cell r="A444" t="str">
            <v>Cây dừa ĐK thân ≤ 10 cm</v>
          </cell>
          <cell r="F444">
            <v>0</v>
          </cell>
        </row>
        <row r="445">
          <cell r="A445" t="str">
            <v>Cây dừa đường kính thân 10 cm &lt; ĐK thân ≤ 15 cm</v>
          </cell>
          <cell r="F445">
            <v>0</v>
          </cell>
        </row>
        <row r="446">
          <cell r="A446" t="str">
            <v>Cây dừa đường kính thân 15 cm &lt; ĐK thân ≤ 25 cm</v>
          </cell>
          <cell r="F446">
            <v>0</v>
          </cell>
        </row>
        <row r="447">
          <cell r="A447" t="str">
            <v>Cây dừa đường kính thân 25 cm &lt; ĐK thân ≤ 40 cm</v>
          </cell>
          <cell r="F447">
            <v>0</v>
          </cell>
        </row>
        <row r="448">
          <cell r="A448" t="str">
            <v>Cây dừa đường kính thân 40 cm &lt; ĐK thân ≤ 55 cm</v>
          </cell>
          <cell r="F448">
            <v>0</v>
          </cell>
        </row>
        <row r="449">
          <cell r="A449" t="str">
            <v>Cây dừa ĐK thân &gt; 55 cm</v>
          </cell>
          <cell r="F449">
            <v>0</v>
          </cell>
        </row>
        <row r="450">
          <cell r="A450" t="str">
            <v>Cây me</v>
          </cell>
          <cell r="F450">
            <v>0</v>
          </cell>
        </row>
        <row r="451">
          <cell r="A451" t="str">
            <v>Cây me giống đủ tiêu chuẩn mới trồng, chiều cao cây H  ≥ 40cm</v>
          </cell>
          <cell r="F451">
            <v>0</v>
          </cell>
        </row>
        <row r="452">
          <cell r="A452" t="str">
            <v>Cây me ĐK thân ≤ 5 cm</v>
          </cell>
          <cell r="F452">
            <v>0</v>
          </cell>
        </row>
        <row r="453">
          <cell r="A453" t="str">
            <v>Cây me đường kính thân 5 cm &lt; ĐK thân ≤ 10 cm</v>
          </cell>
          <cell r="F453">
            <v>0</v>
          </cell>
        </row>
        <row r="454">
          <cell r="A454" t="str">
            <v>Cây me đường kính thân 10 cm &lt; ĐK thân ≤ 20 cm</v>
          </cell>
          <cell r="F454">
            <v>0</v>
          </cell>
        </row>
        <row r="455">
          <cell r="A455" t="str">
            <v>Cây me đường kính thân 20 cm &lt; ĐK thân ≤ 30 cm</v>
          </cell>
          <cell r="F455">
            <v>0</v>
          </cell>
        </row>
        <row r="456">
          <cell r="A456" t="str">
            <v>Cây me ĐK thân &gt; 30 cm</v>
          </cell>
          <cell r="F456">
            <v>0</v>
          </cell>
        </row>
        <row r="457">
          <cell r="A457" t="str">
            <v>Cây sấu</v>
          </cell>
          <cell r="F457">
            <v>0</v>
          </cell>
        </row>
        <row r="458">
          <cell r="A458" t="str">
            <v>Cây sấu Giống đủ tiêu chuẩn mới trồng, chiều cao cây H ≥ 40cm</v>
          </cell>
          <cell r="F458">
            <v>0</v>
          </cell>
        </row>
        <row r="459">
          <cell r="A459" t="str">
            <v>Cây sấu ĐK thân ≤5 cm</v>
          </cell>
          <cell r="F459">
            <v>0</v>
          </cell>
        </row>
        <row r="460">
          <cell r="A460" t="str">
            <v>Cây sấu đường kính thân 5 cm &lt; ĐK thân ≤ 10 cm</v>
          </cell>
          <cell r="F460">
            <v>0</v>
          </cell>
        </row>
        <row r="461">
          <cell r="A461" t="str">
            <v>Cây sấu đường kính thân 10 cm &lt; ĐK thân ≤ 15 cm</v>
          </cell>
          <cell r="F461">
            <v>0</v>
          </cell>
        </row>
        <row r="462">
          <cell r="A462" t="str">
            <v>Cây sấu đường kính thân 15 cm &lt; ĐK thân ≤ 20 cm</v>
          </cell>
          <cell r="F462">
            <v>0</v>
          </cell>
        </row>
        <row r="463">
          <cell r="A463" t="str">
            <v>Cây sấu đường kính thân 20 cm &lt; ĐK thân ≤ 30 cm</v>
          </cell>
          <cell r="F463">
            <v>0</v>
          </cell>
        </row>
        <row r="464">
          <cell r="A464" t="str">
            <v>Cây sấu đường kính thân 30 cm &lt; ĐK thân ≤ 40 cm</v>
          </cell>
          <cell r="F464">
            <v>0</v>
          </cell>
        </row>
        <row r="465">
          <cell r="A465" t="str">
            <v>Cây sấu ĐK thân &gt; 40 cm</v>
          </cell>
          <cell r="F465">
            <v>0</v>
          </cell>
        </row>
        <row r="466">
          <cell r="A466" t="str">
            <v>Cây vối</v>
          </cell>
          <cell r="F466">
            <v>0</v>
          </cell>
        </row>
        <row r="467">
          <cell r="A467" t="str">
            <v>Cây vối Giống đủ tiêu chuẩn mới trồng, chiều cao cây H &gt; 40cm</v>
          </cell>
          <cell r="F467">
            <v>0</v>
          </cell>
        </row>
        <row r="468">
          <cell r="A468" t="str">
            <v>Cây vối ĐK thân ≤5 cm</v>
          </cell>
          <cell r="F468">
            <v>0</v>
          </cell>
        </row>
        <row r="469">
          <cell r="A469" t="str">
            <v>Cây vối đường kính thân 5 cm &lt; ĐK thân ≤10 cm</v>
          </cell>
          <cell r="F469">
            <v>0</v>
          </cell>
        </row>
        <row r="470">
          <cell r="A470" t="str">
            <v>Cây vối đường kính thân 10 cm &lt; ĐK thân ≤15 cm</v>
          </cell>
          <cell r="F470">
            <v>0</v>
          </cell>
        </row>
        <row r="471">
          <cell r="A471" t="str">
            <v>Cây vối đường kính thân 15 cm &lt; ĐK thân ≤25 cm</v>
          </cell>
          <cell r="F471">
            <v>0</v>
          </cell>
        </row>
        <row r="472">
          <cell r="A472" t="str">
            <v>Cây vối ĐK thân &gt; 25 cm</v>
          </cell>
          <cell r="F472">
            <v>0</v>
          </cell>
        </row>
        <row r="473">
          <cell r="A473" t="str">
            <v>Cây bơ</v>
          </cell>
          <cell r="F473">
            <v>0</v>
          </cell>
        </row>
        <row r="474">
          <cell r="A474" t="str">
            <v>Cây bơ mới trồng &lt; 01 năm (cây từ hạt)</v>
          </cell>
          <cell r="F474">
            <v>0</v>
          </cell>
        </row>
        <row r="475">
          <cell r="A475" t="str">
            <v>Cây bơ mới trồng &lt; 01 năm (cây ghép)</v>
          </cell>
          <cell r="F475">
            <v>0</v>
          </cell>
        </row>
        <row r="476">
          <cell r="A476" t="str">
            <v>Cây bơ ĐK thân ≤5 cm</v>
          </cell>
          <cell r="F476">
            <v>0</v>
          </cell>
        </row>
        <row r="477">
          <cell r="A477" t="str">
            <v>Cây bơ đường kính thân 5 cm &lt; ĐK thân ≤10 cm</v>
          </cell>
          <cell r="F477">
            <v>0</v>
          </cell>
        </row>
        <row r="478">
          <cell r="A478" t="str">
            <v>Cây bơ đường kính thân 10 cm &lt; ĐK thân ≤15 cm</v>
          </cell>
          <cell r="F478">
            <v>0</v>
          </cell>
        </row>
        <row r="479">
          <cell r="A479" t="str">
            <v>Cây bơ ĐK thân &gt; 15 cm</v>
          </cell>
          <cell r="F479">
            <v>0</v>
          </cell>
        </row>
        <row r="480">
          <cell r="A480" t="str">
            <v>Cây cóc</v>
          </cell>
          <cell r="F480">
            <v>0</v>
          </cell>
        </row>
        <row r="481">
          <cell r="A481" t="str">
            <v>Cây cóc ĐK thân ≤5 cm</v>
          </cell>
          <cell r="F481">
            <v>0</v>
          </cell>
        </row>
        <row r="482">
          <cell r="A482" t="str">
            <v>Cây cóc đường kính thân 5 cm &lt; ĐK thân ≤10 cm</v>
          </cell>
          <cell r="F482">
            <v>0</v>
          </cell>
        </row>
        <row r="483">
          <cell r="A483" t="str">
            <v>Cây cóc đường kính thân 10 cm &lt; ĐK thân ≤15 cm</v>
          </cell>
          <cell r="F483">
            <v>0</v>
          </cell>
        </row>
        <row r="484">
          <cell r="A484" t="str">
            <v>Cây cóc đường kính thân 15 cm &lt; ĐK thân ≤20 cm</v>
          </cell>
          <cell r="F484">
            <v>0</v>
          </cell>
        </row>
        <row r="485">
          <cell r="A485" t="str">
            <v>Cây cóc đường kính thân 20 cm &lt; ĐK thân ≤30 cm</v>
          </cell>
          <cell r="F485">
            <v>0</v>
          </cell>
        </row>
        <row r="486">
          <cell r="A486" t="str">
            <v>Cây cóc đường kính thân 30 cm &lt; ĐK thân ≤40 cm</v>
          </cell>
          <cell r="F486">
            <v>0</v>
          </cell>
        </row>
        <row r="487">
          <cell r="A487" t="str">
            <v>Cây cóc ĐK thân &gt; 40 cm</v>
          </cell>
          <cell r="F487">
            <v>0</v>
          </cell>
        </row>
        <row r="488">
          <cell r="A488" t="str">
            <v>Cây quất hồng bì</v>
          </cell>
          <cell r="F488">
            <v>0</v>
          </cell>
        </row>
        <row r="489">
          <cell r="A489" t="str">
            <v>Cây quất hồng bì ĐK thân ≤5 cm</v>
          </cell>
          <cell r="F489">
            <v>0</v>
          </cell>
        </row>
        <row r="490">
          <cell r="A490" t="str">
            <v>Cây quất hồng bì đường kính thân 5 cm &lt; ĐK thân ≤10 cm</v>
          </cell>
          <cell r="F490">
            <v>0</v>
          </cell>
        </row>
        <row r="491">
          <cell r="A491" t="str">
            <v>Cây quất hồng bì đường kính thân 10 cm &lt; ĐK thân ≤15 cm</v>
          </cell>
          <cell r="F491">
            <v>0</v>
          </cell>
        </row>
        <row r="492">
          <cell r="A492" t="str">
            <v>Cây quất hồng bì đường kính thân 15 cm &lt; ĐK thân ≤20 cm</v>
          </cell>
          <cell r="F492">
            <v>0</v>
          </cell>
        </row>
        <row r="493">
          <cell r="A493" t="str">
            <v>Cây quất hồng bì đường kính thân 20 cm &lt; ĐK thân ≤30 cm</v>
          </cell>
          <cell r="F493">
            <v>0</v>
          </cell>
        </row>
        <row r="494">
          <cell r="A494" t="str">
            <v>Cây quất hồng bì đường kính thân 30 cm &lt; ĐK thân ≤40 cm</v>
          </cell>
          <cell r="F494">
            <v>0</v>
          </cell>
        </row>
        <row r="495">
          <cell r="A495" t="str">
            <v>Cây quất hồng bì ĐK thân &gt; 40 cm</v>
          </cell>
          <cell r="F495">
            <v>0</v>
          </cell>
        </row>
        <row r="496">
          <cell r="A496" t="str">
            <v>Cây sung quả</v>
          </cell>
          <cell r="F496">
            <v>0</v>
          </cell>
        </row>
        <row r="497">
          <cell r="A497" t="str">
            <v>Cây sung quả Giống đủ tiêu chuẩn mới trồng, chiều cao cây H ≥ 40cm</v>
          </cell>
          <cell r="F497">
            <v>0</v>
          </cell>
        </row>
        <row r="498">
          <cell r="A498" t="str">
            <v>Cây sung quả ĐK thân ≤5 cm</v>
          </cell>
          <cell r="F498">
            <v>0</v>
          </cell>
        </row>
        <row r="499">
          <cell r="A499" t="str">
            <v>Cây sung quả đường kính thân 5 cm &lt; ĐK thân ≤10 cm</v>
          </cell>
          <cell r="F499">
            <v>0</v>
          </cell>
        </row>
        <row r="500">
          <cell r="A500" t="str">
            <v>Cây sung quả đường kính thân 10 cm &lt; ĐK thân ≤15 cm</v>
          </cell>
          <cell r="F500">
            <v>0</v>
          </cell>
        </row>
        <row r="501">
          <cell r="A501" t="str">
            <v>Cây sung quả đường kính thân 15 cm &lt; ĐK thân ≤25 cm</v>
          </cell>
          <cell r="F501">
            <v>0</v>
          </cell>
        </row>
        <row r="502">
          <cell r="A502" t="str">
            <v>Cây sung quả đường kính thân 25 cm &lt; ĐK thân ≤40 cm</v>
          </cell>
          <cell r="F502">
            <v>0</v>
          </cell>
        </row>
        <row r="503">
          <cell r="A503" t="str">
            <v>Cây sung quả ĐK thân &gt; 40 cm</v>
          </cell>
          <cell r="F503">
            <v>0</v>
          </cell>
        </row>
        <row r="504">
          <cell r="A504" t="str">
            <v>Cây thị</v>
          </cell>
          <cell r="F504">
            <v>0</v>
          </cell>
        </row>
        <row r="505">
          <cell r="A505" t="str">
            <v>Cây thị ĐK thân ≤5 cm</v>
          </cell>
          <cell r="F505">
            <v>0</v>
          </cell>
        </row>
        <row r="506">
          <cell r="A506" t="str">
            <v>Cây thị đường kính thân 5 cm &lt; ĐK thân ≤10 cm</v>
          </cell>
          <cell r="F506">
            <v>0</v>
          </cell>
        </row>
        <row r="507">
          <cell r="A507" t="str">
            <v>Cây thị đường kính thân 10 cm &lt; ĐK thân ≤15 cm</v>
          </cell>
          <cell r="F507">
            <v>0</v>
          </cell>
        </row>
        <row r="508">
          <cell r="A508" t="str">
            <v>Cây thị đường kính thân 15 cm &lt; ĐK thân ≤25 cm</v>
          </cell>
          <cell r="F508">
            <v>0</v>
          </cell>
        </row>
        <row r="509">
          <cell r="A509" t="str">
            <v>Cây thị đường kính thân 25 cm &lt; ĐK thân ≤35 cm</v>
          </cell>
          <cell r="F509">
            <v>0</v>
          </cell>
        </row>
        <row r="510">
          <cell r="A510" t="str">
            <v>Cây thị đường kính thân 35 cm &lt; ĐK thân ≤50 cm</v>
          </cell>
          <cell r="F510">
            <v>0</v>
          </cell>
        </row>
        <row r="511">
          <cell r="A511" t="str">
            <v>Cây thị ĐK thân &gt; 50 cm</v>
          </cell>
          <cell r="F511">
            <v>0</v>
          </cell>
        </row>
        <row r="512">
          <cell r="A512" t="str">
            <v>Cây dâu da xoan</v>
          </cell>
          <cell r="F512">
            <v>0</v>
          </cell>
        </row>
        <row r="513">
          <cell r="A513" t="str">
            <v>Cây dâu da xoan giống đủ tiêu chuẩn mới trồng, chiều cao cây H ≥ 40cm</v>
          </cell>
          <cell r="F513">
            <v>0</v>
          </cell>
        </row>
        <row r="514">
          <cell r="A514" t="str">
            <v>Cây dâu da xoan ĐK thân ≤5 cm</v>
          </cell>
          <cell r="F514">
            <v>0</v>
          </cell>
        </row>
        <row r="515">
          <cell r="A515" t="str">
            <v>Cây dâu da xoan đường kính thân 5 cm &lt; ĐK thân ≤10 cm</v>
          </cell>
          <cell r="F515">
            <v>0</v>
          </cell>
        </row>
        <row r="516">
          <cell r="A516" t="str">
            <v>Cây dâu da xoan đường kính thân 10 cm &lt; ĐK thân ≤15 cm</v>
          </cell>
          <cell r="F516">
            <v>0</v>
          </cell>
        </row>
        <row r="517">
          <cell r="A517" t="str">
            <v>Cây dâu da xoan đường kính thân 15 cm &lt; ĐK thân ≤25 cm</v>
          </cell>
          <cell r="F517">
            <v>0</v>
          </cell>
        </row>
        <row r="518">
          <cell r="A518" t="str">
            <v>Cây dâu da xoan đường kính thân 25 cm &lt; ĐK thân ≤40 cm</v>
          </cell>
          <cell r="F518">
            <v>0</v>
          </cell>
        </row>
        <row r="519">
          <cell r="A519" t="str">
            <v>Cây dâu da xoan đường kính thân 40 cm &lt; ĐK thân ≤60 cm</v>
          </cell>
          <cell r="F519">
            <v>0</v>
          </cell>
        </row>
        <row r="520">
          <cell r="A520" t="str">
            <v>Cây dâu da xoan ĐK thân &gt; 60 cm</v>
          </cell>
          <cell r="F520">
            <v>0</v>
          </cell>
        </row>
        <row r="521">
          <cell r="A521" t="str">
            <v>Cây dâu tằm lấy quả</v>
          </cell>
          <cell r="F521">
            <v>0</v>
          </cell>
        </row>
        <row r="522">
          <cell r="A522" t="str">
            <v>Cây dâu tằm lấy quả Cây giống đủ tiêu chuẩn mới trồng</v>
          </cell>
          <cell r="F522">
            <v>0</v>
          </cell>
        </row>
        <row r="523">
          <cell r="A523" t="str">
            <v>Cây dâu tằm lấy quả ĐK thân &lt; 2 cm</v>
          </cell>
          <cell r="F523">
            <v>0</v>
          </cell>
        </row>
        <row r="524">
          <cell r="A524" t="str">
            <v>Cây dâu tằm lấy quả đường kính thân 2 cm ≤  ĐK thân &lt;4 cm</v>
          </cell>
          <cell r="F524">
            <v>0</v>
          </cell>
        </row>
        <row r="525">
          <cell r="A525" t="str">
            <v>Cây dâu tằm lấy quả đường kính thân 4 cm ≤ ĐK thân &lt;6 cm</v>
          </cell>
          <cell r="F525">
            <v>0</v>
          </cell>
        </row>
        <row r="526">
          <cell r="A526" t="str">
            <v>Cây dâu tằm lấy quả đường kính thân 6 cm ≤ ĐK thân ≤10 cm</v>
          </cell>
          <cell r="F526">
            <v>0</v>
          </cell>
        </row>
        <row r="527">
          <cell r="A527" t="str">
            <v>Cây dâu tằm lấy quả ĐK thân &gt; 10 cm</v>
          </cell>
          <cell r="F527">
            <v>0</v>
          </cell>
        </row>
        <row r="528">
          <cell r="A528" t="str">
            <v>Cây Hoa hồng trồng cắt cành</v>
          </cell>
          <cell r="F528">
            <v>0</v>
          </cell>
        </row>
        <row r="529">
          <cell r="A529" t="str">
            <v>Cây Hoa hồng trồng cắt cành ĐK thân ≤1 cm</v>
          </cell>
          <cell r="F529">
            <v>0</v>
          </cell>
        </row>
        <row r="530">
          <cell r="A530" t="str">
            <v>Cây Hoa hồng trồng cắt cành đường kính thân 1 cm &lt; ĐK thân ≤2 cm</v>
          </cell>
          <cell r="F530">
            <v>0</v>
          </cell>
        </row>
        <row r="531">
          <cell r="A531" t="str">
            <v>Cây Hoa hồng trồng cắt cành đường kính thân 2 cm &lt; ĐK thân ≤3 cm</v>
          </cell>
          <cell r="F531">
            <v>0</v>
          </cell>
        </row>
        <row r="532">
          <cell r="A532" t="str">
            <v>Cây Hoa hồng trồng cắt cành đường kính thân 3 cm &lt; ĐK thân ≤5 cm</v>
          </cell>
          <cell r="F532">
            <v>0</v>
          </cell>
        </row>
        <row r="533">
          <cell r="A533" t="str">
            <v>Cây Hoa hồng trồng cắt cành ĐK thân &gt; 5 cm</v>
          </cell>
          <cell r="F533">
            <v>0</v>
          </cell>
        </row>
        <row r="534">
          <cell r="A534" t="str">
            <v>Cây lê</v>
          </cell>
          <cell r="F534">
            <v>0</v>
          </cell>
        </row>
        <row r="535">
          <cell r="A535" t="str">
            <v>Cây lê giống mới trồng</v>
          </cell>
          <cell r="F535">
            <v>0</v>
          </cell>
        </row>
        <row r="536">
          <cell r="A536" t="str">
            <v>Cây lê ĐK thân ≤5 cm</v>
          </cell>
          <cell r="F536">
            <v>0</v>
          </cell>
        </row>
        <row r="537">
          <cell r="A537" t="str">
            <v>Cây lê đường kính thân 5 cm &lt; ĐK thân ≤7 cm</v>
          </cell>
          <cell r="F537">
            <v>0</v>
          </cell>
        </row>
        <row r="538">
          <cell r="A538" t="str">
            <v>Cây lê đường kính thân 7 cm &lt; ĐK thân ≤11 cm</v>
          </cell>
          <cell r="F538">
            <v>0</v>
          </cell>
        </row>
        <row r="539">
          <cell r="A539" t="str">
            <v>Cây lê đường kính thân 11 cm &lt; ĐK thân ≤15 cm</v>
          </cell>
          <cell r="F539">
            <v>0</v>
          </cell>
        </row>
        <row r="540">
          <cell r="A540" t="str">
            <v>Cây lê đường kính thân 15 cm &lt; ĐK thân ≤20 cm</v>
          </cell>
          <cell r="F540">
            <v>0</v>
          </cell>
        </row>
        <row r="541">
          <cell r="A541" t="str">
            <v>Cây lê đường kính thân 20 cm &lt; ĐK thân ≤25 cm</v>
          </cell>
          <cell r="F541">
            <v>0</v>
          </cell>
        </row>
        <row r="542">
          <cell r="A542" t="str">
            <v>Cây lê ĐK thân &gt; 25 cm</v>
          </cell>
          <cell r="F542">
            <v>0</v>
          </cell>
        </row>
        <row r="543">
          <cell r="A543" t="str">
            <v>Nho thân gỗ</v>
          </cell>
          <cell r="F543">
            <v>0</v>
          </cell>
        </row>
        <row r="544">
          <cell r="A544" t="str">
            <v>Nho thân gỗ ĐK thân ≤5 cm</v>
          </cell>
          <cell r="F544">
            <v>0</v>
          </cell>
        </row>
        <row r="545">
          <cell r="A545" t="str">
            <v>Nho thân gỗ đường kính thân 5 cm &lt; ĐK thân ≤10 cm</v>
          </cell>
          <cell r="F545">
            <v>0</v>
          </cell>
        </row>
        <row r="546">
          <cell r="A546" t="str">
            <v>Nho thân gỗ đường kính thân 10 cm &lt; ĐK thân  ≤15 cm</v>
          </cell>
          <cell r="F546">
            <v>0</v>
          </cell>
        </row>
        <row r="547">
          <cell r="A547" t="str">
            <v>Nho thân gỗ đường kính thân 15 cm &lt; ĐK thân ≤25 cm</v>
          </cell>
          <cell r="F547">
            <v>0</v>
          </cell>
        </row>
        <row r="548">
          <cell r="A548" t="str">
            <v>Nho thân gỗ ĐK thân &gt; 25 cm</v>
          </cell>
          <cell r="F548">
            <v>0</v>
          </cell>
        </row>
        <row r="549">
          <cell r="A549" t="str">
            <v>Cây mãng cầu</v>
          </cell>
          <cell r="F549">
            <v>0</v>
          </cell>
        </row>
        <row r="550">
          <cell r="A550" t="str">
            <v>Cây mãng cầu mới trồng &lt;01 năm (cây từ hạt)</v>
          </cell>
          <cell r="F550">
            <v>0</v>
          </cell>
        </row>
        <row r="551">
          <cell r="A551" t="str">
            <v>Cây mãng cầu mới trồng &lt; 01 năm (cây ghép)</v>
          </cell>
          <cell r="F551">
            <v>0</v>
          </cell>
        </row>
        <row r="552">
          <cell r="A552" t="str">
            <v>Cây mãng cầu ĐK thân ≤5 cm</v>
          </cell>
          <cell r="F552">
            <v>0</v>
          </cell>
        </row>
        <row r="553">
          <cell r="A553" t="str">
            <v>Cây mãng cầu đường kính thân 3 cm &lt; ĐK thân ≤5 cm</v>
          </cell>
          <cell r="F553">
            <v>0</v>
          </cell>
        </row>
        <row r="554">
          <cell r="A554" t="str">
            <v>Cây mãng cầu đường kính thân 5 cm &lt; ĐK thân ≤7 cm</v>
          </cell>
          <cell r="F554">
            <v>0</v>
          </cell>
        </row>
        <row r="555">
          <cell r="A555" t="str">
            <v>Cây mãng cầu đường kính thân 7 cm &lt; ĐK thân ≤10 cm</v>
          </cell>
          <cell r="F555">
            <v>0</v>
          </cell>
        </row>
        <row r="556">
          <cell r="A556" t="str">
            <v>Cây mãng cầu ĐK thân &gt; 10 cm</v>
          </cell>
          <cell r="F556">
            <v>0</v>
          </cell>
        </row>
        <row r="557">
          <cell r="A557" t="str">
            <v>Cây sa kê</v>
          </cell>
          <cell r="F557">
            <v>0</v>
          </cell>
        </row>
        <row r="558">
          <cell r="A558" t="str">
            <v>Cây sa kê mới trồng &lt;01 năm (cây từ hạt)</v>
          </cell>
          <cell r="F558">
            <v>0</v>
          </cell>
        </row>
        <row r="559">
          <cell r="A559" t="str">
            <v>Cây sa kê mới trồng &lt; 01 năm (cây ghép)</v>
          </cell>
          <cell r="F559">
            <v>0</v>
          </cell>
        </row>
        <row r="560">
          <cell r="A560" t="str">
            <v>Cây sa kê ĐK thân ≤5 cm</v>
          </cell>
          <cell r="F560">
            <v>0</v>
          </cell>
        </row>
        <row r="561">
          <cell r="A561" t="str">
            <v>Cây sa kê đường kính thân 3 cm &lt; ĐK thân ≤5 cm</v>
          </cell>
          <cell r="F561">
            <v>0</v>
          </cell>
        </row>
        <row r="562">
          <cell r="A562" t="str">
            <v>Cây sa kê đường kính thân 5 cm &lt; ĐK thân ≤7 cm</v>
          </cell>
          <cell r="F562">
            <v>0</v>
          </cell>
        </row>
        <row r="563">
          <cell r="A563" t="str">
            <v>Cây sa kê đường kính thân 7 cm &lt; ĐK thân ≤10 cm</v>
          </cell>
          <cell r="F563">
            <v>0</v>
          </cell>
        </row>
        <row r="564">
          <cell r="A564" t="str">
            <v>Cây sa kê ĐK thân &gt; 10 cm</v>
          </cell>
          <cell r="F564">
            <v>0</v>
          </cell>
        </row>
        <row r="565">
          <cell r="A565" t="str">
            <v>Cây phật thủ</v>
          </cell>
          <cell r="F565">
            <v>0</v>
          </cell>
        </row>
        <row r="566">
          <cell r="A566" t="str">
            <v>Cây phật thủ ĐK thân ≤5 cm</v>
          </cell>
          <cell r="F566">
            <v>0</v>
          </cell>
        </row>
        <row r="567">
          <cell r="A567" t="str">
            <v>Cây phật thủ đường kính thân 5 cm &lt; ĐK thân ≤10 cm</v>
          </cell>
          <cell r="F567">
            <v>0</v>
          </cell>
        </row>
        <row r="568">
          <cell r="A568" t="str">
            <v>Cây phật thủ đường kính thân 10 cm &lt; ĐK thân ≤15 cm</v>
          </cell>
          <cell r="F568">
            <v>0</v>
          </cell>
        </row>
        <row r="569">
          <cell r="A569" t="str">
            <v>Cây phật thủ đường kính thân 15 cm &lt; ĐK thân ≤20 cm</v>
          </cell>
          <cell r="F569">
            <v>0</v>
          </cell>
        </row>
        <row r="570">
          <cell r="A570" t="str">
            <v>Cây phật thủ đường kính thân 20 cm &lt; ĐK thân ≤30 cm</v>
          </cell>
          <cell r="F570">
            <v>0</v>
          </cell>
        </row>
        <row r="571">
          <cell r="A571" t="str">
            <v>Cây phật thủ ĐK thân &gt;30 cm</v>
          </cell>
          <cell r="F571">
            <v>0</v>
          </cell>
        </row>
        <row r="572">
          <cell r="A572" t="str">
            <v>Cây đào tiên</v>
          </cell>
          <cell r="F572">
            <v>0</v>
          </cell>
        </row>
        <row r="573">
          <cell r="A573" t="str">
            <v>Cây đào tiên giống Loại cây ghép có chiều cao cây 40cm &lt; H ≤ 1m</v>
          </cell>
          <cell r="F573">
            <v>0</v>
          </cell>
        </row>
        <row r="574">
          <cell r="A574" t="str">
            <v>Cây đào tiên giống Loại cây ghép có chiêu cao cây H ≥ 1m</v>
          </cell>
          <cell r="F574">
            <v>0</v>
          </cell>
        </row>
        <row r="575">
          <cell r="A575" t="str">
            <v>Cây đào tiên giống Loại cây chiết cành có chiều cao cây 40cm ≤ H&lt; 1m</v>
          </cell>
          <cell r="F575">
            <v>0</v>
          </cell>
        </row>
        <row r="576">
          <cell r="A576" t="str">
            <v>Cây đào tiên giống Loại cây chiết cành có chiều cao cây H ≥ 1m</v>
          </cell>
          <cell r="F576">
            <v>0</v>
          </cell>
        </row>
        <row r="577">
          <cell r="A577" t="str">
            <v>Cây đào tiên đường kính thân 2 cm &lt; ĐK thân ≤5 cm</v>
          </cell>
          <cell r="F577">
            <v>0</v>
          </cell>
        </row>
        <row r="578">
          <cell r="A578" t="str">
            <v>Cây đào tiên đường kính thân 5 cm &lt; ĐK thân ≤10 cm</v>
          </cell>
          <cell r="F578">
            <v>0</v>
          </cell>
        </row>
        <row r="579">
          <cell r="A579" t="str">
            <v>Cây đào tiên đường kính thân 10cm &lt;ĐKthân≤20 cm</v>
          </cell>
          <cell r="F579">
            <v>0</v>
          </cell>
        </row>
        <row r="580">
          <cell r="A580" t="str">
            <v>Cây đào tiên ĐK thân &gt;20 cm</v>
          </cell>
          <cell r="F580">
            <v>0</v>
          </cell>
        </row>
        <row r="581">
          <cell r="A581" t="str">
            <v>Cây hoa sữa</v>
          </cell>
          <cell r="F581">
            <v>0</v>
          </cell>
        </row>
        <row r="582">
          <cell r="A582" t="str">
            <v>Cây hoa sữa giống mới trồng</v>
          </cell>
          <cell r="F582">
            <v>0</v>
          </cell>
        </row>
        <row r="583">
          <cell r="A583" t="str">
            <v>Cây hoa sữa đường kính thân 2 cm &lt; ĐK thân ≤5 cm</v>
          </cell>
          <cell r="F583">
            <v>0</v>
          </cell>
        </row>
        <row r="584">
          <cell r="A584" t="str">
            <v>Cây hoa sữa đường kính thân 5 cm &lt; ĐK thân ≤10 cm</v>
          </cell>
          <cell r="F584">
            <v>0</v>
          </cell>
        </row>
        <row r="585">
          <cell r="A585" t="str">
            <v>Cây hoa sữa đường kính thân 10 cm &lt; ĐK thân ≤15 cm</v>
          </cell>
          <cell r="F585">
            <v>0</v>
          </cell>
        </row>
        <row r="586">
          <cell r="A586" t="str">
            <v>Cây hoa sữa đường kính thân 15 cm &lt; ĐK thân ≤25 cm</v>
          </cell>
          <cell r="F586">
            <v>0</v>
          </cell>
        </row>
        <row r="587">
          <cell r="A587" t="str">
            <v>Cây hoa sữa đường kính thân 25 cm &lt; ĐK thân ≤40 cm</v>
          </cell>
          <cell r="F587">
            <v>0</v>
          </cell>
        </row>
        <row r="588">
          <cell r="A588" t="str">
            <v>Cây hoa sữa ĐK thân &gt; 40 cm</v>
          </cell>
          <cell r="F588">
            <v>0</v>
          </cell>
        </row>
        <row r="589">
          <cell r="A589" t="str">
            <v>Cây hoa gạo</v>
          </cell>
          <cell r="F589">
            <v>0</v>
          </cell>
        </row>
        <row r="590">
          <cell r="A590" t="str">
            <v>Cây hoa gạo giống mới trồng</v>
          </cell>
          <cell r="F590">
            <v>0</v>
          </cell>
        </row>
        <row r="591">
          <cell r="A591" t="str">
            <v>Cây hoa gạo đường kính thân 2 cm &lt; ĐK thân ≤5 cm</v>
          </cell>
          <cell r="F591">
            <v>0</v>
          </cell>
        </row>
        <row r="592">
          <cell r="A592" t="str">
            <v>Cây hoa gạo đường kính thân 5 cm &lt; ĐK thân ≤10 cm</v>
          </cell>
          <cell r="F592">
            <v>0</v>
          </cell>
        </row>
        <row r="593">
          <cell r="A593" t="str">
            <v>Cây hoa gạo đường kính thân 10 cm &lt; ĐK thân ≤15 cm</v>
          </cell>
          <cell r="F593">
            <v>0</v>
          </cell>
        </row>
        <row r="594">
          <cell r="A594" t="str">
            <v>Cây hoa gạo đường kính thân 15 cm &lt; ĐK thân ≤25 cm</v>
          </cell>
          <cell r="F594">
            <v>0</v>
          </cell>
        </row>
        <row r="595">
          <cell r="A595" t="str">
            <v>Cây hoa gạo đường kính thân 25 cm &lt; ĐK thân ≤40 cm</v>
          </cell>
          <cell r="F595">
            <v>0</v>
          </cell>
        </row>
        <row r="596">
          <cell r="A596" t="str">
            <v>Cây hoa gạo ĐK thân &gt; 40 cm</v>
          </cell>
          <cell r="F596">
            <v>0</v>
          </cell>
        </row>
        <row r="597">
          <cell r="A597" t="str">
            <v>Cây hoa đại</v>
          </cell>
          <cell r="F597">
            <v>0</v>
          </cell>
        </row>
        <row r="598">
          <cell r="A598" t="str">
            <v>Cây hoa đại Cây giống mới trồng</v>
          </cell>
          <cell r="F598">
            <v>0</v>
          </cell>
        </row>
        <row r="599">
          <cell r="A599" t="str">
            <v>Cây hoa đại đường kính thân 2 cm &lt; ĐK thân ≤5 cm</v>
          </cell>
          <cell r="F599">
            <v>0</v>
          </cell>
        </row>
        <row r="600">
          <cell r="A600" t="str">
            <v>Cây hoa đại đường kính thân 5 cm &lt; ĐK thân ≤10 cm</v>
          </cell>
          <cell r="F600">
            <v>0</v>
          </cell>
        </row>
        <row r="601">
          <cell r="A601" t="str">
            <v>Cây hoa đại đường kính thân 10 cm &lt; ĐK thân ≤15 cm</v>
          </cell>
          <cell r="F601">
            <v>0</v>
          </cell>
        </row>
        <row r="602">
          <cell r="A602" t="str">
            <v>Cây hoa đại đường kính thân 15 cm &lt; ĐK thân ≤25 cm</v>
          </cell>
          <cell r="F602">
            <v>0</v>
          </cell>
        </row>
        <row r="603">
          <cell r="A603" t="str">
            <v>Cây hoa đại đường kính thân 25 cm &lt; ĐK thân ≤40 cm</v>
          </cell>
          <cell r="F603">
            <v>0</v>
          </cell>
        </row>
        <row r="604">
          <cell r="A604" t="str">
            <v>Cây hoa đại ĐK thân &gt; 40 cm</v>
          </cell>
          <cell r="F604">
            <v>0</v>
          </cell>
        </row>
        <row r="605">
          <cell r="A605" t="str">
            <v>Cây hoa ban</v>
          </cell>
          <cell r="F605">
            <v>0</v>
          </cell>
        </row>
        <row r="606">
          <cell r="A606" t="str">
            <v>Cây hoa ban Cây giống mới trồng</v>
          </cell>
          <cell r="F606">
            <v>0</v>
          </cell>
        </row>
        <row r="607">
          <cell r="A607" t="str">
            <v>Cây hoa ban đường kính thân 2 cm &lt; ĐK thân ≤5 cm</v>
          </cell>
          <cell r="F607">
            <v>0</v>
          </cell>
        </row>
        <row r="608">
          <cell r="A608" t="str">
            <v>Cây hoa ban đường kính thân 5 cm &lt; ĐK thân ≤10 cm</v>
          </cell>
          <cell r="F608">
            <v>0</v>
          </cell>
        </row>
        <row r="609">
          <cell r="A609" t="str">
            <v>Cây hoa ban đường kính thân 10 cm &lt; ĐK thân ≤15 cm</v>
          </cell>
          <cell r="F609">
            <v>0</v>
          </cell>
        </row>
        <row r="610">
          <cell r="A610" t="str">
            <v>Cây hoa ban đường kính thân 15 cm &lt; ĐK thân ≤25 cm</v>
          </cell>
          <cell r="F610">
            <v>0</v>
          </cell>
        </row>
        <row r="611">
          <cell r="A611" t="str">
            <v>Cây hoa ban đường kính thân 25 cm &lt; ĐK thân ≤40 cm</v>
          </cell>
          <cell r="F611">
            <v>0</v>
          </cell>
        </row>
        <row r="612">
          <cell r="A612" t="str">
            <v>Cây hoa ban ĐK thân &gt;40 cm</v>
          </cell>
          <cell r="F612">
            <v>0</v>
          </cell>
        </row>
        <row r="613">
          <cell r="A613" t="str">
            <v>Cây móng bò</v>
          </cell>
          <cell r="F613">
            <v>0</v>
          </cell>
        </row>
        <row r="614">
          <cell r="A614" t="str">
            <v>Cây móng bò Cây giống mới trồng</v>
          </cell>
          <cell r="F614">
            <v>0</v>
          </cell>
        </row>
        <row r="615">
          <cell r="A615" t="str">
            <v>Cây móng bò đường kính thân 2 cm &lt; ĐK thân ≤5 cm</v>
          </cell>
          <cell r="F615">
            <v>0</v>
          </cell>
        </row>
        <row r="616">
          <cell r="A616" t="str">
            <v>Cây móng bò đường kính thân 5 cm &lt; ĐK thân ≤10 cm</v>
          </cell>
          <cell r="F616">
            <v>0</v>
          </cell>
        </row>
        <row r="617">
          <cell r="A617" t="str">
            <v>Cây móng bò đường kính thân 10 cm &lt; ĐK thân ≤15 cm</v>
          </cell>
          <cell r="F617">
            <v>0</v>
          </cell>
        </row>
        <row r="618">
          <cell r="A618" t="str">
            <v>Cây móng bò đường kính thân 15 cm &lt; ĐK thân ≤25 cm</v>
          </cell>
          <cell r="F618">
            <v>0</v>
          </cell>
        </row>
        <row r="619">
          <cell r="A619" t="str">
            <v>Cây móng bò đường kính thân 25 cm &lt; ĐK thân ≤40 cm</v>
          </cell>
          <cell r="F619">
            <v>0</v>
          </cell>
        </row>
        <row r="620">
          <cell r="A620" t="str">
            <v>Cây móng bò ĐK thân &gt;40 cm</v>
          </cell>
          <cell r="F620">
            <v>0</v>
          </cell>
        </row>
        <row r="621">
          <cell r="A621" t="str">
            <v>Cây phượng vĩ (bằng lăng, muồng, lim xẹt)</v>
          </cell>
          <cell r="F621">
            <v>0</v>
          </cell>
        </row>
        <row r="622">
          <cell r="A622" t="str">
            <v>Cây phượng vĩ (bằng lăng, muồng, lim xẹt) Cây giống mới trồng</v>
          </cell>
          <cell r="F622">
            <v>0</v>
          </cell>
        </row>
        <row r="623">
          <cell r="A623" t="str">
            <v>Cây phượng vĩ (bằng lăng, muồng, lim xẹt) đường kính thân 2 cm &lt; ĐK thân ≤5 cm</v>
          </cell>
          <cell r="F623">
            <v>0</v>
          </cell>
        </row>
        <row r="624">
          <cell r="A624" t="str">
            <v>Cây phượng vĩ (bằng lăng, muồng, lim xẹt) đường kính thân 5 cm &lt; ĐK thân ≤10 cm</v>
          </cell>
          <cell r="F624">
            <v>0</v>
          </cell>
        </row>
        <row r="625">
          <cell r="A625" t="str">
            <v>Cây phượng vĩ (bằng lăng, muồng, lim xẹt) đường kính thân 10 cm &lt; ĐK thân ≤15 cm</v>
          </cell>
          <cell r="F625">
            <v>0</v>
          </cell>
        </row>
        <row r="626">
          <cell r="A626" t="str">
            <v>Cây phượng vĩ (bằng lăng, muồng, lim xẹt) đường kính thân 15 cm &lt; ĐK thân ≤25 cm</v>
          </cell>
          <cell r="F626">
            <v>0</v>
          </cell>
        </row>
        <row r="627">
          <cell r="A627" t="str">
            <v>Cây phượng vĩ (bằng lăng, muồng, lim xẹt) đường kính thân 25 cm &lt; ĐK thân ≤40 cm</v>
          </cell>
          <cell r="F627">
            <v>0</v>
          </cell>
        </row>
        <row r="628">
          <cell r="A628" t="str">
            <v>Cây phượng vĩ (bằng lăng, muồng, lim xẹt) đường kính thân 40 cm &lt; ĐK thân ≤60 cm</v>
          </cell>
          <cell r="F628">
            <v>0</v>
          </cell>
        </row>
        <row r="629">
          <cell r="A629" t="str">
            <v>Cây phượng vĩ (bằng lăng, muồng, lim xẹt) ĐK thân &gt; 60 cm</v>
          </cell>
          <cell r="F629">
            <v>0</v>
          </cell>
        </row>
        <row r="630">
          <cell r="A630" t="str">
            <v>Cây long não, bồ đề</v>
          </cell>
          <cell r="F630">
            <v>0</v>
          </cell>
        </row>
        <row r="631">
          <cell r="A631" t="str">
            <v>Cây long não, bồ đề Giống đủ tiêu chuẩn mới trồng, chiều cao cây H ≤40cm</v>
          </cell>
          <cell r="F631">
            <v>0</v>
          </cell>
        </row>
        <row r="632">
          <cell r="A632" t="str">
            <v>Cây long não, bồ đề đường kính gốc 1cm &lt; ĐK gốc &lt; 3cm</v>
          </cell>
          <cell r="F632">
            <v>0</v>
          </cell>
        </row>
        <row r="633">
          <cell r="A633" t="str">
            <v>Cây long não, bồ đề đường kính gốc 3 cm ≤ ĐK gốc &lt; 5 cm</v>
          </cell>
          <cell r="F633">
            <v>0</v>
          </cell>
        </row>
        <row r="634">
          <cell r="A634" t="str">
            <v>Cây long não, bồ đề đường kính gốc 5cm ≤ ĐK gốc &lt; 10cm</v>
          </cell>
          <cell r="F634">
            <v>0</v>
          </cell>
        </row>
        <row r="635">
          <cell r="A635" t="str">
            <v>Cây long não, bồ đề đường kính gốc 10cm ≤ ĐK gốc &lt; 15cm</v>
          </cell>
          <cell r="F635">
            <v>0</v>
          </cell>
        </row>
        <row r="636">
          <cell r="A636" t="str">
            <v>Cây long não, bồ đề đường kính gốc 15cm ≤ ĐK gôc &lt; 20cm</v>
          </cell>
          <cell r="F636">
            <v>0</v>
          </cell>
        </row>
        <row r="637">
          <cell r="A637" t="str">
            <v>Cây long não, bồ đề đường kính gốc 20cm ≤ ĐK gốc &lt; 30cm</v>
          </cell>
          <cell r="F637">
            <v>0</v>
          </cell>
        </row>
        <row r="638">
          <cell r="A638" t="str">
            <v>Cây long não, bồ đề đường kính gốc 30cm ≤ ĐK gốc &lt; 40cm</v>
          </cell>
          <cell r="F638">
            <v>0</v>
          </cell>
        </row>
        <row r="639">
          <cell r="A639" t="str">
            <v>Cây long não, bồ đề ĐK gốc ≥ 40cm</v>
          </cell>
          <cell r="F639">
            <v>0</v>
          </cell>
        </row>
        <row r="640">
          <cell r="A640" t="str">
            <v>Sao đen</v>
          </cell>
          <cell r="F640">
            <v>0</v>
          </cell>
        </row>
        <row r="641">
          <cell r="A641" t="str">
            <v>Sao đen đường kính gốc 1 cm ≤ ĐK gốc &lt; 3cm</v>
          </cell>
          <cell r="F641">
            <v>0</v>
          </cell>
        </row>
        <row r="642">
          <cell r="A642" t="str">
            <v>Sao đen đường kính gốc 3 cm ≤ ĐK gốc &lt; 5cm</v>
          </cell>
          <cell r="F642">
            <v>0</v>
          </cell>
        </row>
        <row r="643">
          <cell r="A643" t="str">
            <v>Sao đen đường kính gốc 5cm ≤ ĐK gốc &lt; 7cm</v>
          </cell>
          <cell r="F643">
            <v>0</v>
          </cell>
        </row>
        <row r="644">
          <cell r="A644" t="str">
            <v>Sao đen đường kính gốc 7cm ≤ ĐK gốc &lt; 9cm</v>
          </cell>
          <cell r="F644">
            <v>0</v>
          </cell>
        </row>
        <row r="645">
          <cell r="A645" t="str">
            <v>Sao đen ĐK gốc ≥ 9cm</v>
          </cell>
          <cell r="F645">
            <v>0</v>
          </cell>
        </row>
        <row r="646">
          <cell r="A646" t="str">
            <v>Cây sưa</v>
          </cell>
          <cell r="F646">
            <v>0</v>
          </cell>
        </row>
        <row r="647">
          <cell r="A647" t="str">
            <v>Cây sưa Cây giống đủ tiêu chuẩn, mới trồng, chiều cao cây H ≥ 30cm</v>
          </cell>
          <cell r="F647">
            <v>0</v>
          </cell>
        </row>
        <row r="648">
          <cell r="A648" t="str">
            <v>Cây sưa đường kính thân 2 cm &lt; ĐK thân ≤5 cm</v>
          </cell>
          <cell r="F648">
            <v>0</v>
          </cell>
        </row>
        <row r="649">
          <cell r="A649" t="str">
            <v>Cây sưa đường kính thân 5 cm &lt; ĐK thân ≤10 cm</v>
          </cell>
          <cell r="F649">
            <v>0</v>
          </cell>
        </row>
        <row r="650">
          <cell r="A650" t="str">
            <v>Cây sưa đường kính thân 10 cm &lt; ĐK thân ≤15 cm</v>
          </cell>
          <cell r="F650">
            <v>0</v>
          </cell>
        </row>
        <row r="651">
          <cell r="A651" t="str">
            <v>Cây sưa đường kính thân 15 cm &lt; ĐK thân ≤25 cm</v>
          </cell>
          <cell r="F651">
            <v>0</v>
          </cell>
        </row>
        <row r="652">
          <cell r="A652" t="str">
            <v>Cây sưa đường kính thân 25 cm &lt; ĐK thân ≤40 cm</v>
          </cell>
          <cell r="F652">
            <v>0</v>
          </cell>
        </row>
        <row r="653">
          <cell r="A653" t="str">
            <v>Cây sưa đường kính thân 40 cm &lt; ĐK thân ≤ 60 cm</v>
          </cell>
          <cell r="F653">
            <v>0</v>
          </cell>
        </row>
        <row r="654">
          <cell r="A654" t="str">
            <v>Cây sưa ĐK thân &gt; 60 cm</v>
          </cell>
          <cell r="F654">
            <v>0</v>
          </cell>
        </row>
        <row r="655">
          <cell r="A655" t="str">
            <v>Cây trám</v>
          </cell>
          <cell r="F655">
            <v>0</v>
          </cell>
        </row>
        <row r="656">
          <cell r="A656" t="str">
            <v>Cây trám Mới trồng, đường kính gốc &lt; 2cm</v>
          </cell>
          <cell r="F656">
            <v>0</v>
          </cell>
        </row>
        <row r="657">
          <cell r="A657" t="str">
            <v>Cây trám đường kính gốc 2 cm &lt; ĐK gốc ≤ 5 cm</v>
          </cell>
          <cell r="F657">
            <v>0</v>
          </cell>
        </row>
        <row r="658">
          <cell r="A658" t="str">
            <v>Cây trám đường kính gốc 5 cm &lt; ĐK gốc ≤ 10 cm</v>
          </cell>
          <cell r="F658">
            <v>0</v>
          </cell>
        </row>
        <row r="659">
          <cell r="A659" t="str">
            <v>Cây trám đường kính gốc 10 cm &lt; ĐK gôc ≤ 15 cm</v>
          </cell>
          <cell r="F659">
            <v>0</v>
          </cell>
        </row>
        <row r="660">
          <cell r="A660" t="str">
            <v>Cây trám đường kính gốc 15 cm &lt; ĐK gốc ≤ 20 cm</v>
          </cell>
          <cell r="F660">
            <v>0</v>
          </cell>
        </row>
        <row r="661">
          <cell r="A661" t="str">
            <v>Cây trám đường kính gốc 20 cm &lt; ĐK gốc ≤ 25 cm</v>
          </cell>
          <cell r="F661">
            <v>0</v>
          </cell>
        </row>
        <row r="662">
          <cell r="A662" t="str">
            <v>Cây trám đường kính gốc 25 cm &lt; ĐK gốc ≤ 30 cm</v>
          </cell>
          <cell r="F662">
            <v>0</v>
          </cell>
        </row>
        <row r="663">
          <cell r="A663" t="str">
            <v>Cây trám ĐK gốc &gt; 30cm</v>
          </cell>
          <cell r="F663">
            <v>0</v>
          </cell>
        </row>
        <row r="664">
          <cell r="A664" t="str">
            <v>Cây xoan</v>
          </cell>
          <cell r="F664">
            <v>0</v>
          </cell>
        </row>
        <row r="665">
          <cell r="A665" t="str">
            <v>Cây xoan Cây giống mới trồng</v>
          </cell>
          <cell r="F665">
            <v>0</v>
          </cell>
        </row>
        <row r="666">
          <cell r="A666" t="str">
            <v>Cây xoan đường kính thân 2 cm &lt; ĐK thân ≤5 cm</v>
          </cell>
          <cell r="F666">
            <v>0</v>
          </cell>
        </row>
        <row r="667">
          <cell r="A667" t="str">
            <v>Cây xoan đường kính thân 5 cm &lt; ĐK thân ≤10 cm</v>
          </cell>
          <cell r="F667">
            <v>0</v>
          </cell>
        </row>
        <row r="668">
          <cell r="A668" t="str">
            <v>Cây xoan đường kính thân 10 cm &lt; ĐK thân ≤15 cm</v>
          </cell>
          <cell r="F668">
            <v>0</v>
          </cell>
        </row>
        <row r="669">
          <cell r="A669" t="str">
            <v>Cây xoan đường kính thân 15 cm &lt; ĐK thân ≤20 cm</v>
          </cell>
          <cell r="F669">
            <v>0</v>
          </cell>
        </row>
        <row r="670">
          <cell r="A670" t="str">
            <v>Cây xoan đường kính thân 20 cm &lt; ĐK thân ≤30 cm</v>
          </cell>
          <cell r="F670">
            <v>0</v>
          </cell>
        </row>
        <row r="671">
          <cell r="A671" t="str">
            <v>Cây xoan ĐK thân &gt; 30 cm</v>
          </cell>
          <cell r="F671">
            <v>0</v>
          </cell>
        </row>
        <row r="672">
          <cell r="A672" t="str">
            <v>Cây xà cừ (lát, sồi, lim xanh)</v>
          </cell>
          <cell r="F672">
            <v>0</v>
          </cell>
        </row>
        <row r="673">
          <cell r="A673" t="str">
            <v>Cây xà cừ (lát, sồi, lim xanh) Cây giống mới trồng</v>
          </cell>
          <cell r="F673">
            <v>0</v>
          </cell>
        </row>
        <row r="674">
          <cell r="A674" t="str">
            <v>Cây xà cừ (lát, sồi, lim xanh) đường kính thân 2 cm &lt; ĐK thân ≤5 cm</v>
          </cell>
          <cell r="F674">
            <v>0</v>
          </cell>
        </row>
        <row r="675">
          <cell r="A675" t="str">
            <v>Cây xà cừ (lát, sồi, lim xanh) 5 cm &lt; ĐK thân ≤10 cm</v>
          </cell>
          <cell r="F675">
            <v>0</v>
          </cell>
        </row>
        <row r="676">
          <cell r="A676" t="str">
            <v>Cây xà cừ (lát, sồi, lim xanh) 10 cm &lt; ĐK thân ≤15 cm</v>
          </cell>
          <cell r="F676">
            <v>0</v>
          </cell>
        </row>
        <row r="677">
          <cell r="A677" t="str">
            <v>Cây xà cừ (lát, sồi, lim xanh) 15 cm &lt; ĐK thân ≤25 cm</v>
          </cell>
          <cell r="F677">
            <v>0</v>
          </cell>
        </row>
        <row r="678">
          <cell r="A678" t="str">
            <v>Cây xà cừ (lát, sồi, lim xanh) 25 &lt; ĐK thân ≤40 cm</v>
          </cell>
          <cell r="F678">
            <v>0</v>
          </cell>
        </row>
        <row r="679">
          <cell r="A679" t="str">
            <v>Cây xà cừ (lát, sồi, lim xanh) 40 cm &lt; ĐK thân ≤60 cm</v>
          </cell>
          <cell r="F679">
            <v>0</v>
          </cell>
        </row>
        <row r="680">
          <cell r="A680" t="str">
            <v>Cây xà cừ (lát, sồi, lim xanh) ĐK thân &gt; 60 cm</v>
          </cell>
          <cell r="F680">
            <v>0</v>
          </cell>
        </row>
        <row r="681">
          <cell r="A681" t="str">
            <v>Cây bàng</v>
          </cell>
          <cell r="F681">
            <v>0</v>
          </cell>
        </row>
        <row r="682">
          <cell r="A682" t="str">
            <v>Cây bàng giống mới trồng</v>
          </cell>
          <cell r="F682">
            <v>0</v>
          </cell>
        </row>
        <row r="683">
          <cell r="A683" t="str">
            <v>Cây bàng đường kính thân 2 cm &lt; ĐK thân ≤5 cm</v>
          </cell>
          <cell r="F683">
            <v>0</v>
          </cell>
        </row>
        <row r="684">
          <cell r="A684" t="str">
            <v>Cây bàng đường kính thân 5 cm &lt; ĐK thân ≤10 cm</v>
          </cell>
          <cell r="F684">
            <v>0</v>
          </cell>
        </row>
        <row r="685">
          <cell r="A685" t="str">
            <v>Cây bàng đường kính thân 10 cm &lt; ĐK thân ≤15 cm</v>
          </cell>
          <cell r="F685">
            <v>0</v>
          </cell>
        </row>
        <row r="686">
          <cell r="A686" t="str">
            <v>Cây bàng đường kính thân 15 cm &lt; ĐK thân ≤20 cm</v>
          </cell>
          <cell r="F686">
            <v>0</v>
          </cell>
        </row>
        <row r="687">
          <cell r="A687" t="str">
            <v>Cây bàng đường kính thân 20 cm &lt; ĐK thân ≤30 cm</v>
          </cell>
          <cell r="F687">
            <v>0</v>
          </cell>
        </row>
        <row r="688">
          <cell r="A688" t="str">
            <v>Cây bàng ĐK thân &gt; 30 cm</v>
          </cell>
          <cell r="F688">
            <v>0</v>
          </cell>
        </row>
        <row r="689">
          <cell r="A689" t="str">
            <v>Cây trứng cá</v>
          </cell>
          <cell r="F689">
            <v>0</v>
          </cell>
        </row>
        <row r="690">
          <cell r="A690" t="str">
            <v>Cây trứng cá giống mới trồng</v>
          </cell>
          <cell r="F690">
            <v>0</v>
          </cell>
        </row>
        <row r="691">
          <cell r="A691" t="str">
            <v>Cây trứng cá đường kính thân 2 cm &lt; ĐK thân ≤5 cm</v>
          </cell>
          <cell r="F691">
            <v>0</v>
          </cell>
        </row>
        <row r="692">
          <cell r="A692" t="str">
            <v>Cây trứng cá đường kính thân 5 cm &lt; ĐK thân ≤10 cm</v>
          </cell>
          <cell r="F692">
            <v>0</v>
          </cell>
        </row>
        <row r="693">
          <cell r="A693" t="str">
            <v>Cây trứng cá đường kính thân 10 cm &lt; ĐK thân ≤15 cm</v>
          </cell>
          <cell r="F693">
            <v>0</v>
          </cell>
        </row>
        <row r="694">
          <cell r="A694" t="str">
            <v>Cây trứng cá đường kính thân 15 cm &lt; ĐK thân ≤20 cm</v>
          </cell>
          <cell r="F694">
            <v>0</v>
          </cell>
        </row>
        <row r="695">
          <cell r="A695" t="str">
            <v>Cây trứng cá đường kính thân 20 cm &lt; ĐK thân ≤30 cm</v>
          </cell>
          <cell r="F695">
            <v>0</v>
          </cell>
        </row>
        <row r="696">
          <cell r="A696" t="str">
            <v>Cây trứng cá ĐK thân &gt; 30 cm</v>
          </cell>
          <cell r="F696">
            <v>0</v>
          </cell>
        </row>
        <row r="697">
          <cell r="A697" t="str">
            <v>Cây bạch đàn</v>
          </cell>
          <cell r="F697">
            <v>0</v>
          </cell>
        </row>
        <row r="698">
          <cell r="A698" t="str">
            <v>Cây bạch đàn Cây giống mới trồng</v>
          </cell>
          <cell r="F698">
            <v>0</v>
          </cell>
        </row>
        <row r="699">
          <cell r="A699" t="str">
            <v>Cây bạch đàn đường kính thân 2 cm &lt; ĐK thân ≤5 cm</v>
          </cell>
          <cell r="F699">
            <v>0</v>
          </cell>
        </row>
        <row r="700">
          <cell r="A700" t="str">
            <v>Cây bạch đàn đường kính thân 5 cm &lt; ĐK thân ≤10 cm</v>
          </cell>
          <cell r="F700">
            <v>0</v>
          </cell>
        </row>
        <row r="701">
          <cell r="A701" t="str">
            <v>Cây bạch đàn đường kính thân 10 cm &lt; ĐK thân ≤20 cm</v>
          </cell>
          <cell r="F701">
            <v>0</v>
          </cell>
        </row>
        <row r="702">
          <cell r="A702" t="str">
            <v>Cây bạch đàn đường kính thân 20 cm &lt; ĐK thân ≤30 cm</v>
          </cell>
          <cell r="F702">
            <v>0</v>
          </cell>
        </row>
        <row r="703">
          <cell r="A703" t="str">
            <v>Cây bạch đàn đường kính thân 30 cm &lt; ĐK thân ≤40 cm</v>
          </cell>
          <cell r="F703">
            <v>0</v>
          </cell>
        </row>
        <row r="704">
          <cell r="A704" t="str">
            <v>Cây bạch đàn ĐK thân &gt; 40 cm</v>
          </cell>
          <cell r="F704">
            <v>0</v>
          </cell>
        </row>
        <row r="705">
          <cell r="A705" t="str">
            <v>Cây phi lao, thông</v>
          </cell>
          <cell r="F705">
            <v>0</v>
          </cell>
        </row>
        <row r="706">
          <cell r="A706" t="str">
            <v>Cây phi lao giống mới trồng</v>
          </cell>
          <cell r="F706">
            <v>0</v>
          </cell>
        </row>
        <row r="707">
          <cell r="A707" t="str">
            <v>Cây phi lao đường kính thân 2 cm &lt; ĐK thân ≤5 cm</v>
          </cell>
          <cell r="F707">
            <v>0</v>
          </cell>
        </row>
        <row r="708">
          <cell r="A708" t="str">
            <v>Cây phi lao đường kính thân 5 cm &lt; ĐK thân ≤10 cm</v>
          </cell>
          <cell r="F708">
            <v>0</v>
          </cell>
        </row>
        <row r="709">
          <cell r="A709" t="str">
            <v>Cây phi lao đường kính thân 10 cm &lt; ĐK thân ≤20 cm</v>
          </cell>
          <cell r="F709">
            <v>0</v>
          </cell>
        </row>
        <row r="710">
          <cell r="A710" t="str">
            <v>Cây phi lao đường kính thân 20cm &lt; ĐK thân ≤30 cm</v>
          </cell>
          <cell r="F710">
            <v>0</v>
          </cell>
        </row>
        <row r="711">
          <cell r="A711" t="str">
            <v>Cây phi lao đường kính thân 30 cm &lt; ĐK thân ≤40 cm</v>
          </cell>
          <cell r="F711">
            <v>0</v>
          </cell>
        </row>
        <row r="712">
          <cell r="A712" t="str">
            <v>Cây phi lao ĐK thân &gt; 40 cm</v>
          </cell>
          <cell r="F712">
            <v>0</v>
          </cell>
        </row>
        <row r="713">
          <cell r="A713" t="str">
            <v>Cây keo tai tượng</v>
          </cell>
          <cell r="F713">
            <v>0</v>
          </cell>
        </row>
        <row r="714">
          <cell r="A714" t="str">
            <v>Cây keo tai tượng giống mới trồng</v>
          </cell>
          <cell r="F714">
            <v>0</v>
          </cell>
        </row>
        <row r="715">
          <cell r="A715" t="str">
            <v>Cây keo tai tượng đường kính thân 2 cm &lt; ĐK thân ≤5 cm</v>
          </cell>
          <cell r="F715">
            <v>0</v>
          </cell>
        </row>
        <row r="716">
          <cell r="A716" t="str">
            <v>Cây keo tai tượng đường kính thân 5 cm &lt; ĐK thân &lt;10 cm</v>
          </cell>
          <cell r="F716">
            <v>0</v>
          </cell>
        </row>
        <row r="717">
          <cell r="A717" t="str">
            <v>Cây keo tai tượng đường kính thân 10 cm &lt; ĐK thân ≤20 cm</v>
          </cell>
          <cell r="F717">
            <v>0</v>
          </cell>
        </row>
        <row r="718">
          <cell r="A718" t="str">
            <v>Cây keo tai tượng đường kính thân 20 cm &lt; ĐK thân ≤30 cm</v>
          </cell>
          <cell r="F718">
            <v>0</v>
          </cell>
        </row>
        <row r="719">
          <cell r="A719" t="str">
            <v>Cây keo tai tượng đường kính thân 30 cm &lt; ĐK thân ≤40 cm</v>
          </cell>
          <cell r="F719">
            <v>0</v>
          </cell>
        </row>
        <row r="720">
          <cell r="A720" t="str">
            <v>Cây keo tai tượng ĐK thân &gt; 40 cm</v>
          </cell>
          <cell r="F720">
            <v>0</v>
          </cell>
        </row>
        <row r="721">
          <cell r="A721" t="str">
            <v>Cây liễu</v>
          </cell>
          <cell r="F721">
            <v>0</v>
          </cell>
        </row>
        <row r="722">
          <cell r="A722" t="str">
            <v>Cây liễu giống mới trồng</v>
          </cell>
          <cell r="F722">
            <v>0</v>
          </cell>
        </row>
        <row r="723">
          <cell r="A723" t="str">
            <v>Cây liễu đường kính thân 2 cm &lt; ĐK thân ≤5 cm</v>
          </cell>
          <cell r="F723">
            <v>0</v>
          </cell>
        </row>
        <row r="724">
          <cell r="A724" t="str">
            <v>Cây liễu đường kính thân 5 cm &lt; ĐK thân ≤10 cm</v>
          </cell>
          <cell r="F724">
            <v>0</v>
          </cell>
        </row>
        <row r="725">
          <cell r="A725" t="str">
            <v>Cây liễu đường kính thân 10 cm &lt; ĐK thân ≤15 cm</v>
          </cell>
          <cell r="F725">
            <v>0</v>
          </cell>
        </row>
        <row r="726">
          <cell r="A726" t="str">
            <v>Cây liễu đường kính thân 15 cm &lt; ĐK thân ≤25 cm</v>
          </cell>
          <cell r="F726">
            <v>0</v>
          </cell>
        </row>
        <row r="727">
          <cell r="A727" t="str">
            <v>Cây liễu ĐK thân &gt; 25 cm</v>
          </cell>
          <cell r="F727">
            <v>0</v>
          </cell>
        </row>
        <row r="728">
          <cell r="A728" t="str">
            <v>Cây lộc vừng</v>
          </cell>
          <cell r="F728">
            <v>0</v>
          </cell>
        </row>
        <row r="729">
          <cell r="A729" t="str">
            <v>Cây lộc vừng giống mới trồng</v>
          </cell>
          <cell r="F729">
            <v>0</v>
          </cell>
        </row>
        <row r="730">
          <cell r="A730" t="str">
            <v>Cây lộc vừng đường kính thân 2 cm &lt; ĐK thân ≤5 cm</v>
          </cell>
          <cell r="F730">
            <v>0</v>
          </cell>
        </row>
        <row r="731">
          <cell r="A731" t="str">
            <v>Cây lộc vừng đường kính thân 5 cm &lt; ĐK thân ≤10 cm</v>
          </cell>
          <cell r="F731">
            <v>0</v>
          </cell>
        </row>
        <row r="732">
          <cell r="A732" t="str">
            <v>Cây lộc vừng đường kính thân 10 cm &lt; ĐK thân ≤15 cm</v>
          </cell>
        </row>
        <row r="733">
          <cell r="A733" t="str">
            <v>Cây lộc vừng đường kính thân 15 cm &lt; ĐK thân ≤20 cm</v>
          </cell>
          <cell r="F733">
            <v>0</v>
          </cell>
        </row>
        <row r="734">
          <cell r="A734" t="str">
            <v>Cây lộc vừng đường kính thân 20 cm &lt; ĐK thân ≤25 cm</v>
          </cell>
          <cell r="F734">
            <v>0</v>
          </cell>
        </row>
        <row r="735">
          <cell r="A735" t="str">
            <v>Cây lộc vừng đường kính thân 25 cm &lt; ĐK thân ≤30 cm</v>
          </cell>
          <cell r="F735">
            <v>0</v>
          </cell>
        </row>
        <row r="736">
          <cell r="A736" t="str">
            <v>Cây lộc vừng ĐK thân &gt;30 cm</v>
          </cell>
          <cell r="F736">
            <v>0</v>
          </cell>
        </row>
        <row r="737">
          <cell r="A737" t="str">
            <v>Cây móng rồng</v>
          </cell>
          <cell r="F737">
            <v>0</v>
          </cell>
        </row>
        <row r="738">
          <cell r="A738" t="str">
            <v>Cây móng rồng giống</v>
          </cell>
          <cell r="F738">
            <v>0</v>
          </cell>
        </row>
        <row r="739">
          <cell r="A739" t="str">
            <v>Cây móng rồng đường kính thân 1 cm &lt; ĐK thân ≤3 cm</v>
          </cell>
          <cell r="F739">
            <v>0</v>
          </cell>
        </row>
        <row r="740">
          <cell r="A740" t="str">
            <v>Cây móng rồng đường kính thân 3 cm &lt; ĐK thân ≤5 cm</v>
          </cell>
          <cell r="F740">
            <v>0</v>
          </cell>
        </row>
        <row r="741">
          <cell r="A741" t="str">
            <v>Cây móng rồng đường kính thân 5 cm &lt; ĐK thân ≤10 cm</v>
          </cell>
          <cell r="F741">
            <v>0</v>
          </cell>
        </row>
        <row r="742">
          <cell r="A742" t="str">
            <v>Cây móng rồng đường kính thân 10 cm &lt; ĐK thân ≤15 cm</v>
          </cell>
          <cell r="F742">
            <v>0</v>
          </cell>
        </row>
        <row r="743">
          <cell r="A743" t="str">
            <v>Cây móng rồng ĐK thân &gt; 15 cm</v>
          </cell>
          <cell r="F743">
            <v>0</v>
          </cell>
        </row>
        <row r="744">
          <cell r="A744" t="str">
            <v>Cây đa (sanh, si, duối, bồ đề)</v>
          </cell>
          <cell r="F744">
            <v>0</v>
          </cell>
        </row>
        <row r="745">
          <cell r="A745" t="str">
            <v>Cây đa (sanh, si, duối, bồ đề) Cây giống mới trồng</v>
          </cell>
          <cell r="F745">
            <v>0</v>
          </cell>
        </row>
        <row r="746">
          <cell r="A746" t="str">
            <v>Cây đa (sanh, si, duối, bồ đề) đường kính thân 2 cm &lt; ĐK thân ≤5 cm</v>
          </cell>
          <cell r="F746">
            <v>0</v>
          </cell>
        </row>
        <row r="747">
          <cell r="A747" t="str">
            <v>Cây đa (sanh, si, duối, bồ đề) đường kính thân 5 cm &lt; ĐK thân ≤10 cm</v>
          </cell>
          <cell r="F747">
            <v>0</v>
          </cell>
        </row>
        <row r="748">
          <cell r="A748" t="str">
            <v>Cây đa (sanh, si, duối, bồ đề) đường kính thân 10 cm &lt; ĐK thân ≤15 cm</v>
          </cell>
          <cell r="F748">
            <v>0</v>
          </cell>
        </row>
        <row r="749">
          <cell r="A749" t="str">
            <v>Cây đa (sanh, si, duối, bồ đề) đường kính thân 15 cm &lt; ĐK thân ≤25 cm</v>
          </cell>
          <cell r="F749">
            <v>0</v>
          </cell>
        </row>
        <row r="750">
          <cell r="A750" t="str">
            <v>Cây đa (sanh, si, duối, bồ đề) đường kính thân 25 cm &lt; ĐK thân ≤40 cm</v>
          </cell>
          <cell r="F750">
            <v>0</v>
          </cell>
        </row>
        <row r="751">
          <cell r="A751" t="str">
            <v>Cây đa (sanh, si, duối, bồ đề) đường kính thân 40 cm &lt; ĐK thân ≤60 cm</v>
          </cell>
          <cell r="F751">
            <v>0</v>
          </cell>
        </row>
        <row r="752">
          <cell r="A752" t="str">
            <v>Cây đa (sanh, si, duối, bồ đề) ĐK thân &gt; 60 cm</v>
          </cell>
          <cell r="F752">
            <v>0</v>
          </cell>
        </row>
        <row r="753">
          <cell r="A753" t="str">
            <v>Cây sộp (Túc)</v>
          </cell>
          <cell r="F753">
            <v>0</v>
          </cell>
        </row>
        <row r="754">
          <cell r="A754" t="str">
            <v>Cây sộp (Túc) Cây giống đủ tiêu chuẩn mới trồng, chiều cao cây H &lt; 40cm</v>
          </cell>
          <cell r="F754">
            <v>0</v>
          </cell>
        </row>
        <row r="755">
          <cell r="A755" t="str">
            <v>Cây sộp (Túc) đường kính thân 10 cm &lt; ĐK thân ≤15 cm</v>
          </cell>
          <cell r="F755">
            <v>0</v>
          </cell>
        </row>
        <row r="756">
          <cell r="A756" t="str">
            <v>Cây sộp (Túc) đường kính thân 15 cm &lt; ĐK thân ≤20 cm</v>
          </cell>
          <cell r="F756">
            <v>0</v>
          </cell>
        </row>
        <row r="757">
          <cell r="A757" t="str">
            <v>Cây sộp (Túc) đường kính thân 20 cm &lt; ĐK thân ≤30 cm</v>
          </cell>
          <cell r="F757">
            <v>0</v>
          </cell>
        </row>
        <row r="758">
          <cell r="A758" t="str">
            <v>Cây sộp (Túc) đường kính thân 30 cm&lt; ĐK thân ≤40cm</v>
          </cell>
          <cell r="F758">
            <v>0</v>
          </cell>
        </row>
        <row r="759">
          <cell r="A759" t="str">
            <v>Cây sộp (Túc) ĐK thân &gt; 40 cm</v>
          </cell>
          <cell r="F759">
            <v>0</v>
          </cell>
        </row>
        <row r="760">
          <cell r="A760" t="str">
            <v>Cây gáo</v>
          </cell>
          <cell r="F760">
            <v>0</v>
          </cell>
        </row>
        <row r="761">
          <cell r="A761" t="str">
            <v>Cây gáo Giống đủ tiêu chuẩn mới trồng, chiều cao cây H ≥ 40cm</v>
          </cell>
          <cell r="F761">
            <v>0</v>
          </cell>
        </row>
        <row r="762">
          <cell r="A762" t="str">
            <v>Cây gáo đường kính gốc 1cm ≤ ĐK gốc &lt; 3cm</v>
          </cell>
          <cell r="F762">
            <v>0</v>
          </cell>
        </row>
        <row r="763">
          <cell r="A763" t="str">
            <v>Cây gáo đường kính gốc 3 cm ≤ ĐK gốc &lt; 5 cm</v>
          </cell>
          <cell r="F763">
            <v>0</v>
          </cell>
        </row>
        <row r="764">
          <cell r="A764" t="str">
            <v>Cây gáo đường kính gốc 5cm ≤ ĐK gốc &lt; 10cm</v>
          </cell>
          <cell r="F764">
            <v>0</v>
          </cell>
        </row>
        <row r="765">
          <cell r="A765" t="str">
            <v>Cây gáo đường kính gốc 10cm ≤ ĐK gốc &lt; 15cm</v>
          </cell>
          <cell r="F765">
            <v>0</v>
          </cell>
        </row>
        <row r="766">
          <cell r="A766" t="str">
            <v>Cây gáo đường kính gốc 15cm ≤ ĐK gốc &lt; 20cm</v>
          </cell>
          <cell r="F766">
            <v>0</v>
          </cell>
        </row>
        <row r="767">
          <cell r="A767" t="str">
            <v>Cây gáo đường kính gốc 20cm ≤ ĐK gốc &lt; 30cm</v>
          </cell>
          <cell r="F767">
            <v>0</v>
          </cell>
        </row>
        <row r="768">
          <cell r="A768" t="str">
            <v>Cây gáo đường kính gốc 30cm ≤ ĐK gốc &lt; 40cm</v>
          </cell>
          <cell r="F768">
            <v>0</v>
          </cell>
        </row>
        <row r="769">
          <cell r="A769" t="str">
            <v>Cây gáo ĐK gốc ≥  40cm</v>
          </cell>
          <cell r="F769">
            <v>0</v>
          </cell>
        </row>
        <row r="770">
          <cell r="A770" t="str">
            <v>Cây vọng cách</v>
          </cell>
          <cell r="F770">
            <v>0</v>
          </cell>
        </row>
        <row r="771">
          <cell r="A771" t="str">
            <v>Cây vọng cách Cây giống mới trồng</v>
          </cell>
          <cell r="F771">
            <v>0</v>
          </cell>
        </row>
        <row r="772">
          <cell r="A772" t="str">
            <v>Cây vọng cách đường kính thân 2 cm &lt; ĐK thân ≤5 cm</v>
          </cell>
          <cell r="F772">
            <v>0</v>
          </cell>
        </row>
        <row r="773">
          <cell r="A773" t="str">
            <v>Cây vọng cách đường kính thân 5 cm &lt; ĐK thân ≤10 cm</v>
          </cell>
          <cell r="F773">
            <v>0</v>
          </cell>
        </row>
        <row r="774">
          <cell r="A774" t="str">
            <v>Cây vọng cách đường kính thân 10 cm &lt; ĐK thân ≤15 cm</v>
          </cell>
          <cell r="F774">
            <v>0</v>
          </cell>
        </row>
        <row r="775">
          <cell r="A775" t="str">
            <v>Cây vọng cách đường kính thân 15 cm &lt; ĐK thân ≤20 cm</v>
          </cell>
          <cell r="F775">
            <v>0</v>
          </cell>
        </row>
        <row r="776">
          <cell r="A776" t="str">
            <v>Cây vọng cách đường kính thân 20 cm &lt; ĐK thân ≤30 cm</v>
          </cell>
          <cell r="F776">
            <v>0</v>
          </cell>
        </row>
        <row r="777">
          <cell r="A777" t="str">
            <v>Cây vọng cách đường kính thân 30 cm &lt; ĐK thân ≤40 cm</v>
          </cell>
          <cell r="F777">
            <v>0</v>
          </cell>
        </row>
        <row r="778">
          <cell r="A778" t="str">
            <v>Cây vọng cách ĐK thân &gt; 40 cm</v>
          </cell>
          <cell r="F778">
            <v>0</v>
          </cell>
        </row>
        <row r="779">
          <cell r="A779" t="str">
            <v>Muồng Hoàng yến (Osaka vàng)</v>
          </cell>
          <cell r="F779">
            <v>0</v>
          </cell>
        </row>
        <row r="780">
          <cell r="A780" t="str">
            <v>Muồng Hoàng yến (Osaka vàng) Giống đủ tiêu chuẩn mới trồng, chiều cao cây H  ≤40cm</v>
          </cell>
          <cell r="F780">
            <v>0</v>
          </cell>
        </row>
        <row r="781">
          <cell r="A781" t="str">
            <v>Muồng Hoàng yến (Osaka vàng) đường kính gốc 1 cm  ≤ ĐK gốc &lt; 3 cm</v>
          </cell>
          <cell r="F781">
            <v>0</v>
          </cell>
        </row>
        <row r="782">
          <cell r="A782" t="str">
            <v>Muồng Hoàng yến (Osaka vàng) đường kính gốc 3 cm  ≤ ĐK gốc &lt; 5 cm</v>
          </cell>
          <cell r="F782">
            <v>0</v>
          </cell>
        </row>
        <row r="783">
          <cell r="A783" t="str">
            <v>Muồng Hoàng yến (Osaka vàng) đường kính gốc 5cm  ≤ ĐK gốc &lt; 10cm</v>
          </cell>
          <cell r="F783">
            <v>0</v>
          </cell>
        </row>
        <row r="784">
          <cell r="A784" t="str">
            <v>Muồng Hoàng yến (Osaka vàng) đường kính gốc 10cm  ≤ ĐK gốc &lt; 15cm</v>
          </cell>
          <cell r="F784">
            <v>0</v>
          </cell>
        </row>
        <row r="785">
          <cell r="A785" t="str">
            <v>Muồng Hoàng yến (Osaka vàng) đường kính gốc 15cm  ≤ ĐK gốc &lt; 20cm</v>
          </cell>
          <cell r="F785">
            <v>0</v>
          </cell>
        </row>
        <row r="786">
          <cell r="A786" t="str">
            <v>Muồng Hoàng yến (Osaka vàng) đường kính gốc 20cm  ≤ ĐK gốc &lt; 30cm</v>
          </cell>
          <cell r="F786">
            <v>0</v>
          </cell>
        </row>
        <row r="787">
          <cell r="A787" t="str">
            <v>Muồng Hoàng yến (Osaka vàng) đường kính gốc 30cm  ≤ ĐK gốc &lt; 40cm</v>
          </cell>
          <cell r="F787">
            <v>0</v>
          </cell>
        </row>
        <row r="788">
          <cell r="A788" t="str">
            <v>Muồng Hoàng yến (Osaka vàng) ĐK gốc ≥ 40cm</v>
          </cell>
          <cell r="F788">
            <v>0</v>
          </cell>
        </row>
        <row r="789">
          <cell r="A789" t="str">
            <v>Cây bồ kết</v>
          </cell>
          <cell r="F789">
            <v>0</v>
          </cell>
        </row>
        <row r="790">
          <cell r="A790" t="str">
            <v>Cây bồ kết Cây giống đủ tiêu chuẩn mới trồng, chiều cao cây H ≥ 40cm</v>
          </cell>
          <cell r="F790">
            <v>0</v>
          </cell>
        </row>
        <row r="791">
          <cell r="A791" t="str">
            <v>Cây bồ kết đường kính gốc 1 cm ≤ ĐK gốc &lt; 2cm</v>
          </cell>
          <cell r="F791">
            <v>0</v>
          </cell>
        </row>
        <row r="792">
          <cell r="A792" t="str">
            <v>Cây bồ kết đường kính gốc 2cm ≤ ĐK gốc &lt; 5cm</v>
          </cell>
          <cell r="F792">
            <v>0</v>
          </cell>
        </row>
        <row r="793">
          <cell r="A793" t="str">
            <v>Cây bồ kết đường kính gốc 5cm ≤ ĐK gốc &lt; 7cm</v>
          </cell>
          <cell r="F793">
            <v>0</v>
          </cell>
        </row>
        <row r="794">
          <cell r="A794" t="str">
            <v>Cây bồ kết đường kính gốc 7cm ≤ ĐK gốc &lt; 9cm</v>
          </cell>
          <cell r="F794">
            <v>0</v>
          </cell>
        </row>
        <row r="795">
          <cell r="A795" t="str">
            <v>Cây bồ kết đường kính gốc 9cm ≤ ĐK gốc &lt; 12cm</v>
          </cell>
          <cell r="F795">
            <v>0</v>
          </cell>
        </row>
        <row r="796">
          <cell r="A796" t="str">
            <v>Cây bồ kết đường kính gốc 12cm ≤ ĐK gốc &lt; 15cm</v>
          </cell>
          <cell r="F796">
            <v>0</v>
          </cell>
        </row>
        <row r="797">
          <cell r="A797" t="str">
            <v>Cây bồ kết đường kính gốc 15cm ≤ ĐK gốc &lt; 20cm</v>
          </cell>
          <cell r="F797">
            <v>0</v>
          </cell>
        </row>
        <row r="798">
          <cell r="A798" t="str">
            <v>Cây bồ kết đường kính gốc 20cm ≤ ĐK gốc &lt; 25cm</v>
          </cell>
          <cell r="F798">
            <v>0</v>
          </cell>
        </row>
        <row r="799">
          <cell r="A799" t="str">
            <v>Cây bồ kết đường kính gốc 25cm ≤ ĐK gốc &lt; 30cm</v>
          </cell>
          <cell r="F799">
            <v>0</v>
          </cell>
        </row>
        <row r="800">
          <cell r="A800" t="str">
            <v>Cây bồ kết đường kính gốc 30cm ≤ ĐK gốc &lt; 35cm</v>
          </cell>
          <cell r="F800">
            <v>0</v>
          </cell>
        </row>
        <row r="801">
          <cell r="A801" t="str">
            <v>Cây bồ kết đường kính gốc 35cm ≤ ĐK gốc &lt; 50cm</v>
          </cell>
          <cell r="F801">
            <v>0</v>
          </cell>
        </row>
        <row r="802">
          <cell r="A802" t="str">
            <v>Cây bồ kết ĐK gốc ≥ 50cm</v>
          </cell>
          <cell r="F802">
            <v>0</v>
          </cell>
        </row>
        <row r="803">
          <cell r="A803" t="str">
            <v>Cây vông</v>
          </cell>
          <cell r="F803">
            <v>0</v>
          </cell>
        </row>
        <row r="804">
          <cell r="A804" t="str">
            <v>Cây vông giống mới trồng</v>
          </cell>
          <cell r="F804">
            <v>0</v>
          </cell>
        </row>
        <row r="805">
          <cell r="A805" t="str">
            <v>Cây vông đường kính thân 2 cm &lt; ĐK thân ≤5 cm</v>
          </cell>
          <cell r="F805">
            <v>0</v>
          </cell>
        </row>
        <row r="806">
          <cell r="A806" t="str">
            <v>Cây vông đường kính thân 5 cm &lt; ĐK thân ≤10 cm</v>
          </cell>
          <cell r="F806">
            <v>0</v>
          </cell>
        </row>
        <row r="807">
          <cell r="A807" t="str">
            <v>Cây vông đường kính thân 10 cm &lt; ĐK thân ≤15 cm</v>
          </cell>
          <cell r="F807">
            <v>0</v>
          </cell>
        </row>
        <row r="808">
          <cell r="A808" t="str">
            <v>Cây vông đường kính thân 15 cm &lt; ĐK thân ≤25 cm</v>
          </cell>
          <cell r="F808">
            <v>0</v>
          </cell>
        </row>
        <row r="809">
          <cell r="A809" t="str">
            <v>Cây vông đường kính thân 25 cm &lt; ĐK thân ≤40 cm</v>
          </cell>
          <cell r="F809">
            <v>0</v>
          </cell>
        </row>
        <row r="810">
          <cell r="A810" t="str">
            <v>Cây vông đường kính thân 40 cm &lt; ĐK thân ≤60 cm</v>
          </cell>
          <cell r="F810">
            <v>0</v>
          </cell>
        </row>
        <row r="811">
          <cell r="A811" t="str">
            <v>Cây vông ĐK thân &gt; 60 cm</v>
          </cell>
          <cell r="F811">
            <v>0</v>
          </cell>
        </row>
        <row r="812">
          <cell r="A812" t="str">
            <v>Cây tre hóa</v>
          </cell>
          <cell r="F812">
            <v>0</v>
          </cell>
        </row>
        <row r="813">
          <cell r="A813" t="str">
            <v>Cây tre hóa Cây giống đủ tiêu chuẩn mới trồng</v>
          </cell>
          <cell r="F813">
            <v>0</v>
          </cell>
        </row>
        <row r="814">
          <cell r="A814" t="str">
            <v>Cây tre hóa đường kính thân 2 cm &lt; ĐK thân ≤5 cm</v>
          </cell>
          <cell r="F814">
            <v>0</v>
          </cell>
        </row>
        <row r="815">
          <cell r="A815" t="str">
            <v>Cây tre hóa đường kính thân 5 cm &lt; ĐK thân ≤10 cm</v>
          </cell>
          <cell r="F815">
            <v>0</v>
          </cell>
        </row>
        <row r="816">
          <cell r="A816" t="str">
            <v>Cây tre hóa ĐK thân &gt; 10 cm</v>
          </cell>
          <cell r="F816">
            <v>0</v>
          </cell>
        </row>
        <row r="817">
          <cell r="A817" t="str">
            <v>Cây cau bụng</v>
          </cell>
          <cell r="F817">
            <v>0</v>
          </cell>
        </row>
        <row r="818">
          <cell r="A818" t="str">
            <v>Cây cau bụng Cây giống mới trồng</v>
          </cell>
          <cell r="F818">
            <v>0</v>
          </cell>
        </row>
        <row r="819">
          <cell r="A819" t="str">
            <v>Cây cau bụng đường kính thân 2 cm&lt; ĐK thân ≤5 cm</v>
          </cell>
          <cell r="F819">
            <v>0</v>
          </cell>
        </row>
        <row r="820">
          <cell r="A820" t="str">
            <v>Cây cau bụng đường kính thân 5 cm &lt; ĐK thân ≤10 cm</v>
          </cell>
          <cell r="F820">
            <v>0</v>
          </cell>
        </row>
        <row r="821">
          <cell r="A821" t="str">
            <v>Cây cau bụng đường kính thân 10 cm &lt; ĐK thân ≤15 cm</v>
          </cell>
          <cell r="F821">
            <v>0</v>
          </cell>
        </row>
        <row r="822">
          <cell r="A822" t="str">
            <v>Cây cau bụng đường kính thân 15 cm &lt; ĐK thân ≤25 cm</v>
          </cell>
          <cell r="F822">
            <v>0</v>
          </cell>
        </row>
        <row r="823">
          <cell r="A823" t="str">
            <v>Cây cau bụng đường kính thân 25 cm &lt; ĐK thân ≤40 cm</v>
          </cell>
          <cell r="F823">
            <v>0</v>
          </cell>
        </row>
        <row r="824">
          <cell r="A824" t="str">
            <v>Cây cau bụng ĐK thân &gt; 40 cm</v>
          </cell>
          <cell r="F824">
            <v>0</v>
          </cell>
        </row>
        <row r="825">
          <cell r="A825" t="str">
            <v>Cây cau sâm panh</v>
          </cell>
          <cell r="F825">
            <v>0</v>
          </cell>
        </row>
        <row r="826">
          <cell r="A826" t="str">
            <v>Cây cau sâm panh Cây giống mới trồng</v>
          </cell>
          <cell r="F826">
            <v>0</v>
          </cell>
        </row>
        <row r="827">
          <cell r="A827" t="str">
            <v>Cây cau sâm panh đường kính thân 2 cm &lt; ĐK thân ≤5 cm</v>
          </cell>
          <cell r="F827">
            <v>0</v>
          </cell>
        </row>
        <row r="828">
          <cell r="A828" t="str">
            <v>Cây cau sâm panh đường kính thân 5 cm &lt; ĐK thân ≤10 cm</v>
          </cell>
          <cell r="F828">
            <v>0</v>
          </cell>
        </row>
        <row r="829">
          <cell r="A829" t="str">
            <v>Cây cau sâm panh đường kính thân 10 cm &lt; ĐK thân ≤15 cm</v>
          </cell>
          <cell r="F829">
            <v>0</v>
          </cell>
        </row>
        <row r="830">
          <cell r="A830" t="str">
            <v>Cây cau sâm panh đường kính thân 15 cm &lt; ĐK thân ≤25 cm</v>
          </cell>
          <cell r="F830">
            <v>0</v>
          </cell>
        </row>
        <row r="831">
          <cell r="A831" t="str">
            <v>Cây cau sâm panh đường kính thân 25 cm &lt; ĐK thân ≤40 cm</v>
          </cell>
          <cell r="F831">
            <v>0</v>
          </cell>
        </row>
        <row r="832">
          <cell r="A832" t="str">
            <v>Cây cau sâm panh đường kính thân 40 cm &lt; ĐK thân ≤60 cm</v>
          </cell>
          <cell r="F832">
            <v>0</v>
          </cell>
        </row>
        <row r="833">
          <cell r="A833" t="str">
            <v>Cây cau sâm panh ĐK thân &gt; 60 cm</v>
          </cell>
          <cell r="F833">
            <v>0</v>
          </cell>
        </row>
        <row r="834">
          <cell r="A834" t="str">
            <v>Cây cần thăng</v>
          </cell>
          <cell r="F834">
            <v>0</v>
          </cell>
        </row>
        <row r="835">
          <cell r="A835" t="str">
            <v>Cây cần thăng Cây giống mới trồng</v>
          </cell>
          <cell r="F835">
            <v>0</v>
          </cell>
        </row>
        <row r="836">
          <cell r="A836" t="str">
            <v>Cây cần thăng đường kính thân 2 cm &lt; ĐK thân ≤5 cm</v>
          </cell>
          <cell r="F836">
            <v>0</v>
          </cell>
        </row>
        <row r="837">
          <cell r="A837" t="str">
            <v>Cây cần thăng đường kính thân 5 cm &lt; ĐK thân ≤  10 cm</v>
          </cell>
          <cell r="F837">
            <v>0</v>
          </cell>
        </row>
        <row r="838">
          <cell r="A838" t="str">
            <v>Cây cần thăng đường kính thân 10 cm &lt; ĐK thân ≤ 15 cm</v>
          </cell>
          <cell r="F838">
            <v>0</v>
          </cell>
        </row>
        <row r="839">
          <cell r="A839" t="str">
            <v>Cây cần thăng ĐK thân &gt; 15 cm</v>
          </cell>
          <cell r="F839">
            <v>0</v>
          </cell>
        </row>
        <row r="840">
          <cell r="A840" t="str">
            <v>Cây hoa trà</v>
          </cell>
          <cell r="F840">
            <v>0</v>
          </cell>
        </row>
        <row r="841">
          <cell r="A841" t="str">
            <v>Cây hoa trà Cây giống mới trồng</v>
          </cell>
          <cell r="F841">
            <v>0</v>
          </cell>
        </row>
        <row r="842">
          <cell r="A842" t="str">
            <v>Cây hoa trà đường kính thân 0,5 cm &lt; ĐK thân ≤3 cm</v>
          </cell>
          <cell r="F842">
            <v>0</v>
          </cell>
        </row>
        <row r="843">
          <cell r="A843" t="str">
            <v>Cây hoa trà đường kính thân 3 cm &lt; ĐK thân ≤5 cm</v>
          </cell>
          <cell r="F843">
            <v>0</v>
          </cell>
        </row>
        <row r="844">
          <cell r="A844" t="str">
            <v>Cây hoa trà đường kính thân 5 cm &lt; ĐK thân ≤8 cm</v>
          </cell>
          <cell r="F844">
            <v>0</v>
          </cell>
        </row>
        <row r="845">
          <cell r="A845" t="str">
            <v>Cây hoa trà ĐK thân &gt; 8 cm</v>
          </cell>
          <cell r="F845">
            <v>0</v>
          </cell>
        </row>
        <row r="846">
          <cell r="A846" t="str">
            <v>Cây hải đường</v>
          </cell>
          <cell r="F846">
            <v>0</v>
          </cell>
        </row>
        <row r="847">
          <cell r="A847" t="str">
            <v>Cây hải đường Cây giống đủ tiêu chuẩn mới trồng</v>
          </cell>
          <cell r="F847">
            <v>0</v>
          </cell>
        </row>
        <row r="848">
          <cell r="A848" t="str">
            <v>Cây hải đường  đường kính thân 0,5 cm &lt; ĐK thân ≤3 cm</v>
          </cell>
          <cell r="F848">
            <v>0</v>
          </cell>
        </row>
        <row r="849">
          <cell r="A849" t="str">
            <v>Cây hải đường  đường kính thân 3 cm &lt; ĐK thân ≤5 cm</v>
          </cell>
          <cell r="F849">
            <v>0</v>
          </cell>
        </row>
        <row r="850">
          <cell r="A850" t="str">
            <v>Cây hải đường  đường kính thân 5 cm &lt; ĐK thân ≤8 cm</v>
          </cell>
          <cell r="F850">
            <v>0</v>
          </cell>
        </row>
        <row r="851">
          <cell r="A851" t="str">
            <v>Cây hải đường ĐK thân &gt; 8 cm</v>
          </cell>
          <cell r="F851">
            <v>0</v>
          </cell>
        </row>
        <row r="852">
          <cell r="A852" t="str">
            <v>Cây tường vi</v>
          </cell>
          <cell r="F852">
            <v>0</v>
          </cell>
        </row>
        <row r="853">
          <cell r="A853" t="str">
            <v>Cây tường vi Cây giống mới trồng</v>
          </cell>
          <cell r="F853">
            <v>0</v>
          </cell>
        </row>
        <row r="854">
          <cell r="A854" t="str">
            <v>Cây tường vi đường kính thân 2 cm &lt; ĐK thân ≤5 cm</v>
          </cell>
          <cell r="F854">
            <v>0</v>
          </cell>
        </row>
        <row r="855">
          <cell r="A855" t="str">
            <v>Cây tường vi đường kính thân 5 cm &lt; ĐK thân ≤10 cm</v>
          </cell>
          <cell r="F855">
            <v>0</v>
          </cell>
        </row>
        <row r="856">
          <cell r="A856" t="str">
            <v>Cây tường vi ĐKthân&gt; 10 cm</v>
          </cell>
          <cell r="F856">
            <v>0</v>
          </cell>
        </row>
        <row r="857">
          <cell r="A857" t="str">
            <v>Cây mai tứ quý</v>
          </cell>
          <cell r="F857">
            <v>0</v>
          </cell>
        </row>
        <row r="858">
          <cell r="A858" t="str">
            <v>Cây mai tứ quý Cây giống mới trồng</v>
          </cell>
          <cell r="F858">
            <v>0</v>
          </cell>
        </row>
        <row r="859">
          <cell r="A859" t="str">
            <v>Cây mai tứ quý đường kính thân 2 cm &lt; ĐK thân ≤5 cm</v>
          </cell>
          <cell r="F859">
            <v>0</v>
          </cell>
        </row>
        <row r="860">
          <cell r="A860" t="str">
            <v>Cây mai tứ quý đường kính thân 5 cm &lt; ĐK thân ≤10 cm</v>
          </cell>
          <cell r="F860">
            <v>0</v>
          </cell>
        </row>
        <row r="861">
          <cell r="A861" t="str">
            <v>Cây mai tứ quý đường kính thân 10 cm &lt; ĐK thân ≤15 cm</v>
          </cell>
          <cell r="F861">
            <v>0</v>
          </cell>
        </row>
        <row r="862">
          <cell r="A862" t="str">
            <v>Cây mai tứ quý ĐKthân&gt; 15 cm</v>
          </cell>
          <cell r="F862">
            <v>0</v>
          </cell>
        </row>
        <row r="863">
          <cell r="A863" t="str">
            <v>Cây mai chiếu thủy</v>
          </cell>
          <cell r="F863">
            <v>0</v>
          </cell>
        </row>
        <row r="864">
          <cell r="A864" t="str">
            <v>Cây mai chiếu thủy Cây giống mới trồng</v>
          </cell>
          <cell r="F864">
            <v>0</v>
          </cell>
        </row>
        <row r="865">
          <cell r="A865" t="str">
            <v>Cây mai chiếu thủy đường kính thân 2 cm &lt; ĐK thân ≤5 cm</v>
          </cell>
          <cell r="F865">
            <v>0</v>
          </cell>
        </row>
        <row r="866">
          <cell r="A866" t="str">
            <v>Cây mai chiếu thủy đường kính thân 5 cm &lt; ĐK thân ≤10 cm</v>
          </cell>
          <cell r="F866">
            <v>0</v>
          </cell>
        </row>
        <row r="867">
          <cell r="A867" t="str">
            <v>Cây mai chiếu thủy đường kính thân 10 cm &lt; ĐK thân ≤15 cm</v>
          </cell>
          <cell r="F867">
            <v>0</v>
          </cell>
        </row>
        <row r="868">
          <cell r="A868" t="str">
            <v>Cây mai chiếu thủy ĐKthân&gt;15cm</v>
          </cell>
          <cell r="F868">
            <v>0</v>
          </cell>
        </row>
        <row r="869">
          <cell r="A869" t="str">
            <v>Cây mộc hương, cây hạnh phúc</v>
          </cell>
          <cell r="F869">
            <v>0</v>
          </cell>
        </row>
        <row r="870">
          <cell r="A870" t="str">
            <v>Cây mộc hương, cây hạnh phúc Cây giống mới trồng</v>
          </cell>
          <cell r="F870">
            <v>0</v>
          </cell>
        </row>
        <row r="871">
          <cell r="A871" t="str">
            <v>Cây mộc hương, cây hạnh phúc đường kính thân 2 cm &lt; ĐK thân ≤5 cm</v>
          </cell>
          <cell r="F871">
            <v>0</v>
          </cell>
        </row>
        <row r="872">
          <cell r="A872" t="str">
            <v>Cây mộc hương, cây hạnh phúc đường kính thân 5 cm &lt; ĐK thân ≤10 cm</v>
          </cell>
          <cell r="F872">
            <v>0</v>
          </cell>
        </row>
        <row r="873">
          <cell r="A873" t="str">
            <v>Cây mộc hương, cây hạnh phúc đường kính thân 10 cm &lt; ĐK thân ≤15 cm</v>
          </cell>
          <cell r="F873">
            <v>0</v>
          </cell>
        </row>
        <row r="874">
          <cell r="A874" t="str">
            <v>Cây mộc hương, cây hạnh phúc ĐK thân &gt; 15 cm</v>
          </cell>
          <cell r="F874">
            <v>0</v>
          </cell>
        </row>
        <row r="875">
          <cell r="A875" t="str">
            <v>Cây hoa giấy</v>
          </cell>
          <cell r="F875">
            <v>0</v>
          </cell>
        </row>
        <row r="876">
          <cell r="A876" t="str">
            <v>Cây hoa giấy Cây giống mới trồng</v>
          </cell>
          <cell r="F876">
            <v>0</v>
          </cell>
        </row>
        <row r="877">
          <cell r="A877" t="str">
            <v>Cây hoa giấy ĐK thân ≤2 cm</v>
          </cell>
          <cell r="F877">
            <v>0</v>
          </cell>
        </row>
        <row r="878">
          <cell r="A878" t="str">
            <v>Cây hoa giấy đường kính thân 2 cm &lt; ĐK thân ≤5 cm</v>
          </cell>
          <cell r="F878">
            <v>0</v>
          </cell>
        </row>
        <row r="879">
          <cell r="A879" t="str">
            <v>Cây hoa giấy đường kính thân 5 cm &lt; ĐK thân ≤10 cm</v>
          </cell>
          <cell r="F879">
            <v>0</v>
          </cell>
        </row>
        <row r="880">
          <cell r="A880" t="str">
            <v>Cây hoa giấy đường kính thân 10 cm &lt; ĐK thân ≤15 cm</v>
          </cell>
          <cell r="F880">
            <v>0</v>
          </cell>
        </row>
        <row r="881">
          <cell r="A881" t="str">
            <v>Cây hoa giấy đường kính thân 15 cm &lt; ĐK thân ≤20 cm</v>
          </cell>
          <cell r="F881">
            <v>0</v>
          </cell>
        </row>
        <row r="882">
          <cell r="A882" t="str">
            <v>Cây hoa giấy đường kính thân 20 cm&lt; ĐK thân ≤25 cm</v>
          </cell>
          <cell r="F882">
            <v>0</v>
          </cell>
        </row>
        <row r="883">
          <cell r="A883" t="str">
            <v>Cây hoa giấy ĐK thân &gt; 25 cm</v>
          </cell>
          <cell r="F883">
            <v>0</v>
          </cell>
        </row>
        <row r="884">
          <cell r="A884" t="str">
            <v>Cây lan bình rượu (náng đế)</v>
          </cell>
          <cell r="F884">
            <v>0</v>
          </cell>
        </row>
        <row r="885">
          <cell r="A885" t="str">
            <v>Cây lan bình rượu (náng đế) Cây giống mới trồng</v>
          </cell>
          <cell r="F885">
            <v>0</v>
          </cell>
        </row>
        <row r="886">
          <cell r="A886" t="str">
            <v>Cây lan bình rượu (náng đế) đường kính thân 2 cm &lt; ĐK thân ≤5 cm</v>
          </cell>
          <cell r="F886">
            <v>0</v>
          </cell>
        </row>
        <row r="887">
          <cell r="A887" t="str">
            <v>Cây lan bình rượu (náng đế) đường kính thân 5 cm &lt; ĐK thân ≤10 cm</v>
          </cell>
          <cell r="F887">
            <v>0</v>
          </cell>
        </row>
        <row r="888">
          <cell r="A888" t="str">
            <v>Cây lan bình rượu (náng đế) đường kính thân 10 cm &lt; ĐK thân ≤15 cm</v>
          </cell>
          <cell r="F888">
            <v>0</v>
          </cell>
        </row>
        <row r="889">
          <cell r="A889" t="str">
            <v>Cây lan bình rượu (náng đế) đường kính thân 15 cm &lt; ĐK thân ≤25 cm</v>
          </cell>
          <cell r="F889">
            <v>0</v>
          </cell>
        </row>
        <row r="890">
          <cell r="A890" t="str">
            <v>Cây lan bình rượu (náng đế) ĐK thân &gt; 25 cm</v>
          </cell>
          <cell r="F890">
            <v>0</v>
          </cell>
        </row>
        <row r="891">
          <cell r="A891" t="str">
            <v>Cây mắc mật (Móc mật)</v>
          </cell>
          <cell r="F891">
            <v>0</v>
          </cell>
        </row>
        <row r="892">
          <cell r="A892" t="str">
            <v>Cây mắc mật (Móc mật) Cây mới trồng, ĐK thân ≤2cm</v>
          </cell>
          <cell r="F892">
            <v>0</v>
          </cell>
        </row>
        <row r="893">
          <cell r="A893" t="str">
            <v>Cây mắc mật (Móc mật) đường kính gốc 2 cm &lt; ĐK gốc ≤ 5 cm</v>
          </cell>
          <cell r="F893">
            <v>0</v>
          </cell>
        </row>
        <row r="894">
          <cell r="A894" t="str">
            <v>Cây mắc mật (Móc mật) đường kính gốc 5 cm &lt; ĐK gốc ≤ 10 cm</v>
          </cell>
          <cell r="F894">
            <v>0</v>
          </cell>
        </row>
        <row r="895">
          <cell r="A895" t="str">
            <v>Cây mắc mật (Móc mật) đường kính gốc 10 cm &lt; ĐK gốc ≤ 150 cm</v>
          </cell>
          <cell r="F895">
            <v>0</v>
          </cell>
        </row>
        <row r="896">
          <cell r="A896" t="str">
            <v>Cây mắc mật (Móc mật) đường kính gốc 15 cm &lt; ĐK gốc ≤ 20 cm</v>
          </cell>
          <cell r="F896">
            <v>0</v>
          </cell>
        </row>
        <row r="897">
          <cell r="A897" t="str">
            <v>Cây mắc mật (Móc mật) ĐK gốc &gt; 20 cm</v>
          </cell>
          <cell r="F897">
            <v>0</v>
          </cell>
        </row>
        <row r="898">
          <cell r="A898" t="str">
            <v>Cây sim</v>
          </cell>
          <cell r="F898">
            <v>0</v>
          </cell>
        </row>
        <row r="899">
          <cell r="A899" t="str">
            <v>Cây sim Cây giống mới trồng</v>
          </cell>
          <cell r="F899">
            <v>0</v>
          </cell>
        </row>
        <row r="900">
          <cell r="A900" t="str">
            <v>Cây sim ĐK thân ≤5 cm</v>
          </cell>
          <cell r="F900">
            <v>0</v>
          </cell>
        </row>
        <row r="901">
          <cell r="A901" t="str">
            <v>Cây sim đường kính thân 5 cm &lt; ĐK thân ≤7 cm</v>
          </cell>
          <cell r="F901">
            <v>0</v>
          </cell>
        </row>
        <row r="902">
          <cell r="A902" t="str">
            <v>Cây sim đường kính thân 7 cm &lt; ĐK thân ≤10 cm</v>
          </cell>
          <cell r="F902">
            <v>0</v>
          </cell>
        </row>
        <row r="903">
          <cell r="A903" t="str">
            <v>Cây sim ĐK thân &gt; 10 cm</v>
          </cell>
          <cell r="F903">
            <v>0</v>
          </cell>
        </row>
        <row r="904">
          <cell r="A904" t="str">
            <v>Cây tùng bách tán</v>
          </cell>
          <cell r="F904">
            <v>0</v>
          </cell>
        </row>
        <row r="905">
          <cell r="A905" t="str">
            <v>Cây tùng bách tán Cây giống mới trồng</v>
          </cell>
          <cell r="F905">
            <v>0</v>
          </cell>
        </row>
        <row r="906">
          <cell r="A906" t="str">
            <v>Cây tùng bách tán ĐK thân ≤2 cm</v>
          </cell>
          <cell r="F906">
            <v>0</v>
          </cell>
        </row>
        <row r="907">
          <cell r="A907" t="str">
            <v>Cây tùng bách tán đường kính thân 2 cm &lt; ĐK thân ≤5 cm</v>
          </cell>
          <cell r="F907">
            <v>0</v>
          </cell>
        </row>
        <row r="908">
          <cell r="A908" t="str">
            <v>Cây tùng bách tán đường kính thân 5 cm &lt; ĐK thân ≤10 cm</v>
          </cell>
          <cell r="F908">
            <v>0</v>
          </cell>
        </row>
        <row r="909">
          <cell r="A909" t="str">
            <v>Cây tùng bách tán đường kính thân 10 cm &lt; ĐK thân ≤15 cm</v>
          </cell>
          <cell r="F909">
            <v>0</v>
          </cell>
        </row>
        <row r="910">
          <cell r="A910" t="str">
            <v>Cây tùng bách tán đường kính thân 15 cm &lt; ĐK thân ≤20 cm</v>
          </cell>
          <cell r="F910">
            <v>0</v>
          </cell>
        </row>
        <row r="911">
          <cell r="A911" t="str">
            <v>Cây tùng bách tán đường kính thân 20 cm &lt; ĐK thân ≤25 cm</v>
          </cell>
          <cell r="F911">
            <v>0</v>
          </cell>
        </row>
        <row r="912">
          <cell r="A912" t="str">
            <v>Cây tùng bách tán ĐK thân &gt; 25 cm</v>
          </cell>
          <cell r="F912">
            <v>0</v>
          </cell>
        </row>
        <row r="913">
          <cell r="A913" t="str">
            <v>Cây tùng la hán</v>
          </cell>
          <cell r="F913">
            <v>0</v>
          </cell>
        </row>
        <row r="914">
          <cell r="A914" t="str">
            <v>Cây tùng la hán Cây giống mới trồng</v>
          </cell>
          <cell r="F914">
            <v>0</v>
          </cell>
        </row>
        <row r="915">
          <cell r="A915" t="str">
            <v>Cây tùng la hán ĐK thân ≤2 cm</v>
          </cell>
          <cell r="F915">
            <v>0</v>
          </cell>
        </row>
        <row r="916">
          <cell r="A916" t="str">
            <v>Cây tùng la hán đường kính thân 2 cm &lt; ĐK thân ≤5 cm</v>
          </cell>
          <cell r="F916">
            <v>0</v>
          </cell>
        </row>
        <row r="917">
          <cell r="A917" t="str">
            <v>Cây tùng la hán đường kính thân 5 cm &lt; ĐK thân ≤10 cm</v>
          </cell>
          <cell r="F917">
            <v>0</v>
          </cell>
        </row>
        <row r="918">
          <cell r="A918" t="str">
            <v>Cây tùng la hán đường kính thân 10 cm &lt; ĐK thân ≤15 cm</v>
          </cell>
          <cell r="F918">
            <v>0</v>
          </cell>
        </row>
        <row r="919">
          <cell r="A919" t="str">
            <v>Cây tùng la hán đường kính thân 15 cm &lt; ĐK thân ≤20 cm</v>
          </cell>
          <cell r="F919">
            <v>0</v>
          </cell>
        </row>
        <row r="920">
          <cell r="A920" t="str">
            <v>Cây tùng la hán đường kính thân 20 cm &lt; ĐK thân ≤25 cm</v>
          </cell>
          <cell r="F920">
            <v>0</v>
          </cell>
        </row>
        <row r="921">
          <cell r="A921" t="str">
            <v>Cây tùng la hán ĐK thân &gt; 25 cm</v>
          </cell>
          <cell r="F921">
            <v>0</v>
          </cell>
        </row>
        <row r="922">
          <cell r="A922" t="str">
            <v>Cây tùng kim</v>
          </cell>
          <cell r="F922">
            <v>0</v>
          </cell>
        </row>
        <row r="923">
          <cell r="A923" t="str">
            <v>Cây tùng kim Cây giống mới trồng</v>
          </cell>
          <cell r="F923">
            <v>0</v>
          </cell>
        </row>
        <row r="924">
          <cell r="A924" t="str">
            <v>Cây tùng kim ĐK thân ≤2 cm</v>
          </cell>
          <cell r="F924">
            <v>0</v>
          </cell>
        </row>
        <row r="925">
          <cell r="A925" t="str">
            <v>Cây tùng kim đường kính thân 2 cm &lt; ĐK thân ≤5 cm</v>
          </cell>
          <cell r="F925">
            <v>0</v>
          </cell>
        </row>
        <row r="926">
          <cell r="A926" t="str">
            <v>Cây tùng kim đường kính thân 5 cm &lt; ĐK thân ≤10 cm</v>
          </cell>
          <cell r="F926">
            <v>0</v>
          </cell>
        </row>
        <row r="927">
          <cell r="A927" t="str">
            <v>Cây tùng kim đường kính thân 10 cm &lt; ĐK thân ≤15 cm</v>
          </cell>
          <cell r="F927">
            <v>0</v>
          </cell>
        </row>
        <row r="928">
          <cell r="A928" t="str">
            <v>Cây tùng kim đường kính thân 15 cm &lt; ĐK thân ≤20 cm</v>
          </cell>
          <cell r="F928">
            <v>0</v>
          </cell>
        </row>
        <row r="929">
          <cell r="A929" t="str">
            <v>Cây tùng kim đường kính thân 20 cm &lt; ĐK thân ≤25 cm</v>
          </cell>
          <cell r="F929">
            <v>0</v>
          </cell>
        </row>
        <row r="930">
          <cell r="A930" t="str">
            <v>Cây tùng kim ĐK thân &gt; 25 cm</v>
          </cell>
          <cell r="F930">
            <v>0</v>
          </cell>
        </row>
        <row r="931">
          <cell r="A931" t="str">
            <v>Bàng Đài Loan</v>
          </cell>
          <cell r="F931">
            <v>0</v>
          </cell>
        </row>
        <row r="932">
          <cell r="A932" t="str">
            <v>Bàng Đài Loan Giống đủ tiêu chuẩn mới trồng, chiều cao cây H  ≤ 40cm</v>
          </cell>
          <cell r="F932">
            <v>0</v>
          </cell>
        </row>
        <row r="933">
          <cell r="A933" t="str">
            <v>Bàng Đài Loan đường kính gốc 1cm  ≤ ĐK gốc &lt; 3cm</v>
          </cell>
          <cell r="F933">
            <v>0</v>
          </cell>
        </row>
        <row r="934">
          <cell r="A934" t="str">
            <v>Bàng Đài Loan đường kính gốc 3cm  ≤ ĐK gốc &lt; 5cm</v>
          </cell>
          <cell r="F934">
            <v>0</v>
          </cell>
        </row>
        <row r="935">
          <cell r="A935" t="str">
            <v>Bàng Đài Loan đường kính gốc 5cm  ≤ ĐK gốc &lt; 10cm</v>
          </cell>
          <cell r="F935">
            <v>0</v>
          </cell>
        </row>
        <row r="936">
          <cell r="A936" t="str">
            <v>Bàng Đài Loan đường kính gốc 10cm  ≤ ĐK gốc &lt; 15cm</v>
          </cell>
          <cell r="F936">
            <v>0</v>
          </cell>
        </row>
        <row r="937">
          <cell r="A937" t="str">
            <v>Bàng Đài Loan đường kính gốc 15cm  ≤ ĐK gốc &lt; 20cm</v>
          </cell>
          <cell r="F937">
            <v>0</v>
          </cell>
        </row>
        <row r="938">
          <cell r="A938" t="str">
            <v>Bàng Đài Loan đường kính gốc 20cm  ≤ ĐK gốc &lt; 25cm</v>
          </cell>
          <cell r="F938">
            <v>0</v>
          </cell>
        </row>
        <row r="939">
          <cell r="A939" t="str">
            <v>Bàng Đài Loan đường kính gốc 25cm  ≤ ĐK gốc &lt; 30cm</v>
          </cell>
          <cell r="F939">
            <v>0</v>
          </cell>
        </row>
        <row r="940">
          <cell r="A940" t="str">
            <v>Bàng Đài Loan ĐK gốc ≥ 30cm</v>
          </cell>
          <cell r="F940">
            <v>0</v>
          </cell>
        </row>
        <row r="941">
          <cell r="A941" t="str">
            <v>Tùng Ấn Độ</v>
          </cell>
          <cell r="F941">
            <v>0</v>
          </cell>
        </row>
        <row r="942">
          <cell r="A942" t="str">
            <v>Tùng Ấn Độ Cây giống đủ tiêu chuẩn mới trồng, chiều cao cây H &lt; 40cm</v>
          </cell>
          <cell r="F942">
            <v>0</v>
          </cell>
        </row>
        <row r="943">
          <cell r="A943" t="str">
            <v>Tùng Ấn Độ đường kính gốc 1 cm  ≤ ĐK gốc &lt; 3cm</v>
          </cell>
          <cell r="F943">
            <v>0</v>
          </cell>
        </row>
        <row r="944">
          <cell r="A944" t="str">
            <v>Tùng Ấn Độ đường kính gốc 3cm  ≤ ĐK gốc &lt; 5cm</v>
          </cell>
          <cell r="F944">
            <v>0</v>
          </cell>
        </row>
        <row r="945">
          <cell r="A945" t="str">
            <v>Tùng Ấn Độ đường kính gốc 5cm  ≤ ĐK gốc &lt; 10cm</v>
          </cell>
          <cell r="F945">
            <v>0</v>
          </cell>
        </row>
        <row r="946">
          <cell r="A946" t="str">
            <v>Tùng Ấn Độ đường kính gốc 10cm  ≤ ĐK gốc &lt; 15cm</v>
          </cell>
          <cell r="F946">
            <v>0</v>
          </cell>
        </row>
        <row r="947">
          <cell r="A947" t="str">
            <v>Tùng Ấn Độ ĐK gốc ≥ 15cm</v>
          </cell>
          <cell r="F947">
            <v>0</v>
          </cell>
        </row>
        <row r="948">
          <cell r="A948" t="str">
            <v>Sầu riêng</v>
          </cell>
          <cell r="F948">
            <v>0</v>
          </cell>
        </row>
        <row r="949">
          <cell r="A949" t="str">
            <v>Sầu riêng Cây mới trồng &lt;01 năm (cây từ hạt)</v>
          </cell>
          <cell r="F949">
            <v>0</v>
          </cell>
        </row>
        <row r="950">
          <cell r="A950" t="str">
            <v>Sầu riêng Cây mới trồng &lt; 01 năm (cây ghép)</v>
          </cell>
          <cell r="F950">
            <v>0</v>
          </cell>
        </row>
        <row r="951">
          <cell r="A951" t="str">
            <v>Sầu riêng Cây trồng ≥  01 năm, chiều cao thân cây &lt; 1m chưa có quả</v>
          </cell>
          <cell r="F951">
            <v>0</v>
          </cell>
        </row>
        <row r="952">
          <cell r="A952" t="str">
            <v>Sầu riêng Cây trồng có chiều cao thân cây từ ≥1 m chưa có quả</v>
          </cell>
          <cell r="F952">
            <v>0</v>
          </cell>
        </row>
        <row r="953">
          <cell r="A953" t="str">
            <v>Sầu riêng Cây có quả đường kính gốc &lt; 20cm</v>
          </cell>
          <cell r="F953">
            <v>0</v>
          </cell>
        </row>
        <row r="954">
          <cell r="A954" t="str">
            <v>Sầu riêng Cây có quả tốt đường kính thân ≥ 20cm đến &lt; 45cm</v>
          </cell>
          <cell r="F954">
            <v>0</v>
          </cell>
        </row>
        <row r="955">
          <cell r="A955" t="str">
            <v>Sầu riêng Cây có quả thu hoạch tốt đường kính gốc ≥ 45 cm</v>
          </cell>
          <cell r="F955">
            <v>0</v>
          </cell>
        </row>
        <row r="956">
          <cell r="A956" t="str">
            <v>Cây Dẻ lấy quả</v>
          </cell>
          <cell r="F956">
            <v>0</v>
          </cell>
        </row>
        <row r="957">
          <cell r="A957" t="str">
            <v>Cây Dẻ lấy quả Mới trồng, ĐK gốc &lt; 5 cm</v>
          </cell>
          <cell r="F957">
            <v>0</v>
          </cell>
        </row>
        <row r="958">
          <cell r="A958" t="str">
            <v>Cây Dẻ lấy quả đường kính gốc 5 cm ≤ ĐK gốc &lt;10cm</v>
          </cell>
          <cell r="F958">
            <v>0</v>
          </cell>
        </row>
        <row r="959">
          <cell r="A959" t="str">
            <v>Cây Dẻ lấy quả đường kính gốc 10cm ≤ ĐK gốc &lt; 20cm</v>
          </cell>
          <cell r="F959">
            <v>0</v>
          </cell>
        </row>
        <row r="960">
          <cell r="A960" t="str">
            <v>Cây Dẻ lấy quả đường kính gốc 20cm ≤ ĐK gốc &lt; 30cm</v>
          </cell>
          <cell r="F960">
            <v>0</v>
          </cell>
        </row>
        <row r="961">
          <cell r="A961" t="str">
            <v>Cây Dẻ lấy quả ĐK gốc &gt; 30cm</v>
          </cell>
          <cell r="F961">
            <v>0</v>
          </cell>
        </row>
        <row r="962">
          <cell r="A962" t="str">
            <v>Cây lựu</v>
          </cell>
          <cell r="F962">
            <v>0</v>
          </cell>
        </row>
        <row r="963">
          <cell r="A963" t="str">
            <v>Cây lựu Mới trồng, chiều cao cây H ≥ 40cm</v>
          </cell>
          <cell r="F963">
            <v>0</v>
          </cell>
        </row>
        <row r="964">
          <cell r="A964" t="str">
            <v>Cây lựu đường kính gốc 1 cm  ≤ ĐK gốc &lt; 2cm</v>
          </cell>
          <cell r="F964">
            <v>0</v>
          </cell>
        </row>
        <row r="965">
          <cell r="A965" t="str">
            <v>Cây lựu đường kính gốc 2cm  ≤ ĐK gốc &lt; 5cm</v>
          </cell>
          <cell r="F965">
            <v>0</v>
          </cell>
        </row>
        <row r="966">
          <cell r="A966" t="str">
            <v>Cây lựu đường kính gốc 5cm  ≤ ĐK gốc &lt; 7cm</v>
          </cell>
          <cell r="F966">
            <v>0</v>
          </cell>
        </row>
        <row r="967">
          <cell r="A967" t="str">
            <v>Cây lựu đường kính gốc 7cm  ≤ ĐK gốc &lt; 9cm</v>
          </cell>
          <cell r="F967">
            <v>0</v>
          </cell>
        </row>
        <row r="968">
          <cell r="A968" t="str">
            <v>Cây lựu đường kính gốc 9cm  ≤ ĐK gốc &lt; 12cm</v>
          </cell>
          <cell r="F968">
            <v>0</v>
          </cell>
        </row>
        <row r="969">
          <cell r="A969" t="str">
            <v>Cây lựu đường kính gốc 12cm  ≤ ĐK gốc &lt; 15cm</v>
          </cell>
          <cell r="F969">
            <v>0</v>
          </cell>
        </row>
        <row r="970">
          <cell r="A970" t="str">
            <v>Cây lựu đường kính gốc 15cm  ≤ ĐK gốc &lt; 20cm</v>
          </cell>
          <cell r="F970">
            <v>0</v>
          </cell>
        </row>
        <row r="971">
          <cell r="A971" t="str">
            <v>Cây lựu ĐK gốc ≥ 20cm</v>
          </cell>
          <cell r="F971">
            <v>0</v>
          </cell>
        </row>
        <row r="972">
          <cell r="A972" t="str">
            <v>Cây mai vàng</v>
          </cell>
          <cell r="F972">
            <v>0</v>
          </cell>
        </row>
        <row r="973">
          <cell r="A973" t="str">
            <v>Cây mai vàng đường kính gốc 0,5cm ≤ ĐK gốc &lt; 1cm</v>
          </cell>
          <cell r="F973">
            <v>0</v>
          </cell>
        </row>
        <row r="974">
          <cell r="A974" t="str">
            <v>Cây mai vàng đường kính gốc 1 cm ≤ ĐK gốc &lt; 2cm</v>
          </cell>
          <cell r="F974">
            <v>0</v>
          </cell>
        </row>
        <row r="975">
          <cell r="A975" t="str">
            <v>Cây mai vàng đường kính gốc 2cm ≤ ĐK gốc &lt; 4cm</v>
          </cell>
          <cell r="F975">
            <v>0</v>
          </cell>
        </row>
        <row r="976">
          <cell r="A976" t="str">
            <v>Cây mai vàng đường kính gốc 4cm ≤ ĐK gôc &lt; 6cm</v>
          </cell>
          <cell r="F976">
            <v>0</v>
          </cell>
        </row>
        <row r="977">
          <cell r="A977" t="str">
            <v>Cây mai vàng đường kính gốc 6cm ≤ ĐK gốc &lt; 10cm</v>
          </cell>
          <cell r="F977">
            <v>0</v>
          </cell>
        </row>
        <row r="978">
          <cell r="A978" t="str">
            <v>Cây mai vàng ĐK gốc ≥ 10cm</v>
          </cell>
          <cell r="F978">
            <v>0</v>
          </cell>
        </row>
        <row r="979">
          <cell r="A979" t="str">
            <v>Vạn Tuế</v>
          </cell>
          <cell r="F979">
            <v>0</v>
          </cell>
        </row>
        <row r="980">
          <cell r="A980" t="str">
            <v>Vạn Tuế ĐK gốc &lt; 10 cm</v>
          </cell>
          <cell r="F980">
            <v>0</v>
          </cell>
        </row>
        <row r="981">
          <cell r="A981" t="str">
            <v>Vạn Tuế đường kính gốc 10 cm ≤ ĐK gốc &lt; 20 cm</v>
          </cell>
          <cell r="F981">
            <v>0</v>
          </cell>
        </row>
        <row r="982">
          <cell r="A982" t="str">
            <v>Vạn Tuế đường kính gốc 20 cm ≤ ĐK gốc &lt; 30 cm</v>
          </cell>
          <cell r="F982">
            <v>0</v>
          </cell>
        </row>
        <row r="983">
          <cell r="A983" t="str">
            <v>Vạn Tuế ĐK gốc ≥ 30 cm</v>
          </cell>
          <cell r="F983">
            <v>0</v>
          </cell>
        </row>
        <row r="984">
          <cell r="A984" t="str">
            <v>NHÓM CÂY TÍNH THEO ĐƯỜNG KÍNH TÁN</v>
          </cell>
          <cell r="F984">
            <v>0</v>
          </cell>
        </row>
        <row r="985">
          <cell r="A985" t="str">
            <v>Cây hồng xiêm</v>
          </cell>
          <cell r="F985">
            <v>0</v>
          </cell>
        </row>
        <row r="986">
          <cell r="A986" t="str">
            <v>Cây hồng xiêm Cây giống đủ tiêu chuẩn mới trồng</v>
          </cell>
          <cell r="F986">
            <v>0</v>
          </cell>
        </row>
        <row r="987">
          <cell r="A987" t="str">
            <v>Cây hồng xiêm ĐK tán ≤ 1,5 m</v>
          </cell>
          <cell r="F987">
            <v>0</v>
          </cell>
        </row>
        <row r="988">
          <cell r="A988" t="str">
            <v>Cây hồng xiêm đường kính tán 1,5 m &lt; ĐK tán ≤2,5 m</v>
          </cell>
          <cell r="F988">
            <v>0</v>
          </cell>
        </row>
        <row r="989">
          <cell r="A989" t="str">
            <v>Cây hồng xiêm đường kính tán 2,5 m &lt; ĐK tán ≤ 3,5 m</v>
          </cell>
          <cell r="F989">
            <v>0</v>
          </cell>
        </row>
        <row r="990">
          <cell r="A990" t="str">
            <v>Cây hồng xiêm đường kính tán 3,5 m &lt; ĐK tán ≤ 4,5 m</v>
          </cell>
          <cell r="F990">
            <v>0</v>
          </cell>
        </row>
        <row r="991">
          <cell r="A991" t="str">
            <v>Cây hồng xiêm đường kính tán 4,5 m &lt; ĐK tán ≤ 5,5 m</v>
          </cell>
          <cell r="F991">
            <v>0</v>
          </cell>
        </row>
        <row r="992">
          <cell r="A992" t="str">
            <v>Cây hồng xiêm đường kính tán 5,5 m &lt; ĐK tán ≤ 8 m</v>
          </cell>
          <cell r="F992">
            <v>0</v>
          </cell>
        </row>
        <row r="993">
          <cell r="A993" t="str">
            <v>Cây hồng xiêm đường kính tán 8 m &lt; ĐK tán &lt; 10 m</v>
          </cell>
          <cell r="F993">
            <v>0</v>
          </cell>
        </row>
        <row r="994">
          <cell r="A994" t="str">
            <v>Cây hồng xiêm ĐKtán &gt; 10 m</v>
          </cell>
          <cell r="F994">
            <v>0</v>
          </cell>
        </row>
        <row r="995">
          <cell r="A995" t="str">
            <v>Cây roi</v>
          </cell>
          <cell r="F995">
            <v>0</v>
          </cell>
        </row>
        <row r="996">
          <cell r="A996" t="str">
            <v>Cây roi Cây giống đủ tiêu chuẩn mới trồng</v>
          </cell>
          <cell r="F996">
            <v>0</v>
          </cell>
        </row>
        <row r="997">
          <cell r="A997" t="str">
            <v>Cây roi đường kính tán 0,7m &lt; ĐK tán ≤ 1m</v>
          </cell>
          <cell r="F997">
            <v>0</v>
          </cell>
        </row>
        <row r="998">
          <cell r="A998" t="str">
            <v>Cây roi đường kính tán 1 m ≤ĐK tán &lt; l,5m</v>
          </cell>
          <cell r="F998">
            <v>0</v>
          </cell>
        </row>
        <row r="999">
          <cell r="A999" t="str">
            <v>Cây roi đường kính tán 1,5m ≤ ĐK tán ≤2m</v>
          </cell>
          <cell r="F999">
            <v>0</v>
          </cell>
        </row>
        <row r="1000">
          <cell r="A1000" t="str">
            <v>Cây roi đường kính tán 2m ≤ ĐK tán ≤3m</v>
          </cell>
          <cell r="F1000">
            <v>0</v>
          </cell>
        </row>
        <row r="1001">
          <cell r="A1001" t="str">
            <v>Cây roi đường kính tán 3m ≤ ĐK tán ≤4m</v>
          </cell>
          <cell r="F1001">
            <v>0</v>
          </cell>
        </row>
        <row r="1002">
          <cell r="A1002" t="str">
            <v>Cây roi đường kính tán 4m ≤ ĐK tán ≤5m</v>
          </cell>
          <cell r="F1002">
            <v>0</v>
          </cell>
        </row>
        <row r="1003">
          <cell r="A1003" t="str">
            <v>Cây roi đường kính tán 5m ≤ ĐK tán ≤6m</v>
          </cell>
          <cell r="F1003">
            <v>0</v>
          </cell>
        </row>
        <row r="1004">
          <cell r="A1004" t="str">
            <v>Cây roi đường kính tán 6m ≤ ĐK tán ≤7m</v>
          </cell>
          <cell r="F1004">
            <v>0</v>
          </cell>
        </row>
        <row r="1005">
          <cell r="A1005" t="str">
            <v>Cây roi đường kính tán 7m ≤ ĐK tán ≤8m</v>
          </cell>
          <cell r="F1005">
            <v>0</v>
          </cell>
        </row>
        <row r="1006">
          <cell r="A1006" t="str">
            <v>Cây roi đường kính tán 8m ≤  ĐK tán ≤9m</v>
          </cell>
          <cell r="F1006">
            <v>0</v>
          </cell>
        </row>
        <row r="1007">
          <cell r="A1007" t="str">
            <v>Cây roi đường kính tán 9m ≤ ĐK tán ≤12m</v>
          </cell>
          <cell r="F1007">
            <v>0</v>
          </cell>
        </row>
        <row r="1008">
          <cell r="A1008" t="str">
            <v>Cây roi ĐK tán ≥ 12m</v>
          </cell>
          <cell r="F1008">
            <v>0</v>
          </cell>
        </row>
        <row r="1009">
          <cell r="A1009" t="str">
            <v>Cây hồng, cây cậy</v>
          </cell>
          <cell r="F1009">
            <v>0</v>
          </cell>
        </row>
        <row r="1010">
          <cell r="A1010" t="str">
            <v>Cây hồng, cây cậy Cây giống đủ tiêu chuẩn mới trồng, chiều cao cây H ≥ 40cm</v>
          </cell>
          <cell r="F1010">
            <v>0</v>
          </cell>
        </row>
        <row r="1011">
          <cell r="A1011" t="str">
            <v>Cây hồng, cây cậy ĐK tán ≤ 1,5m</v>
          </cell>
          <cell r="F1011">
            <v>0</v>
          </cell>
        </row>
        <row r="1012">
          <cell r="A1012" t="str">
            <v>Cây hồng, cây cậy đường kính tán 1,5 m &lt; ĐK tán ≤2,5 m</v>
          </cell>
          <cell r="F1012">
            <v>0</v>
          </cell>
        </row>
        <row r="1013">
          <cell r="A1013" t="str">
            <v>Cây hồng, cây cậy đường kính tán 2,5 m &lt; ĐK tán ≤3,5 m</v>
          </cell>
          <cell r="F1013">
            <v>0</v>
          </cell>
        </row>
        <row r="1014">
          <cell r="A1014" t="str">
            <v>Cây hồng, cây cậy đường kính tán 3,5 m &lt; ĐK tán ≤4,5 m</v>
          </cell>
          <cell r="F1014">
            <v>0</v>
          </cell>
        </row>
        <row r="1015">
          <cell r="A1015" t="str">
            <v>Cây hồng, cây cậy đường kính tán 4,5 m &lt; ĐK tán ≤5,5 m</v>
          </cell>
          <cell r="F1015">
            <v>0</v>
          </cell>
        </row>
        <row r="1016">
          <cell r="A1016" t="str">
            <v>Cây hồng, cây cậy đường kính tán 5,5 m &lt; ĐK tán ≤8 m</v>
          </cell>
          <cell r="F1016">
            <v>0</v>
          </cell>
        </row>
        <row r="1017">
          <cell r="A1017" t="str">
            <v>Cây hồng, cây cậy đường kính tán 8 m &lt; ĐK tán ≤10 m</v>
          </cell>
          <cell r="F1017">
            <v>0</v>
          </cell>
        </row>
        <row r="1018">
          <cell r="A1018" t="str">
            <v>Cây hồng, cây cậy ĐKtán &gt; 10 m</v>
          </cell>
          <cell r="F1018">
            <v>0</v>
          </cell>
        </row>
        <row r="1019">
          <cell r="A1019" t="str">
            <v>Cây chanh</v>
          </cell>
          <cell r="F1019">
            <v>0</v>
          </cell>
        </row>
        <row r="1020">
          <cell r="A1020" t="str">
            <v>Cây chanh Cây giống đủ tiêu chuẩn mới trồng, chiều cao cây H ≥ 40cm</v>
          </cell>
          <cell r="F1020">
            <v>0</v>
          </cell>
        </row>
        <row r="1021">
          <cell r="A1021" t="str">
            <v>Cây chanh ĐK tán ≤1 m</v>
          </cell>
          <cell r="F1021">
            <v>0</v>
          </cell>
        </row>
        <row r="1022">
          <cell r="A1022" t="str">
            <v>Cây chanh đường kính tán 1 m &lt; ĐK tán ≤ 1,5 m</v>
          </cell>
          <cell r="F1022">
            <v>0</v>
          </cell>
        </row>
        <row r="1023">
          <cell r="A1023" t="str">
            <v>Cây chanh đường kính tán 1,5 m &lt; ĐK tán ≤ 2 m</v>
          </cell>
          <cell r="F1023">
            <v>0</v>
          </cell>
        </row>
        <row r="1024">
          <cell r="A1024" t="str">
            <v>Cây chanh đường kính tán 2 m &lt; ĐK tán ≤ 3 m</v>
          </cell>
          <cell r="F1024">
            <v>0</v>
          </cell>
        </row>
        <row r="1025">
          <cell r="A1025" t="str">
            <v>Cây chanh đường kính tán 3 m &lt; ĐK tán ≤ 4 m</v>
          </cell>
          <cell r="F1025">
            <v>0</v>
          </cell>
        </row>
        <row r="1026">
          <cell r="A1026" t="str">
            <v>Cây chanh ĐKtán &gt; 4m</v>
          </cell>
          <cell r="F1026">
            <v>0</v>
          </cell>
        </row>
        <row r="1027">
          <cell r="A1027" t="str">
            <v>Cây cam</v>
          </cell>
          <cell r="F1027">
            <v>0</v>
          </cell>
        </row>
        <row r="1028">
          <cell r="A1028" t="str">
            <v>Cây cam giống Loại cây ghép có chiều cao cây 40cm ≤ H &lt; 1m</v>
          </cell>
          <cell r="F1028">
            <v>0</v>
          </cell>
        </row>
        <row r="1029">
          <cell r="A1029" t="str">
            <v>Cây cam giống Loại cây ghép có chiều cao cây H ≥ 1 m</v>
          </cell>
          <cell r="F1029">
            <v>0</v>
          </cell>
        </row>
        <row r="1030">
          <cell r="A1030" t="str">
            <v>Cây cam giống Loại cây chiết cành có chiều cao 40cm ≤ H &lt; 1m</v>
          </cell>
          <cell r="F1030">
            <v>0</v>
          </cell>
        </row>
        <row r="1031">
          <cell r="A1031" t="str">
            <v>Cây cam giống Loại cây chiết cành có chiều cao cây H ≥ 1m</v>
          </cell>
          <cell r="F1031">
            <v>0</v>
          </cell>
        </row>
        <row r="1032">
          <cell r="A1032" t="str">
            <v>Cây cam ĐK tán ≤1 m</v>
          </cell>
          <cell r="F1032">
            <v>0</v>
          </cell>
        </row>
        <row r="1033">
          <cell r="A1033" t="str">
            <v>Cây cam đường kính tán 1 m &lt; ĐKtán ≤ 1,5 m</v>
          </cell>
          <cell r="F1033">
            <v>0</v>
          </cell>
        </row>
        <row r="1034">
          <cell r="A1034" t="str">
            <v>Cây cam đường kính tán 1,5 m &lt; ĐK tán ≤ 2 m</v>
          </cell>
          <cell r="F1034">
            <v>0</v>
          </cell>
        </row>
        <row r="1035">
          <cell r="A1035" t="str">
            <v>Cây cam đường kính tán 2 m &lt; ĐK tán ≤ 3 m</v>
          </cell>
          <cell r="F1035">
            <v>0</v>
          </cell>
        </row>
        <row r="1036">
          <cell r="A1036" t="str">
            <v>Cây cam đường kính tán 3 m &lt; ĐK tán ≤ 5 m</v>
          </cell>
          <cell r="F1036">
            <v>0</v>
          </cell>
        </row>
        <row r="1037">
          <cell r="A1037" t="str">
            <v>Cây cam ĐK tán &gt; 5 m</v>
          </cell>
          <cell r="F1037">
            <v>0</v>
          </cell>
        </row>
        <row r="1038">
          <cell r="A1038" t="str">
            <v>Cây quýt</v>
          </cell>
          <cell r="F1038">
            <v>0</v>
          </cell>
        </row>
        <row r="1039">
          <cell r="A1039" t="str">
            <v>Cây quýt ĐK tán ≤ 1,5 m</v>
          </cell>
          <cell r="F1039">
            <v>0</v>
          </cell>
        </row>
        <row r="1040">
          <cell r="A1040" t="str">
            <v>Cây quýt đường kính tán 1,5 m &lt; ĐK tán ≤ 2 m</v>
          </cell>
          <cell r="F1040">
            <v>0</v>
          </cell>
        </row>
        <row r="1041">
          <cell r="A1041" t="str">
            <v>Cây quýt đường kính tán 2 m &lt; ĐK tán ≤ 3 m</v>
          </cell>
          <cell r="F1041">
            <v>0</v>
          </cell>
        </row>
        <row r="1042">
          <cell r="A1042" t="str">
            <v>Cây quýt đường kính tán 3 m &lt; ĐK tán ≤ 5 m</v>
          </cell>
          <cell r="F1042">
            <v>0</v>
          </cell>
        </row>
        <row r="1043">
          <cell r="A1043" t="str">
            <v>Cây quýt ĐK tán &gt; 5 m</v>
          </cell>
          <cell r="F1043">
            <v>0</v>
          </cell>
        </row>
        <row r="1044">
          <cell r="A1044" t="str">
            <v>Cây quất</v>
          </cell>
          <cell r="F1044">
            <v>0</v>
          </cell>
        </row>
        <row r="1045">
          <cell r="A1045" t="str">
            <v>Cây quất Cây giống đủ tiêu chuẩn mới trồng</v>
          </cell>
          <cell r="F1045">
            <v>0</v>
          </cell>
        </row>
        <row r="1046">
          <cell r="A1046" t="str">
            <v>Cây quất ĐK tán ≤1 m</v>
          </cell>
          <cell r="F1046">
            <v>0</v>
          </cell>
        </row>
        <row r="1047">
          <cell r="A1047" t="str">
            <v>Cây quất đường kính tán 1 m &lt; ĐK tán ≤2 m</v>
          </cell>
          <cell r="F1047">
            <v>0</v>
          </cell>
        </row>
        <row r="1048">
          <cell r="A1048" t="str">
            <v>Cây quất ĐK tán &gt; 2 m</v>
          </cell>
          <cell r="F1048">
            <v>0</v>
          </cell>
        </row>
        <row r="1049">
          <cell r="A1049" t="str">
            <v>Cây đào (lấy quả), cây mận (lấy quả), cây mơ (lấy quả)</v>
          </cell>
          <cell r="F1049">
            <v>0</v>
          </cell>
        </row>
        <row r="1050">
          <cell r="A1050" t="str">
            <v>Cây đào (lấy quả), cây mận (lấy quả), cây mơ (lấy quả) ĐK tán ≤1 m</v>
          </cell>
          <cell r="F1050">
            <v>0</v>
          </cell>
        </row>
        <row r="1051">
          <cell r="A1051" t="str">
            <v>Cây đào (lấy quả), cây mận (lấy quả), cây mơ (lấy quả) đường kính tán 1 m &lt; ĐK tán ≤1,5 m</v>
          </cell>
          <cell r="F1051">
            <v>0</v>
          </cell>
        </row>
        <row r="1052">
          <cell r="A1052" t="str">
            <v>Cây đào (lấy quả), cây mận (lấy quả), cây mơ (lấy quả) đường kính tán  1,5 m &lt; ĐK tán ≤ 2 m</v>
          </cell>
          <cell r="F1052">
            <v>0</v>
          </cell>
        </row>
        <row r="1053">
          <cell r="A1053" t="str">
            <v>Cây đào (lấy quả), cây mận (lấy quả), cây mơ (lấy quả) đường kính tán 2 m &lt; ĐK tán ≤ 3 m</v>
          </cell>
          <cell r="F1053">
            <v>0</v>
          </cell>
        </row>
        <row r="1054">
          <cell r="A1054" t="str">
            <v>Cây đào (lấy quả), cây mận (lấy quả), cây mơ (lấy quả) đường kính tán  3 m &lt; ĐK tán ≤ 5 m</v>
          </cell>
          <cell r="F1054">
            <v>0</v>
          </cell>
        </row>
        <row r="1055">
          <cell r="A1055" t="str">
            <v>Cây đào (lấy quả), cây mận (lấy quả), cây mơ (lấy quả) ĐK tán &gt; 5 m</v>
          </cell>
          <cell r="F1055">
            <v>0</v>
          </cell>
        </row>
        <row r="1056">
          <cell r="A1056" t="str">
            <v>Cây thanh trà (chanh trà)</v>
          </cell>
          <cell r="F1056">
            <v>0</v>
          </cell>
        </row>
        <row r="1057">
          <cell r="A1057" t="str">
            <v>Cây thanh trà (chanh trà) Cây giống đủ tiêu chuẩn mới trồng, chiều cao cây H ≥ 40cm</v>
          </cell>
          <cell r="F1057">
            <v>0</v>
          </cell>
        </row>
        <row r="1058">
          <cell r="A1058" t="str">
            <v>Cây thanh trà (chanh trà) ĐK tán ≤1 m</v>
          </cell>
          <cell r="F1058">
            <v>0</v>
          </cell>
        </row>
        <row r="1059">
          <cell r="A1059" t="str">
            <v>Cây thanh trà (chanh trà) đường kính tán 1 m &lt; ĐK tán ≤ 1,5 m</v>
          </cell>
          <cell r="F1059">
            <v>0</v>
          </cell>
        </row>
        <row r="1060">
          <cell r="A1060" t="str">
            <v>Cây thanh trà (chanh trà) đường kính tán 1,5 m &lt; ĐK tán ≤ 2 m</v>
          </cell>
          <cell r="F1060">
            <v>0</v>
          </cell>
        </row>
        <row r="1061">
          <cell r="A1061" t="str">
            <v>Cây thanh trà (chanh trà) đường kính tán 2 m &lt; ĐK tán ≤ 3 m</v>
          </cell>
          <cell r="F1061">
            <v>0</v>
          </cell>
        </row>
        <row r="1062">
          <cell r="A1062" t="str">
            <v>Cây thanh trà (chanh trà) đường kính tán 3 m &lt; ĐK tán ≤ 5 m</v>
          </cell>
          <cell r="F1062">
            <v>0</v>
          </cell>
        </row>
        <row r="1063">
          <cell r="A1063" t="str">
            <v>Cây thanh trà (chanh trà) ĐK tán &gt; 5 m</v>
          </cell>
          <cell r="F1063">
            <v>0</v>
          </cell>
        </row>
        <row r="1064">
          <cell r="A1064" t="str">
            <v>Cây nhót</v>
          </cell>
          <cell r="F1064">
            <v>0</v>
          </cell>
        </row>
        <row r="1065">
          <cell r="A1065" t="str">
            <v>Cây nhót Cây giống mới trồng</v>
          </cell>
          <cell r="F1065">
            <v>0</v>
          </cell>
        </row>
        <row r="1066">
          <cell r="A1066" t="str">
            <v>Cây nhót ĐK tán ≤1,5 m</v>
          </cell>
          <cell r="F1066">
            <v>0</v>
          </cell>
        </row>
        <row r="1067">
          <cell r="A1067" t="str">
            <v>Cây nhót đường kính tán 1,5 m &lt; ĐK tán ≤2 m</v>
          </cell>
          <cell r="F1067">
            <v>0</v>
          </cell>
        </row>
        <row r="1068">
          <cell r="A1068" t="str">
            <v>Cây nhót đường kính tán 2 m &lt; ĐK tán ≤3 m</v>
          </cell>
          <cell r="F1068">
            <v>0</v>
          </cell>
        </row>
        <row r="1069">
          <cell r="A1069" t="str">
            <v>Cây nhót đường kính tán 3 m &lt; ĐK tán ≤5 m</v>
          </cell>
          <cell r="F1069">
            <v>0</v>
          </cell>
        </row>
        <row r="1070">
          <cell r="A1070" t="str">
            <v>Cây nhót ĐK tán &gt; 5 m</v>
          </cell>
          <cell r="F1070">
            <v>0</v>
          </cell>
        </row>
        <row r="1071">
          <cell r="A1071" t="str">
            <v>Cây Thanh long</v>
          </cell>
          <cell r="F1071">
            <v>0</v>
          </cell>
        </row>
        <row r="1072">
          <cell r="A1072" t="str">
            <v>Cây Thanh long ĐK tán ≤1 m</v>
          </cell>
          <cell r="F1072">
            <v>0</v>
          </cell>
        </row>
        <row r="1073">
          <cell r="A1073" t="str">
            <v>Cây Thanh long đường kính tán 1 m &lt; ĐK tán ≤2 m</v>
          </cell>
          <cell r="F1073">
            <v>0</v>
          </cell>
        </row>
        <row r="1074">
          <cell r="A1074" t="str">
            <v>Cây Thanh long đường kính tán 2 m &lt; ĐK tán ≤3 m</v>
          </cell>
          <cell r="F1074">
            <v>0</v>
          </cell>
        </row>
        <row r="1075">
          <cell r="A1075" t="str">
            <v>Cây Thanh long ĐK tán &gt; 3 m</v>
          </cell>
          <cell r="F1075">
            <v>0</v>
          </cell>
        </row>
        <row r="1076">
          <cell r="A1076" t="str">
            <v>Cây chè</v>
          </cell>
          <cell r="F1076">
            <v>0</v>
          </cell>
        </row>
        <row r="1077">
          <cell r="A1077" t="str">
            <v>Cây chè Cây giống đủ tiêu chuẩn mới trồng</v>
          </cell>
          <cell r="F1077">
            <v>0</v>
          </cell>
        </row>
        <row r="1078">
          <cell r="A1078" t="str">
            <v>Cây chè ĐK tán ≤0,8 m</v>
          </cell>
          <cell r="F1078">
            <v>0</v>
          </cell>
        </row>
        <row r="1079">
          <cell r="A1079" t="str">
            <v>Cây chè đường kính tán 0,8 m &lt; ĐK tán ≤1 m</v>
          </cell>
          <cell r="F1079">
            <v>0</v>
          </cell>
        </row>
        <row r="1080">
          <cell r="A1080" t="str">
            <v>Cây chè đường kính tán 1 m &lt; ĐK tán ≤1,2 m</v>
          </cell>
          <cell r="F1080">
            <v>0</v>
          </cell>
        </row>
        <row r="1081">
          <cell r="A1081" t="str">
            <v>Cây chè ĐK tán &gt; 1,2 m</v>
          </cell>
          <cell r="F1081">
            <v>0</v>
          </cell>
        </row>
        <row r="1082">
          <cell r="A1082" t="str">
            <v>Cây mẫu đơn ta</v>
          </cell>
          <cell r="F1082">
            <v>0</v>
          </cell>
        </row>
        <row r="1083">
          <cell r="A1083" t="str">
            <v>Cây mẫu đơn ta Cây giống đủ tiêu chuẩn mới trồng, chiều cao cây H &lt; 40cm</v>
          </cell>
          <cell r="F1083">
            <v>0</v>
          </cell>
        </row>
        <row r="1084">
          <cell r="A1084" t="str">
            <v>Cây mẫu đơn ta Cây giống đủ tiêu chuẩn mới trồng, chiều cao cây 40cm ≤ H &lt; 100cm</v>
          </cell>
          <cell r="F1084">
            <v>0</v>
          </cell>
        </row>
        <row r="1085">
          <cell r="A1085" t="str">
            <v>Cây mẫu đơn ta Cây giống đủ tiêu chuẩn mới trồng, chiều cao cây H ≥ 100cm</v>
          </cell>
          <cell r="F1085">
            <v>0</v>
          </cell>
        </row>
        <row r="1086">
          <cell r="A1086" t="str">
            <v>Cây mẫu đơn ta có ĐK tán &lt; 1m, gốc có 5-7 nhánh</v>
          </cell>
          <cell r="F1086">
            <v>0</v>
          </cell>
        </row>
        <row r="1087">
          <cell r="A1087" t="str">
            <v>Cây mẫu đơn ta có ĐK tán từ 1,0m đến 1,2m gốc có 5- 7 nhánh</v>
          </cell>
          <cell r="F1087">
            <v>0</v>
          </cell>
        </row>
        <row r="1088">
          <cell r="A1088" t="str">
            <v>Cây mẫu đơn ta có ĐK tán l,0m đến l,2m, gốc có 8-10 nhánh</v>
          </cell>
          <cell r="F1088">
            <v>0</v>
          </cell>
        </row>
        <row r="1089">
          <cell r="A1089" t="str">
            <v>Cây mẫu đơn ta có ĐK tán l,3m đến 1,5 m, gốc có 8- 10 nhánh</v>
          </cell>
          <cell r="F1089">
            <v>0</v>
          </cell>
        </row>
        <row r="1090">
          <cell r="A1090" t="str">
            <v>Cây mẫu đơn ta có ĐK tán l,6m đến 2m, gốc có trên 10 nhánh</v>
          </cell>
          <cell r="F1090">
            <v>0</v>
          </cell>
        </row>
        <row r="1091">
          <cell r="A1091" t="str">
            <v>Cây mẫu đơn ta có ĐK tán 2,0m đến 2,2 m, gốc có trên 10 nhánh</v>
          </cell>
          <cell r="F1091">
            <v>0</v>
          </cell>
        </row>
        <row r="1092">
          <cell r="A1092" t="str">
            <v>Cây mẫu đơn ta có ĐK tán &gt;2,2m đến 2,5m, gốc có trên 10 nhánh</v>
          </cell>
          <cell r="F1092">
            <v>0</v>
          </cell>
        </row>
        <row r="1093">
          <cell r="A1093" t="str">
            <v>Cây mẫu đơn ta có ĐK tán &gt;2,5 m, gôc có trên 10 nhánh</v>
          </cell>
          <cell r="F1093">
            <v>0</v>
          </cell>
        </row>
        <row r="1094">
          <cell r="A1094" t="str">
            <v>Cây thiên phúc (pháo hoa)</v>
          </cell>
          <cell r="F1094">
            <v>0</v>
          </cell>
        </row>
        <row r="1095">
          <cell r="A1095" t="str">
            <v>Cây thiên phúc (pháo hoa) Cây giống mới trồng</v>
          </cell>
          <cell r="F1095">
            <v>0</v>
          </cell>
        </row>
        <row r="1096">
          <cell r="A1096" t="str">
            <v>Cây thiên phúc (pháo hoa) đường kính tán 0,5 m &lt; ĐK tán ≤1 m</v>
          </cell>
          <cell r="F1096">
            <v>0</v>
          </cell>
        </row>
        <row r="1097">
          <cell r="A1097" t="str">
            <v>Cây thiên phúc (pháo hoa) đường kính tán 1 m &lt; ĐK tán ≤2,5 m</v>
          </cell>
          <cell r="F1097">
            <v>0</v>
          </cell>
        </row>
        <row r="1098">
          <cell r="A1098" t="str">
            <v>Cây thiên phúc (pháo hoa) ĐK tán &gt; 2,5 m</v>
          </cell>
          <cell r="F1098">
            <v>0</v>
          </cell>
        </row>
        <row r="1099">
          <cell r="A1099" t="str">
            <v>Cây mẫu đơn nhật</v>
          </cell>
          <cell r="F1099">
            <v>0</v>
          </cell>
        </row>
        <row r="1100">
          <cell r="A1100" t="str">
            <v>Cây mẫu đơn nhật Cây giống mới trồng</v>
          </cell>
          <cell r="F1100">
            <v>0</v>
          </cell>
        </row>
        <row r="1101">
          <cell r="A1101" t="str">
            <v>Cây mẫu đơn nhật đường kính tán 1 m &lt; ĐK tán ≤ 1,5 m</v>
          </cell>
          <cell r="F1101">
            <v>0</v>
          </cell>
        </row>
        <row r="1102">
          <cell r="A1102" t="str">
            <v>Cây mẫu đơn nhật đường kính tán 1,5 m &lt; ĐK tán ≤ 2m</v>
          </cell>
          <cell r="F1102">
            <v>0</v>
          </cell>
        </row>
        <row r="1103">
          <cell r="A1103" t="str">
            <v>Cây mẫu đơn nhật ĐK tán &gt; 2 m</v>
          </cell>
          <cell r="F1103">
            <v>0</v>
          </cell>
        </row>
        <row r="1104">
          <cell r="A1104" t="str">
            <v>Cây dâm bụt, cây ngũ sắc</v>
          </cell>
          <cell r="F1104">
            <v>0</v>
          </cell>
        </row>
        <row r="1105">
          <cell r="A1105" t="str">
            <v>Cây dâm bụt, cây ngũ sắc Cây giống mới trồng</v>
          </cell>
          <cell r="F1105">
            <v>0</v>
          </cell>
        </row>
        <row r="1106">
          <cell r="A1106" t="str">
            <v>Cây dâm bụt, cây ngũ sắc đường kính tán 0,5 m &lt; ĐK tán ≤ 1 m</v>
          </cell>
          <cell r="F1106">
            <v>0</v>
          </cell>
        </row>
        <row r="1107">
          <cell r="A1107" t="str">
            <v>Cây dâm bụt, cây ngũ sắc đường kính tán 1 m &lt; ĐK tán ≤ 1,5 m</v>
          </cell>
          <cell r="F1107">
            <v>0</v>
          </cell>
        </row>
        <row r="1108">
          <cell r="A1108" t="str">
            <v>Cây dâm bụt, cây ngũ sắc đường kính tán 1,5 m &lt; ĐK tán ≤ 2 m</v>
          </cell>
          <cell r="F1108">
            <v>0</v>
          </cell>
        </row>
        <row r="1109">
          <cell r="A1109" t="str">
            <v>Cây dâm bụt, cây ngũ sắc đường kính tán 2 m &lt; ĐK tán ≤ 3 m</v>
          </cell>
          <cell r="F1109">
            <v>0</v>
          </cell>
        </row>
        <row r="1110">
          <cell r="F1110">
            <v>0</v>
          </cell>
        </row>
        <row r="1111">
          <cell r="F1111">
            <v>0</v>
          </cell>
        </row>
        <row r="1112">
          <cell r="F1112">
            <v>0</v>
          </cell>
        </row>
        <row r="1113">
          <cell r="F1113">
            <v>0</v>
          </cell>
        </row>
        <row r="1114">
          <cell r="F1114">
            <v>0</v>
          </cell>
        </row>
        <row r="1115">
          <cell r="F1115">
            <v>0</v>
          </cell>
        </row>
        <row r="1116">
          <cell r="F1116">
            <v>0</v>
          </cell>
        </row>
        <row r="1117">
          <cell r="F1117">
            <v>0</v>
          </cell>
        </row>
        <row r="1118">
          <cell r="F1118">
            <v>0</v>
          </cell>
        </row>
        <row r="1119">
          <cell r="F1119">
            <v>0</v>
          </cell>
        </row>
        <row r="1120">
          <cell r="F1120">
            <v>0</v>
          </cell>
        </row>
        <row r="1121">
          <cell r="F1121">
            <v>0</v>
          </cell>
        </row>
        <row r="1122">
          <cell r="F1122">
            <v>0</v>
          </cell>
        </row>
        <row r="1123">
          <cell r="F1123">
            <v>0</v>
          </cell>
        </row>
        <row r="1124">
          <cell r="F1124">
            <v>0</v>
          </cell>
        </row>
        <row r="1125">
          <cell r="F1125">
            <v>0</v>
          </cell>
        </row>
        <row r="1126">
          <cell r="F1126">
            <v>0</v>
          </cell>
        </row>
        <row r="1127">
          <cell r="F1127">
            <v>0</v>
          </cell>
        </row>
        <row r="1128">
          <cell r="F1128">
            <v>0</v>
          </cell>
        </row>
        <row r="1129">
          <cell r="F1129">
            <v>0</v>
          </cell>
        </row>
        <row r="1130">
          <cell r="F1130">
            <v>0</v>
          </cell>
        </row>
        <row r="1131">
          <cell r="F1131">
            <v>0</v>
          </cell>
        </row>
        <row r="1132">
          <cell r="F1132">
            <v>0</v>
          </cell>
        </row>
        <row r="1133">
          <cell r="F1133">
            <v>0</v>
          </cell>
        </row>
        <row r="1134">
          <cell r="F1134">
            <v>0</v>
          </cell>
        </row>
        <row r="1135">
          <cell r="F1135">
            <v>0</v>
          </cell>
        </row>
        <row r="1136">
          <cell r="F1136">
            <v>0</v>
          </cell>
        </row>
        <row r="1137">
          <cell r="F1137">
            <v>0</v>
          </cell>
        </row>
        <row r="1138">
          <cell r="F1138">
            <v>0</v>
          </cell>
        </row>
        <row r="1139">
          <cell r="F1139">
            <v>0</v>
          </cell>
        </row>
        <row r="1140">
          <cell r="F1140">
            <v>0</v>
          </cell>
        </row>
        <row r="1141">
          <cell r="F1141">
            <v>0</v>
          </cell>
        </row>
        <row r="1142">
          <cell r="F1142">
            <v>0</v>
          </cell>
        </row>
        <row r="1143">
          <cell r="F1143">
            <v>0</v>
          </cell>
        </row>
        <row r="1144">
          <cell r="F1144">
            <v>0</v>
          </cell>
        </row>
        <row r="1145">
          <cell r="F1145">
            <v>0</v>
          </cell>
        </row>
        <row r="1146">
          <cell r="F1146">
            <v>0</v>
          </cell>
        </row>
        <row r="1147">
          <cell r="F1147">
            <v>0</v>
          </cell>
        </row>
        <row r="1148">
          <cell r="F1148">
            <v>0</v>
          </cell>
        </row>
        <row r="1149">
          <cell r="F1149">
            <v>0</v>
          </cell>
        </row>
        <row r="1150">
          <cell r="F1150">
            <v>0</v>
          </cell>
        </row>
        <row r="1151">
          <cell r="F1151">
            <v>0</v>
          </cell>
        </row>
        <row r="1152">
          <cell r="F1152">
            <v>0</v>
          </cell>
        </row>
        <row r="1153">
          <cell r="F1153">
            <v>0</v>
          </cell>
        </row>
        <row r="1154">
          <cell r="F1154">
            <v>0</v>
          </cell>
        </row>
        <row r="1155">
          <cell r="F1155">
            <v>0</v>
          </cell>
        </row>
        <row r="1156">
          <cell r="F1156">
            <v>0</v>
          </cell>
        </row>
        <row r="1157">
          <cell r="F1157">
            <v>0</v>
          </cell>
        </row>
        <row r="1158">
          <cell r="F1158">
            <v>0</v>
          </cell>
        </row>
        <row r="1159">
          <cell r="F1159">
            <v>0</v>
          </cell>
        </row>
        <row r="1160">
          <cell r="F1160">
            <v>0</v>
          </cell>
        </row>
        <row r="1161">
          <cell r="F1161">
            <v>0</v>
          </cell>
        </row>
        <row r="1162">
          <cell r="F1162">
            <v>0</v>
          </cell>
        </row>
        <row r="1163">
          <cell r="F1163">
            <v>0</v>
          </cell>
        </row>
        <row r="1164">
          <cell r="F1164">
            <v>0</v>
          </cell>
        </row>
        <row r="1165">
          <cell r="F1165">
            <v>0</v>
          </cell>
        </row>
        <row r="1166">
          <cell r="F1166">
            <v>0</v>
          </cell>
        </row>
        <row r="1167">
          <cell r="F1167">
            <v>0</v>
          </cell>
        </row>
        <row r="1168">
          <cell r="F1168">
            <v>0</v>
          </cell>
        </row>
        <row r="1169">
          <cell r="F1169">
            <v>0</v>
          </cell>
        </row>
        <row r="1170">
          <cell r="F1170">
            <v>0</v>
          </cell>
        </row>
        <row r="1171">
          <cell r="F1171">
            <v>0</v>
          </cell>
        </row>
        <row r="1172">
          <cell r="F1172">
            <v>0</v>
          </cell>
        </row>
        <row r="1173">
          <cell r="F1173">
            <v>0</v>
          </cell>
        </row>
        <row r="1174">
          <cell r="F1174">
            <v>0</v>
          </cell>
        </row>
        <row r="1175">
          <cell r="F1175">
            <v>0</v>
          </cell>
        </row>
        <row r="1176">
          <cell r="F1176">
            <v>0</v>
          </cell>
        </row>
        <row r="1177">
          <cell r="F1177">
            <v>0</v>
          </cell>
        </row>
        <row r="1178">
          <cell r="F1178">
            <v>0</v>
          </cell>
        </row>
        <row r="1179">
          <cell r="F1179">
            <v>0</v>
          </cell>
        </row>
        <row r="1180">
          <cell r="F1180">
            <v>0</v>
          </cell>
        </row>
        <row r="1181">
          <cell r="F1181">
            <v>0</v>
          </cell>
        </row>
        <row r="1182">
          <cell r="F1182">
            <v>0</v>
          </cell>
        </row>
        <row r="1183">
          <cell r="F1183">
            <v>0</v>
          </cell>
        </row>
        <row r="1184">
          <cell r="F1184">
            <v>0</v>
          </cell>
        </row>
        <row r="1185">
          <cell r="F1185">
            <v>0</v>
          </cell>
        </row>
        <row r="1186">
          <cell r="F1186">
            <v>0</v>
          </cell>
        </row>
        <row r="1187">
          <cell r="F1187">
            <v>0</v>
          </cell>
        </row>
        <row r="1188">
          <cell r="F1188">
            <v>0</v>
          </cell>
        </row>
        <row r="1189">
          <cell r="F1189">
            <v>0</v>
          </cell>
        </row>
        <row r="1190">
          <cell r="F1190">
            <v>0</v>
          </cell>
        </row>
        <row r="1191">
          <cell r="F1191">
            <v>0</v>
          </cell>
        </row>
        <row r="1192">
          <cell r="F1192">
            <v>0</v>
          </cell>
        </row>
        <row r="1193">
          <cell r="F1193">
            <v>0</v>
          </cell>
        </row>
        <row r="1194">
          <cell r="F1194">
            <v>0</v>
          </cell>
        </row>
        <row r="1195">
          <cell r="F1195">
            <v>0</v>
          </cell>
        </row>
        <row r="1196">
          <cell r="F1196">
            <v>0</v>
          </cell>
        </row>
        <row r="1197">
          <cell r="F1197">
            <v>0</v>
          </cell>
        </row>
        <row r="1198">
          <cell r="F1198">
            <v>0</v>
          </cell>
        </row>
        <row r="1199">
          <cell r="F1199">
            <v>0</v>
          </cell>
        </row>
        <row r="1200">
          <cell r="F1200">
            <v>0</v>
          </cell>
        </row>
        <row r="1201">
          <cell r="F1201">
            <v>0</v>
          </cell>
        </row>
        <row r="1202">
          <cell r="F1202">
            <v>0</v>
          </cell>
        </row>
        <row r="1203">
          <cell r="F1203">
            <v>0</v>
          </cell>
        </row>
        <row r="1204">
          <cell r="F1204">
            <v>0</v>
          </cell>
        </row>
        <row r="1205">
          <cell r="F1205">
            <v>0</v>
          </cell>
        </row>
        <row r="1206">
          <cell r="F1206">
            <v>0</v>
          </cell>
        </row>
        <row r="1207">
          <cell r="F1207">
            <v>0</v>
          </cell>
        </row>
        <row r="1208">
          <cell r="F1208">
            <v>0</v>
          </cell>
        </row>
        <row r="1209">
          <cell r="F1209">
            <v>0</v>
          </cell>
        </row>
        <row r="1210">
          <cell r="F1210">
            <v>0</v>
          </cell>
        </row>
        <row r="1211">
          <cell r="F1211">
            <v>0</v>
          </cell>
        </row>
        <row r="1212">
          <cell r="F1212">
            <v>0</v>
          </cell>
        </row>
        <row r="1213">
          <cell r="F1213">
            <v>0</v>
          </cell>
        </row>
        <row r="1214">
          <cell r="F1214">
            <v>0</v>
          </cell>
        </row>
        <row r="1215">
          <cell r="F1215">
            <v>0</v>
          </cell>
        </row>
        <row r="1216">
          <cell r="F1216">
            <v>0</v>
          </cell>
        </row>
        <row r="1217">
          <cell r="F1217">
            <v>0</v>
          </cell>
        </row>
        <row r="1218">
          <cell r="F1218">
            <v>0</v>
          </cell>
        </row>
        <row r="1219">
          <cell r="F1219">
            <v>0</v>
          </cell>
        </row>
        <row r="1220">
          <cell r="F1220">
            <v>0</v>
          </cell>
        </row>
        <row r="1221">
          <cell r="F1221">
            <v>0</v>
          </cell>
        </row>
        <row r="1222">
          <cell r="F1222">
            <v>0</v>
          </cell>
        </row>
        <row r="1223">
          <cell r="F1223">
            <v>0</v>
          </cell>
        </row>
        <row r="1224">
          <cell r="F1224">
            <v>0</v>
          </cell>
        </row>
        <row r="1225">
          <cell r="F1225">
            <v>0</v>
          </cell>
        </row>
        <row r="1226">
          <cell r="F1226">
            <v>0</v>
          </cell>
        </row>
        <row r="1227">
          <cell r="F1227">
            <v>0</v>
          </cell>
        </row>
        <row r="1228">
          <cell r="F1228">
            <v>0</v>
          </cell>
        </row>
        <row r="1229">
          <cell r="F1229">
            <v>0</v>
          </cell>
        </row>
        <row r="1230">
          <cell r="F1230">
            <v>0</v>
          </cell>
        </row>
        <row r="1231">
          <cell r="F1231">
            <v>0</v>
          </cell>
        </row>
        <row r="1232">
          <cell r="F1232">
            <v>0</v>
          </cell>
        </row>
        <row r="1233">
          <cell r="F1233">
            <v>0</v>
          </cell>
        </row>
        <row r="1234">
          <cell r="F1234">
            <v>0</v>
          </cell>
        </row>
        <row r="1235">
          <cell r="F1235">
            <v>0</v>
          </cell>
        </row>
        <row r="1236">
          <cell r="F1236">
            <v>0</v>
          </cell>
        </row>
        <row r="1237">
          <cell r="F1237">
            <v>0</v>
          </cell>
        </row>
        <row r="1238">
          <cell r="F1238">
            <v>0</v>
          </cell>
        </row>
        <row r="1239">
          <cell r="F1239">
            <v>0</v>
          </cell>
        </row>
        <row r="1240">
          <cell r="F1240">
            <v>0</v>
          </cell>
        </row>
        <row r="1241">
          <cell r="F1241">
            <v>0</v>
          </cell>
        </row>
        <row r="1242">
          <cell r="F1242">
            <v>0</v>
          </cell>
        </row>
        <row r="1243">
          <cell r="F1243">
            <v>0</v>
          </cell>
        </row>
        <row r="1244">
          <cell r="F1244">
            <v>0</v>
          </cell>
        </row>
        <row r="1245">
          <cell r="F1245">
            <v>0</v>
          </cell>
        </row>
        <row r="1246">
          <cell r="F1246">
            <v>0</v>
          </cell>
        </row>
        <row r="1247">
          <cell r="F1247">
            <v>0</v>
          </cell>
        </row>
        <row r="1248">
          <cell r="F1248">
            <v>0</v>
          </cell>
        </row>
        <row r="1249">
          <cell r="F1249">
            <v>0</v>
          </cell>
        </row>
        <row r="1250">
          <cell r="F1250">
            <v>0</v>
          </cell>
        </row>
        <row r="1251">
          <cell r="F1251">
            <v>0</v>
          </cell>
        </row>
        <row r="1252">
          <cell r="F1252">
            <v>0</v>
          </cell>
        </row>
        <row r="1253">
          <cell r="F1253">
            <v>0</v>
          </cell>
        </row>
        <row r="1254">
          <cell r="F1254">
            <v>0</v>
          </cell>
        </row>
        <row r="1255">
          <cell r="F1255">
            <v>0</v>
          </cell>
        </row>
        <row r="1256">
          <cell r="F1256">
            <v>0</v>
          </cell>
        </row>
        <row r="1257">
          <cell r="F1257">
            <v>0</v>
          </cell>
        </row>
        <row r="1258">
          <cell r="F1258">
            <v>0</v>
          </cell>
        </row>
        <row r="1259">
          <cell r="F1259">
            <v>0</v>
          </cell>
        </row>
        <row r="1260">
          <cell r="F1260">
            <v>0</v>
          </cell>
        </row>
        <row r="1261">
          <cell r="F1261">
            <v>0</v>
          </cell>
        </row>
        <row r="1262">
          <cell r="F1262">
            <v>0</v>
          </cell>
        </row>
        <row r="1263">
          <cell r="F1263">
            <v>0</v>
          </cell>
        </row>
        <row r="1264">
          <cell r="F1264">
            <v>0</v>
          </cell>
        </row>
        <row r="1265">
          <cell r="F1265">
            <v>0</v>
          </cell>
        </row>
        <row r="1266">
          <cell r="F1266">
            <v>0</v>
          </cell>
        </row>
        <row r="1267">
          <cell r="F1267">
            <v>0</v>
          </cell>
        </row>
        <row r="1268">
          <cell r="F1268">
            <v>0</v>
          </cell>
        </row>
        <row r="1269">
          <cell r="F1269">
            <v>0</v>
          </cell>
        </row>
        <row r="1270">
          <cell r="F1270">
            <v>0</v>
          </cell>
        </row>
        <row r="1271">
          <cell r="F1271">
            <v>0</v>
          </cell>
        </row>
        <row r="1272">
          <cell r="F1272">
            <v>0</v>
          </cell>
        </row>
        <row r="1273">
          <cell r="F1273">
            <v>0</v>
          </cell>
        </row>
        <row r="1274">
          <cell r="F1274">
            <v>0</v>
          </cell>
        </row>
        <row r="1275">
          <cell r="F1275">
            <v>0</v>
          </cell>
        </row>
        <row r="1276">
          <cell r="F1276">
            <v>0</v>
          </cell>
        </row>
        <row r="1277">
          <cell r="F1277">
            <v>0</v>
          </cell>
        </row>
        <row r="1278">
          <cell r="F1278">
            <v>0</v>
          </cell>
        </row>
        <row r="1279">
          <cell r="F1279">
            <v>0</v>
          </cell>
        </row>
        <row r="1280">
          <cell r="F1280">
            <v>0</v>
          </cell>
        </row>
        <row r="1281">
          <cell r="F1281">
            <v>0</v>
          </cell>
        </row>
        <row r="1282">
          <cell r="F1282">
            <v>0</v>
          </cell>
        </row>
        <row r="1283">
          <cell r="F1283">
            <v>0</v>
          </cell>
        </row>
        <row r="1284">
          <cell r="F1284">
            <v>0</v>
          </cell>
        </row>
        <row r="1285">
          <cell r="F1285">
            <v>0</v>
          </cell>
        </row>
        <row r="1286">
          <cell r="F1286">
            <v>0</v>
          </cell>
        </row>
        <row r="1287">
          <cell r="F1287">
            <v>0</v>
          </cell>
        </row>
        <row r="1288">
          <cell r="F1288">
            <v>0</v>
          </cell>
        </row>
        <row r="1289">
          <cell r="F1289">
            <v>0</v>
          </cell>
        </row>
        <row r="1290">
          <cell r="F1290">
            <v>0</v>
          </cell>
        </row>
        <row r="1291">
          <cell r="F1291">
            <v>0</v>
          </cell>
        </row>
        <row r="1292">
          <cell r="F1292">
            <v>0</v>
          </cell>
        </row>
        <row r="1293">
          <cell r="F1293">
            <v>0</v>
          </cell>
        </row>
        <row r="1294">
          <cell r="F1294">
            <v>0</v>
          </cell>
        </row>
        <row r="1295">
          <cell r="F1295">
            <v>0</v>
          </cell>
        </row>
        <row r="1296">
          <cell r="F1296">
            <v>0</v>
          </cell>
        </row>
        <row r="1297">
          <cell r="F1297">
            <v>0</v>
          </cell>
        </row>
        <row r="1298">
          <cell r="F1298">
            <v>0</v>
          </cell>
        </row>
        <row r="1299">
          <cell r="F1299">
            <v>0</v>
          </cell>
        </row>
        <row r="1300">
          <cell r="F1300">
            <v>0</v>
          </cell>
        </row>
        <row r="1301">
          <cell r="F1301">
            <v>0</v>
          </cell>
        </row>
        <row r="1302">
          <cell r="F1302">
            <v>0</v>
          </cell>
        </row>
        <row r="1303">
          <cell r="F1303">
            <v>0</v>
          </cell>
        </row>
        <row r="1304">
          <cell r="F1304">
            <v>0</v>
          </cell>
        </row>
        <row r="1305">
          <cell r="F1305">
            <v>0</v>
          </cell>
        </row>
        <row r="1306">
          <cell r="F1306">
            <v>0</v>
          </cell>
        </row>
        <row r="1307">
          <cell r="F1307">
            <v>0</v>
          </cell>
        </row>
        <row r="1308">
          <cell r="F1308">
            <v>0</v>
          </cell>
        </row>
        <row r="1309">
          <cell r="F1309">
            <v>0</v>
          </cell>
        </row>
        <row r="1310">
          <cell r="F1310">
            <v>0</v>
          </cell>
        </row>
        <row r="1311">
          <cell r="F1311">
            <v>0</v>
          </cell>
        </row>
        <row r="1312">
          <cell r="F1312">
            <v>0</v>
          </cell>
        </row>
        <row r="1313">
          <cell r="F1313">
            <v>0</v>
          </cell>
        </row>
        <row r="1314">
          <cell r="F1314">
            <v>0</v>
          </cell>
        </row>
        <row r="1315">
          <cell r="F1315">
            <v>0</v>
          </cell>
        </row>
        <row r="1316">
          <cell r="F1316">
            <v>0</v>
          </cell>
        </row>
        <row r="1317">
          <cell r="F1317">
            <v>0</v>
          </cell>
        </row>
        <row r="1318">
          <cell r="F1318">
            <v>0</v>
          </cell>
        </row>
        <row r="1319">
          <cell r="F1319">
            <v>0</v>
          </cell>
        </row>
        <row r="1320">
          <cell r="F1320">
            <v>0</v>
          </cell>
        </row>
        <row r="1321">
          <cell r="F1321">
            <v>0</v>
          </cell>
        </row>
        <row r="1322">
          <cell r="F1322">
            <v>0</v>
          </cell>
        </row>
        <row r="1323">
          <cell r="F1323">
            <v>0</v>
          </cell>
        </row>
        <row r="1324">
          <cell r="F1324">
            <v>0</v>
          </cell>
        </row>
        <row r="1325">
          <cell r="F1325">
            <v>0</v>
          </cell>
        </row>
        <row r="1326">
          <cell r="F1326">
            <v>0</v>
          </cell>
        </row>
        <row r="1327">
          <cell r="F1327">
            <v>0</v>
          </cell>
        </row>
        <row r="1328">
          <cell r="F1328">
            <v>0</v>
          </cell>
        </row>
        <row r="1329">
          <cell r="F1329">
            <v>0</v>
          </cell>
        </row>
        <row r="1330">
          <cell r="F1330">
            <v>0</v>
          </cell>
        </row>
        <row r="1331">
          <cell r="F1331">
            <v>0</v>
          </cell>
        </row>
        <row r="1332">
          <cell r="F1332">
            <v>0</v>
          </cell>
        </row>
        <row r="1333">
          <cell r="F1333">
            <v>0</v>
          </cell>
        </row>
        <row r="1334">
          <cell r="F1334">
            <v>0</v>
          </cell>
        </row>
        <row r="1335">
          <cell r="F1335">
            <v>0</v>
          </cell>
        </row>
        <row r="1336">
          <cell r="F1336">
            <v>0</v>
          </cell>
        </row>
        <row r="1337">
          <cell r="F1337">
            <v>0</v>
          </cell>
        </row>
        <row r="1338">
          <cell r="F1338">
            <v>0</v>
          </cell>
        </row>
        <row r="1339">
          <cell r="F1339">
            <v>0</v>
          </cell>
        </row>
        <row r="1340">
          <cell r="F1340">
            <v>0</v>
          </cell>
        </row>
        <row r="1341">
          <cell r="F1341">
            <v>0</v>
          </cell>
        </row>
        <row r="1342">
          <cell r="F1342">
            <v>0</v>
          </cell>
        </row>
        <row r="1343">
          <cell r="F1343">
            <v>0</v>
          </cell>
        </row>
        <row r="1344">
          <cell r="F1344">
            <v>0</v>
          </cell>
        </row>
        <row r="1345">
          <cell r="F1345">
            <v>0</v>
          </cell>
        </row>
        <row r="1346">
          <cell r="F1346">
            <v>0</v>
          </cell>
        </row>
        <row r="1347">
          <cell r="F1347">
            <v>0</v>
          </cell>
        </row>
        <row r="1348">
          <cell r="F1348">
            <v>0</v>
          </cell>
        </row>
        <row r="1349">
          <cell r="F1349">
            <v>0</v>
          </cell>
        </row>
        <row r="1350">
          <cell r="F1350">
            <v>0</v>
          </cell>
        </row>
        <row r="1351">
          <cell r="F1351">
            <v>0</v>
          </cell>
        </row>
        <row r="1352">
          <cell r="F1352">
            <v>0</v>
          </cell>
        </row>
        <row r="1353">
          <cell r="F1353">
            <v>0</v>
          </cell>
        </row>
        <row r="1354">
          <cell r="F1354">
            <v>0</v>
          </cell>
        </row>
        <row r="1355">
          <cell r="F1355">
            <v>0</v>
          </cell>
        </row>
        <row r="1356">
          <cell r="F1356">
            <v>0</v>
          </cell>
        </row>
        <row r="1357">
          <cell r="F1357">
            <v>0</v>
          </cell>
        </row>
        <row r="1358">
          <cell r="F1358">
            <v>0</v>
          </cell>
        </row>
        <row r="1359">
          <cell r="F1359">
            <v>0</v>
          </cell>
        </row>
        <row r="1360">
          <cell r="F1360">
            <v>0</v>
          </cell>
        </row>
        <row r="1361">
          <cell r="F1361">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foxz"/>
      <sheetName val="foxz_2"/>
      <sheetName val="Đơn giá cây cối"/>
      <sheetName val="THPA"/>
      <sheetName val="Mạnh"/>
      <sheetName val="Minh"/>
      <sheetName val="Đoan"/>
      <sheetName val="Miên"/>
      <sheetName val="Đỏ"/>
      <sheetName val="Mây"/>
      <sheetName val="Lộc"/>
      <sheetName val="Nguyễn Duy Tân"/>
      <sheetName val="Ban"/>
      <sheetName val="Sơn"/>
      <sheetName val="Nam Doanh"/>
      <sheetName val="Giang"/>
      <sheetName val="Cường"/>
      <sheetName val="Đạo"/>
      <sheetName val="Nguyễn Đức Minh"/>
      <sheetName val="Hiền"/>
      <sheetName val="Sinh Năm"/>
      <sheetName val="Luận"/>
      <sheetName val="Khích Nhinh"/>
      <sheetName val="Phong"/>
      <sheetName val="Quang Thắm"/>
      <sheetName val="Huyên"/>
      <sheetName val="Hiệp Nghịch"/>
      <sheetName val="Lợi"/>
      <sheetName val="Tân"/>
      <sheetName val="Nguyên"/>
      <sheetName val="Toàn Hà"/>
      <sheetName val="Hậu Hương"/>
      <sheetName val="Phông"/>
      <sheetName val="Nguyễn Duy Tân 2"/>
      <sheetName val="Hán"/>
      <sheetName val="Nguyễn Đức Cường"/>
      <sheetName val="Tùng"/>
      <sheetName val="Bình"/>
      <sheetName val="Hưng"/>
      <sheetName val="Châu Nguyệt"/>
      <sheetName val="Lãnh"/>
      <sheetName val="Viết"/>
      <sheetName val="Thanh"/>
      <sheetName val="Mẫn Hoa"/>
      <sheetName val="Diễn Chanh"/>
      <sheetName val="Hưng Hiên"/>
      <sheetName val="Bích Khắc"/>
      <sheetName val="Nghĩa Trâm"/>
      <sheetName val="Quảng"/>
      <sheetName val="Khuông"/>
      <sheetName val="XXXXXXXX"/>
      <sheetName val="Mạnh (Tài sản)"/>
      <sheetName val="Đồng"/>
      <sheetName val="Động-Gái"/>
    </sheetNames>
    <sheetDataSet>
      <sheetData sheetId="0"/>
      <sheetData sheetId="1"/>
      <sheetData sheetId="2"/>
      <sheetData sheetId="3">
        <row r="1">
          <cell r="F1" t="str">
            <v>KQ</v>
          </cell>
        </row>
        <row r="2">
          <cell r="A2" t="str">
            <v>Nhóm cây lương thực</v>
          </cell>
          <cell r="F2">
            <v>0</v>
          </cell>
        </row>
        <row r="3">
          <cell r="A3" t="str">
            <v>Lúa</v>
          </cell>
          <cell r="F3">
            <v>0</v>
          </cell>
        </row>
        <row r="4">
          <cell r="A4" t="str">
            <v>Ngô (bắp)</v>
          </cell>
          <cell r="F4">
            <v>0</v>
          </cell>
        </row>
        <row r="5">
          <cell r="A5" t="str">
            <v>Khoai lang</v>
          </cell>
          <cell r="F5">
            <v>0</v>
          </cell>
        </row>
        <row r="6">
          <cell r="A6" t="str">
            <v>Sắn (mỳ)</v>
          </cell>
          <cell r="F6">
            <v>0</v>
          </cell>
        </row>
        <row r="7">
          <cell r="A7" t="str">
            <v>Nhóm cây rau, màu</v>
          </cell>
          <cell r="F7">
            <v>0</v>
          </cell>
        </row>
        <row r="8">
          <cell r="A8" t="str">
            <v>Khoai sọ</v>
          </cell>
          <cell r="F8">
            <v>0</v>
          </cell>
        </row>
        <row r="9">
          <cell r="A9" t="str">
            <v>Khoai mỡ, củ canh</v>
          </cell>
          <cell r="F9">
            <v>0</v>
          </cell>
        </row>
        <row r="10">
          <cell r="A10" t="str">
            <v>Khoai môn</v>
          </cell>
          <cell r="F10">
            <v>0</v>
          </cell>
        </row>
        <row r="11">
          <cell r="A11" t="str">
            <v>Khoai tây</v>
          </cell>
          <cell r="F11">
            <v>0</v>
          </cell>
        </row>
        <row r="12">
          <cell r="A12" t="str">
            <v>Dong riềng</v>
          </cell>
          <cell r="F12">
            <v>0</v>
          </cell>
        </row>
        <row r="13">
          <cell r="A13" t="str">
            <v>Sắn dây</v>
          </cell>
          <cell r="F13">
            <v>0</v>
          </cell>
        </row>
        <row r="14">
          <cell r="A14" t="str">
            <v>Củ từ</v>
          </cell>
          <cell r="F14">
            <v>0</v>
          </cell>
        </row>
        <row r="15">
          <cell r="A15" t="str">
            <v>Mía</v>
          </cell>
          <cell r="F15">
            <v>0</v>
          </cell>
        </row>
        <row r="16">
          <cell r="A16" t="str">
            <v>Thuốc lào</v>
          </cell>
          <cell r="F16">
            <v>0</v>
          </cell>
        </row>
        <row r="17">
          <cell r="A17" t="str">
            <v>Cói</v>
          </cell>
          <cell r="F17">
            <v>0</v>
          </cell>
        </row>
        <row r="18">
          <cell r="A18" t="str">
            <v xml:space="preserve"> Đậu tương (đậu nành) lấy hạt</v>
          </cell>
          <cell r="F18">
            <v>0</v>
          </cell>
        </row>
        <row r="19">
          <cell r="A19" t="str">
            <v>Lạc (đậu phộng)</v>
          </cell>
          <cell r="F19">
            <v>0</v>
          </cell>
        </row>
        <row r="20">
          <cell r="A20" t="str">
            <v>Vừng (mè)</v>
          </cell>
          <cell r="F20">
            <v>0</v>
          </cell>
        </row>
        <row r="21">
          <cell r="A21" t="str">
            <v>Rau muống</v>
          </cell>
          <cell r="F21">
            <v>0</v>
          </cell>
        </row>
        <row r="22">
          <cell r="A22" t="str">
            <v>Cải canh</v>
          </cell>
          <cell r="F22">
            <v>0</v>
          </cell>
        </row>
        <row r="23">
          <cell r="A23" t="str">
            <v>Cải chíp</v>
          </cell>
          <cell r="F23">
            <v>0</v>
          </cell>
        </row>
        <row r="24">
          <cell r="A24" t="str">
            <v>Cải ngồng</v>
          </cell>
          <cell r="F24">
            <v>0</v>
          </cell>
        </row>
        <row r="25">
          <cell r="A25" t="str">
            <v>Cải bẹ</v>
          </cell>
          <cell r="F25">
            <v>0</v>
          </cell>
        </row>
        <row r="26">
          <cell r="A26" t="str">
            <v>Cải làn</v>
          </cell>
          <cell r="F26">
            <v>0</v>
          </cell>
        </row>
        <row r="27">
          <cell r="A27" t="str">
            <v>Cải bó xôi</v>
          </cell>
          <cell r="F27">
            <v>0</v>
          </cell>
        </row>
        <row r="28">
          <cell r="A28" t="str">
            <v>Cải ngọt</v>
          </cell>
          <cell r="F28">
            <v>0</v>
          </cell>
        </row>
        <row r="29">
          <cell r="A29" t="str">
            <v>Cải xoong</v>
          </cell>
          <cell r="F29">
            <v>0</v>
          </cell>
        </row>
        <row r="30">
          <cell r="A30" t="str">
            <v>Cải thảo</v>
          </cell>
          <cell r="F30">
            <v>0</v>
          </cell>
        </row>
        <row r="31">
          <cell r="A31" t="str">
            <v>Cải cúc</v>
          </cell>
          <cell r="F31">
            <v>0</v>
          </cell>
        </row>
        <row r="32">
          <cell r="A32" t="str">
            <v>Cải kale</v>
          </cell>
          <cell r="F32">
            <v>0</v>
          </cell>
        </row>
        <row r="33">
          <cell r="A33" t="str">
            <v>Cải bắp</v>
          </cell>
          <cell r="F33">
            <v>0</v>
          </cell>
        </row>
        <row r="34">
          <cell r="A34" t="str">
            <v>Rau mùng tơi</v>
          </cell>
          <cell r="F34">
            <v>0</v>
          </cell>
        </row>
        <row r="35">
          <cell r="A35" t="str">
            <v>Rau đay</v>
          </cell>
          <cell r="F35">
            <v>0</v>
          </cell>
        </row>
        <row r="36">
          <cell r="A36" t="str">
            <v>Rau ngót</v>
          </cell>
          <cell r="F36">
            <v>0</v>
          </cell>
        </row>
        <row r="37">
          <cell r="A37" t="str">
            <v>Rau má</v>
          </cell>
          <cell r="F37">
            <v>0</v>
          </cell>
        </row>
        <row r="38">
          <cell r="A38" t="str">
            <v>Rau diếp/xà lách</v>
          </cell>
          <cell r="F38">
            <v>0</v>
          </cell>
        </row>
        <row r="39">
          <cell r="A39" t="str">
            <v>Rau dền</v>
          </cell>
          <cell r="F39">
            <v>0</v>
          </cell>
        </row>
        <row r="40">
          <cell r="A40" t="str">
            <v>Súp lơ</v>
          </cell>
          <cell r="F40">
            <v>0</v>
          </cell>
        </row>
        <row r="41">
          <cell r="A41" t="str">
            <v>Su su (lấy ngọn)</v>
          </cell>
          <cell r="F41">
            <v>0</v>
          </cell>
        </row>
        <row r="42">
          <cell r="A42" t="str">
            <v>Ngô rau</v>
          </cell>
          <cell r="F42">
            <v>0</v>
          </cell>
        </row>
        <row r="43">
          <cell r="A43" t="str">
            <v>Dưa hấu</v>
          </cell>
          <cell r="F43">
            <v>0</v>
          </cell>
        </row>
        <row r="44">
          <cell r="A44" t="str">
            <v>Dưa lê</v>
          </cell>
          <cell r="F44">
            <v>0</v>
          </cell>
        </row>
        <row r="45">
          <cell r="A45" t="str">
            <v>Dưa vàng</v>
          </cell>
          <cell r="F45">
            <v>0</v>
          </cell>
        </row>
        <row r="46">
          <cell r="A46" t="str">
            <v>Dưa lưới</v>
          </cell>
          <cell r="F46">
            <v>0</v>
          </cell>
        </row>
        <row r="47">
          <cell r="A47" t="str">
            <v>Dưa bở</v>
          </cell>
          <cell r="F47">
            <v>0</v>
          </cell>
        </row>
        <row r="48">
          <cell r="A48" t="str">
            <v>Dưa gang</v>
          </cell>
          <cell r="F48">
            <v>0</v>
          </cell>
        </row>
        <row r="49">
          <cell r="A49" t="str">
            <v>Dưa chuột/ dưa leo</v>
          </cell>
          <cell r="F49">
            <v>0</v>
          </cell>
        </row>
        <row r="50">
          <cell r="A50" t="str">
            <v>Đậu tương rau</v>
          </cell>
          <cell r="F50">
            <v>0</v>
          </cell>
        </row>
        <row r="51">
          <cell r="A51" t="str">
            <v>Đậu/ đỗ đũa</v>
          </cell>
          <cell r="F51">
            <v>0</v>
          </cell>
        </row>
        <row r="52">
          <cell r="A52" t="str">
            <v>Đậu/ đỗ cove</v>
          </cell>
          <cell r="F52">
            <v>0</v>
          </cell>
        </row>
        <row r="53">
          <cell r="A53" t="str">
            <v>Đậu/ đỗ Hà Lan</v>
          </cell>
          <cell r="F53">
            <v>0</v>
          </cell>
        </row>
        <row r="54">
          <cell r="A54" t="str">
            <v>Đậu/ đỗ rồng</v>
          </cell>
          <cell r="F54">
            <v>0</v>
          </cell>
        </row>
        <row r="55">
          <cell r="A55" t="str">
            <v xml:space="preserve"> Đậu/ đỗ ván</v>
          </cell>
          <cell r="F55">
            <v>0</v>
          </cell>
        </row>
        <row r="56">
          <cell r="A56" t="str">
            <v>Đậu bắp</v>
          </cell>
          <cell r="F56">
            <v>0</v>
          </cell>
        </row>
        <row r="57">
          <cell r="A57" t="str">
            <v>Cà chua</v>
          </cell>
          <cell r="F57">
            <v>0</v>
          </cell>
        </row>
        <row r="58">
          <cell r="A58" t="str">
            <v>Cà tím</v>
          </cell>
          <cell r="F58">
            <v>0</v>
          </cell>
        </row>
        <row r="59">
          <cell r="A59" t="str">
            <v>Cà bát</v>
          </cell>
          <cell r="F59">
            <v>0</v>
          </cell>
        </row>
        <row r="60">
          <cell r="A60" t="str">
            <v>Cà pháo</v>
          </cell>
          <cell r="F60">
            <v>0</v>
          </cell>
        </row>
        <row r="61">
          <cell r="A61" t="str">
            <v>Bí ngô</v>
          </cell>
          <cell r="F61">
            <v>0</v>
          </cell>
        </row>
        <row r="62">
          <cell r="A62" t="str">
            <v>Bí xanh</v>
          </cell>
          <cell r="F62">
            <v>0</v>
          </cell>
        </row>
        <row r="63">
          <cell r="A63" t="str">
            <v>Bí ngòi</v>
          </cell>
          <cell r="F63">
            <v>0</v>
          </cell>
        </row>
        <row r="64">
          <cell r="A64" t="str">
            <v>Bầu</v>
          </cell>
          <cell r="F64">
            <v>0</v>
          </cell>
        </row>
        <row r="65">
          <cell r="A65" t="str">
            <v>Mướp</v>
          </cell>
          <cell r="F65">
            <v>0</v>
          </cell>
        </row>
        <row r="66">
          <cell r="A66" t="str">
            <v>Mướp đắng</v>
          </cell>
          <cell r="F66">
            <v>0</v>
          </cell>
        </row>
        <row r="67">
          <cell r="A67" t="str">
            <v>Su su (lấy quả)</v>
          </cell>
          <cell r="F67">
            <v>0</v>
          </cell>
        </row>
        <row r="68">
          <cell r="A68" t="str">
            <v>Ớt ngọt</v>
          </cell>
          <cell r="F68">
            <v>0</v>
          </cell>
        </row>
        <row r="69">
          <cell r="A69" t="str">
            <v>Su hào</v>
          </cell>
          <cell r="F69">
            <v>0</v>
          </cell>
        </row>
        <row r="70">
          <cell r="A70" t="str">
            <v>Cà rốt</v>
          </cell>
          <cell r="F70">
            <v>0</v>
          </cell>
        </row>
        <row r="71">
          <cell r="A71" t="str">
            <v xml:space="preserve"> Củ cải trắng</v>
          </cell>
          <cell r="F71">
            <v>0</v>
          </cell>
        </row>
        <row r="72">
          <cell r="A72" t="str">
            <v>Củ dền</v>
          </cell>
          <cell r="F72">
            <v>0</v>
          </cell>
        </row>
        <row r="73">
          <cell r="A73" t="str">
            <v>Củ đậu</v>
          </cell>
          <cell r="F73">
            <v>0</v>
          </cell>
        </row>
        <row r="74">
          <cell r="A74" t="str">
            <v>Tỏi lấy củ</v>
          </cell>
          <cell r="F74">
            <v>0</v>
          </cell>
        </row>
        <row r="75">
          <cell r="A75" t="str">
            <v>Tỏi tây</v>
          </cell>
          <cell r="F75">
            <v>0</v>
          </cell>
        </row>
        <row r="76">
          <cell r="A76" t="str">
            <v>Hành tây</v>
          </cell>
          <cell r="F76">
            <v>0</v>
          </cell>
        </row>
        <row r="77">
          <cell r="A77" t="str">
            <v>Hành hoa</v>
          </cell>
          <cell r="F77">
            <v>0</v>
          </cell>
        </row>
        <row r="78">
          <cell r="A78" t="str">
            <v>Hành củ</v>
          </cell>
          <cell r="F78">
            <v>0</v>
          </cell>
        </row>
        <row r="79">
          <cell r="A79" t="str">
            <v>Hành paro</v>
          </cell>
          <cell r="F79">
            <v>0</v>
          </cell>
        </row>
        <row r="80">
          <cell r="A80" t="str">
            <v>Sen lấy củ</v>
          </cell>
          <cell r="F80">
            <v>0</v>
          </cell>
        </row>
        <row r="81">
          <cell r="A81" t="str">
            <v>Sen lấy ngó</v>
          </cell>
          <cell r="F81">
            <v>0</v>
          </cell>
        </row>
        <row r="82">
          <cell r="A82" t="str">
            <v>Rau cần ta</v>
          </cell>
          <cell r="F82">
            <v>0</v>
          </cell>
        </row>
        <row r="83">
          <cell r="A83" t="str">
            <v>Rau cần tây</v>
          </cell>
          <cell r="F83">
            <v>0</v>
          </cell>
        </row>
        <row r="84">
          <cell r="A84" t="str">
            <v>Dọc mùng</v>
          </cell>
          <cell r="F84">
            <v>0</v>
          </cell>
        </row>
        <row r="85">
          <cell r="A85" t="str">
            <v>Rau rút</v>
          </cell>
          <cell r="F85">
            <v>0</v>
          </cell>
        </row>
        <row r="86">
          <cell r="A86" t="str">
            <v>Rau dớn</v>
          </cell>
          <cell r="F86">
            <v>0</v>
          </cell>
        </row>
        <row r="87">
          <cell r="A87" t="str">
            <v>Khoai nước (lấy mầm)</v>
          </cell>
          <cell r="F87">
            <v>0</v>
          </cell>
        </row>
        <row r="88">
          <cell r="A88" t="str">
            <v>Đậu/đỗ đen</v>
          </cell>
          <cell r="F88">
            <v>0</v>
          </cell>
        </row>
        <row r="89">
          <cell r="A89" t="str">
            <v>Đậu/đỗ xanh</v>
          </cell>
          <cell r="F89">
            <v>0</v>
          </cell>
        </row>
        <row r="90">
          <cell r="A90" t="str">
            <v xml:space="preserve"> Đậu/đỗ đỏ</v>
          </cell>
          <cell r="F90">
            <v>0</v>
          </cell>
        </row>
        <row r="91">
          <cell r="A91" t="str">
            <v>Nhóm cây hoa</v>
          </cell>
          <cell r="F91">
            <v>0</v>
          </cell>
        </row>
        <row r="92">
          <cell r="A92" t="str">
            <v>Hoa cúc</v>
          </cell>
          <cell r="F92">
            <v>0</v>
          </cell>
        </row>
        <row r="93">
          <cell r="A93" t="str">
            <v>Hoa lay ơn</v>
          </cell>
          <cell r="F93">
            <v>0</v>
          </cell>
        </row>
        <row r="94">
          <cell r="A94" t="str">
            <v>Hoa cẩm chướng</v>
          </cell>
          <cell r="F94">
            <v>0</v>
          </cell>
        </row>
        <row r="95">
          <cell r="A95" t="str">
            <v>Hoa lily</v>
          </cell>
          <cell r="F95">
            <v>0</v>
          </cell>
        </row>
        <row r="96">
          <cell r="A96" t="str">
            <v>Hoa loa kèn</v>
          </cell>
          <cell r="F96">
            <v>0</v>
          </cell>
        </row>
        <row r="97">
          <cell r="A97" t="str">
            <v>Hoa đồng tiền</v>
          </cell>
          <cell r="F97">
            <v>0</v>
          </cell>
        </row>
        <row r="98">
          <cell r="A98" t="str">
            <v>Hoa thạch thảo</v>
          </cell>
          <cell r="F98">
            <v>0</v>
          </cell>
        </row>
        <row r="99">
          <cell r="A99" t="str">
            <v>Hoa cát tường</v>
          </cell>
          <cell r="F99">
            <v>0</v>
          </cell>
        </row>
        <row r="100">
          <cell r="A100" t="str">
            <v>Hoa hướng dương</v>
          </cell>
          <cell r="F100">
            <v>0</v>
          </cell>
        </row>
        <row r="101">
          <cell r="A101" t="str">
            <v>Hoa huệ</v>
          </cell>
          <cell r="F101">
            <v>0</v>
          </cell>
        </row>
        <row r="102">
          <cell r="A102" t="str">
            <v>Hoa cánh bướm</v>
          </cell>
          <cell r="F102">
            <v>0</v>
          </cell>
        </row>
        <row r="103">
          <cell r="A103" t="str">
            <v>Hoa phi yến</v>
          </cell>
          <cell r="F103">
            <v>0</v>
          </cell>
        </row>
        <row r="104">
          <cell r="A104" t="str">
            <v>Hoa sen lấy hoa</v>
          </cell>
          <cell r="F104">
            <v>0</v>
          </cell>
        </row>
        <row r="105">
          <cell r="A105" t="str">
            <v>Hoa súng</v>
          </cell>
          <cell r="F105">
            <v>0</v>
          </cell>
        </row>
        <row r="106">
          <cell r="A106" t="str">
            <v>Violet, cosmot</v>
          </cell>
          <cell r="F106">
            <v>0</v>
          </cell>
        </row>
        <row r="107">
          <cell r="A107" t="str">
            <v>Violet, cosmot cây chưa có hoa</v>
          </cell>
          <cell r="F107">
            <v>0</v>
          </cell>
        </row>
        <row r="108">
          <cell r="A108" t="str">
            <v>Violet, cosmot cây có hoa</v>
          </cell>
          <cell r="F108">
            <v>0</v>
          </cell>
        </row>
        <row r="109">
          <cell r="A109" t="str">
            <v>Cây hoa mười giờ, cây hoa sam, tóc tiên</v>
          </cell>
          <cell r="F109">
            <v>0</v>
          </cell>
        </row>
        <row r="110">
          <cell r="A110" t="str">
            <v>Cây dạ yến thảo, cây ngọc thảo</v>
          </cell>
          <cell r="F110">
            <v>0</v>
          </cell>
        </row>
        <row r="111">
          <cell r="A111" t="str">
            <v>Cây salem</v>
          </cell>
          <cell r="F111">
            <v>0</v>
          </cell>
        </row>
        <row r="112">
          <cell r="A112" t="str">
            <v>Cây salem chưa có hoa</v>
          </cell>
          <cell r="F112">
            <v>0</v>
          </cell>
        </row>
        <row r="113">
          <cell r="A113" t="str">
            <v>Cây salem có hoa</v>
          </cell>
          <cell r="F113">
            <v>0</v>
          </cell>
        </row>
        <row r="114">
          <cell r="A114" t="str">
            <v>Nhóm cây gia vị</v>
          </cell>
          <cell r="F114">
            <v>0</v>
          </cell>
        </row>
        <row r="115">
          <cell r="A115" t="str">
            <v>Ớt cay</v>
          </cell>
          <cell r="F115">
            <v>0</v>
          </cell>
        </row>
        <row r="116">
          <cell r="A116" t="str">
            <v>Gừng</v>
          </cell>
          <cell r="F116">
            <v>0</v>
          </cell>
        </row>
        <row r="117">
          <cell r="A117" t="str">
            <v>Nghệ</v>
          </cell>
          <cell r="F117">
            <v>0</v>
          </cell>
        </row>
        <row r="118">
          <cell r="A118" t="str">
            <v>Riềng</v>
          </cell>
          <cell r="F118">
            <v>0</v>
          </cell>
        </row>
        <row r="119">
          <cell r="A119" t="str">
            <v>Sả</v>
          </cell>
          <cell r="F119">
            <v>0</v>
          </cell>
        </row>
        <row r="120">
          <cell r="A120" t="str">
            <v>Tía tô</v>
          </cell>
          <cell r="F120">
            <v>0</v>
          </cell>
        </row>
        <row r="121">
          <cell r="A121" t="str">
            <v>Kinh giới, húng tép</v>
          </cell>
          <cell r="F121">
            <v>0</v>
          </cell>
        </row>
        <row r="122">
          <cell r="A122" t="str">
            <v>Húng bąc hà, húng Hà Nội</v>
          </cell>
          <cell r="F122">
            <v>0</v>
          </cell>
        </row>
        <row r="123">
          <cell r="A123" t="str">
            <v>Húng quế (húng chó)</v>
          </cell>
          <cell r="F123">
            <v>0</v>
          </cell>
        </row>
        <row r="124">
          <cell r="A124" t="str">
            <v>Rau mùi</v>
          </cell>
          <cell r="F124">
            <v>0</v>
          </cell>
        </row>
        <row r="125">
          <cell r="A125" t="str">
            <v>Mùi tàu (răng cua, ngò gai)</v>
          </cell>
          <cell r="F125">
            <v>0</v>
          </cell>
        </row>
        <row r="126">
          <cell r="A126" t="str">
            <v>Ngải cứu</v>
          </cell>
          <cell r="F126">
            <v>0</v>
          </cell>
        </row>
        <row r="127">
          <cell r="A127" t="str">
            <v>Thì là</v>
          </cell>
          <cell r="F127">
            <v>0</v>
          </cell>
        </row>
        <row r="128">
          <cell r="A128" t="str">
            <v>Rau rám</v>
          </cell>
          <cell r="F128">
            <v>0</v>
          </cell>
        </row>
        <row r="129">
          <cell r="A129" t="str">
            <v>Lá nốt</v>
          </cell>
          <cell r="F129">
            <v>0</v>
          </cell>
        </row>
        <row r="130">
          <cell r="A130" t="str">
            <v>Nhóm cây dược liệu</v>
          </cell>
          <cell r="F130">
            <v>0</v>
          </cell>
        </row>
        <row r="131">
          <cell r="A131" t="str">
            <v>Hương nhu</v>
          </cell>
          <cell r="F131">
            <v>0</v>
          </cell>
        </row>
        <row r="132">
          <cell r="A132" t="str">
            <v>Cúc dược liệu (Cúc chi)</v>
          </cell>
          <cell r="F132">
            <v>0</v>
          </cell>
        </row>
        <row r="133">
          <cell r="A133" t="str">
            <v>Húng chanh</v>
          </cell>
          <cell r="F133">
            <v>0</v>
          </cell>
        </row>
        <row r="134">
          <cell r="A134" t="str">
            <v>Lá nếp</v>
          </cell>
          <cell r="F134">
            <v>0</v>
          </cell>
        </row>
        <row r="135">
          <cell r="A135" t="str">
            <v>Xương sông</v>
          </cell>
          <cell r="F135">
            <v>0</v>
          </cell>
        </row>
        <row r="136">
          <cell r="A136" t="str">
            <v>Hoàn ngọc (cây lá khỉ)</v>
          </cell>
          <cell r="F136">
            <v>0</v>
          </cell>
        </row>
        <row r="137">
          <cell r="A137" t="str">
            <v>Atiso đỏ</v>
          </cell>
          <cell r="F137">
            <v>0</v>
          </cell>
        </row>
        <row r="138">
          <cell r="A138" t="str">
            <v>Nhóm cây hàng năm khác</v>
          </cell>
          <cell r="F138">
            <v>0</v>
          </cell>
        </row>
        <row r="139">
          <cell r="A139" t="str">
            <v xml:space="preserve"> Ấu</v>
          </cell>
          <cell r="F139">
            <v>0</v>
          </cell>
        </row>
        <row r="140">
          <cell r="A140" t="str">
            <v>Thạch đen</v>
          </cell>
          <cell r="F140">
            <v>0</v>
          </cell>
        </row>
        <row r="141">
          <cell r="A141" t="str">
            <v>Hương bài</v>
          </cell>
          <cell r="F141">
            <v>0</v>
          </cell>
        </row>
        <row r="142">
          <cell r="A142" t="str">
            <v>Cỏ voi</v>
          </cell>
          <cell r="F142">
            <v>0</v>
          </cell>
        </row>
        <row r="143">
          <cell r="A143" t="str">
            <v>Cỏ nhung</v>
          </cell>
          <cell r="F143">
            <v>0</v>
          </cell>
        </row>
        <row r="144">
          <cell r="A144" t="str">
            <v>Ngô sinh khối</v>
          </cell>
          <cell r="F144">
            <v>0</v>
          </cell>
        </row>
        <row r="145">
          <cell r="A145" t="str">
            <v>Nấm rơm</v>
          </cell>
          <cell r="F145">
            <v>0</v>
          </cell>
        </row>
        <row r="146">
          <cell r="A146" t="str">
            <v>Nấm mỡ</v>
          </cell>
          <cell r="F146">
            <v>0</v>
          </cell>
        </row>
        <row r="147">
          <cell r="A147" t="str">
            <v>Đay</v>
          </cell>
          <cell r="F147">
            <v>0</v>
          </cell>
        </row>
        <row r="148">
          <cell r="A148" t="str">
            <v>Gai</v>
          </cell>
          <cell r="F148">
            <v>0</v>
          </cell>
        </row>
        <row r="149">
          <cell r="A149" t="str">
            <v>Dứa sợi</v>
          </cell>
          <cell r="F149">
            <v>0</v>
          </cell>
        </row>
        <row r="150">
          <cell r="A150" t="str">
            <v>NHÓM CÂY TÍNH THEO CHIỀU CAO THÂN</v>
          </cell>
          <cell r="F150">
            <v>0</v>
          </cell>
        </row>
        <row r="151">
          <cell r="A151" t="str">
            <v>Cây na xiêm</v>
          </cell>
          <cell r="F151">
            <v>0</v>
          </cell>
        </row>
        <row r="152">
          <cell r="A152" t="str">
            <v>Cây na xiêm chiều cao cây H ≤ 1,5 m</v>
          </cell>
          <cell r="F152">
            <v>0</v>
          </cell>
        </row>
        <row r="153">
          <cell r="A153" t="str">
            <v>Cây na xiêm chiều cao cây 1,5 m &lt; H ≤ 3 m</v>
          </cell>
          <cell r="F153">
            <v>0</v>
          </cell>
        </row>
        <row r="154">
          <cell r="A154" t="str">
            <v>Cây na xiêm chiều cao cây H &gt; 3 m</v>
          </cell>
          <cell r="F154">
            <v>0</v>
          </cell>
        </row>
        <row r="155">
          <cell r="A155" t="str">
            <v>Cây sắn thuyền</v>
          </cell>
          <cell r="F155">
            <v>0</v>
          </cell>
        </row>
        <row r="156">
          <cell r="A156" t="str">
            <v>Cây sắn thuyền chiều cao cây H ≤ 1,5 m</v>
          </cell>
          <cell r="F156">
            <v>0</v>
          </cell>
        </row>
        <row r="157">
          <cell r="A157" t="str">
            <v>Cây sắn thuyền chiều cao cây 1,5 m &lt; H ≤ 3 m</v>
          </cell>
          <cell r="F157">
            <v>0</v>
          </cell>
        </row>
        <row r="158">
          <cell r="A158" t="str">
            <v>Cây sắn thuyền chiều cao cây H &gt; 3 m</v>
          </cell>
          <cell r="F158">
            <v>0</v>
          </cell>
        </row>
        <row r="159">
          <cell r="A159" t="str">
            <v>Cau ta ăn quả</v>
          </cell>
          <cell r="F159">
            <v>0</v>
          </cell>
        </row>
        <row r="160">
          <cell r="A160" t="str">
            <v>Cau ta ăn quả giống đủ tiêu chuẩn mới trồng, chiều cao cây H ≥ 40cm</v>
          </cell>
          <cell r="F160">
            <v>0</v>
          </cell>
        </row>
        <row r="161">
          <cell r="A161" t="str">
            <v>Cau ta ăn quả chiều cao cây H &lt; 1,5 m</v>
          </cell>
          <cell r="F161">
            <v>0</v>
          </cell>
        </row>
        <row r="162">
          <cell r="A162" t="str">
            <v>Cau ta ăn quả chiều cao cây 1,5 m ≤  H &lt; 3 m</v>
          </cell>
          <cell r="F162">
            <v>0</v>
          </cell>
        </row>
        <row r="163">
          <cell r="A163" t="str">
            <v>Cau ta ăn quả chiều cao cây 3 m ≤  H &lt; 4 m</v>
          </cell>
          <cell r="F163">
            <v>0</v>
          </cell>
        </row>
        <row r="164">
          <cell r="A164" t="str">
            <v>Cau ta ăn quả chiều cao cây H ≥ 4 m</v>
          </cell>
          <cell r="F164">
            <v>0</v>
          </cell>
        </row>
        <row r="165">
          <cell r="A165" t="str">
            <v>Cây cau lợn cọ (độ cao bóc bẹ)</v>
          </cell>
          <cell r="F165">
            <v>0</v>
          </cell>
        </row>
        <row r="166">
          <cell r="A166" t="str">
            <v>Cây cau lợn cọ (độ cao bóc bẹ) Cây giống mới trồng</v>
          </cell>
          <cell r="F166">
            <v>0</v>
          </cell>
        </row>
        <row r="167">
          <cell r="A167" t="str">
            <v>Cây cau lợn cọ (độ cao bóc bẹ)  H &lt; 15 cm</v>
          </cell>
          <cell r="F167">
            <v>0</v>
          </cell>
        </row>
        <row r="168">
          <cell r="A168" t="str">
            <v>Cây cau lợn cọ (độ cao bóc bẹ) 15 cm &lt; H ≤ 30 cm</v>
          </cell>
          <cell r="F168">
            <v>0</v>
          </cell>
        </row>
        <row r="169">
          <cell r="A169" t="str">
            <v>Cây cau lợn cọ (độ cao bóc bẹ) 30 cm &lt; H ≤ 45 cm</v>
          </cell>
          <cell r="F169">
            <v>0</v>
          </cell>
        </row>
        <row r="170">
          <cell r="A170" t="str">
            <v>Cây cau lợn cọ (độ cao bóc bẹ)  45 cm &lt; H ≤ 60 cm</v>
          </cell>
          <cell r="F170">
            <v>0</v>
          </cell>
        </row>
        <row r="171">
          <cell r="A171" t="str">
            <v>Cây cau lợn cọ (độ cao bóc bẹ)  60 cm &lt; H ≤ 75 cm</v>
          </cell>
          <cell r="F171">
            <v>0</v>
          </cell>
        </row>
        <row r="172">
          <cell r="A172" t="str">
            <v>Cây cau lợn cọ (độ cao bóc bẹ) 75 cm &lt; H ≤ 90 cm</v>
          </cell>
          <cell r="F172">
            <v>0</v>
          </cell>
        </row>
        <row r="173">
          <cell r="A173" t="str">
            <v>Cây cau lợn cọ (độ cao bóc bẹ) H &gt; 90 cm</v>
          </cell>
          <cell r="F173">
            <v>0</v>
          </cell>
        </row>
        <row r="174">
          <cell r="A174" t="str">
            <v>Cây cau trắng (độ cao bóc bẹ)</v>
          </cell>
          <cell r="F174">
            <v>0</v>
          </cell>
        </row>
        <row r="175">
          <cell r="A175" t="str">
            <v>Cây cau trắng (độ cao bóc bẹ) Cây giống mới trồng</v>
          </cell>
          <cell r="F175">
            <v>0</v>
          </cell>
        </row>
        <row r="176">
          <cell r="A176" t="str">
            <v>Cây cau trắng (độ cao bóc bẹ) chiều cao cây H ≤ 15 cm</v>
          </cell>
          <cell r="F176">
            <v>0</v>
          </cell>
        </row>
        <row r="177">
          <cell r="A177" t="str">
            <v>Cây cau trắng (độ cao bóc bẹ) chiều cao cây 15 cm &lt; H ≤ 30 cm</v>
          </cell>
          <cell r="F177">
            <v>0</v>
          </cell>
        </row>
        <row r="178">
          <cell r="A178" t="str">
            <v>Cây cau trắng (độ cao bóc bẹ) chiều cao cây 30 cm &lt; H ≤ 45 cm</v>
          </cell>
          <cell r="F178">
            <v>0</v>
          </cell>
        </row>
        <row r="179">
          <cell r="A179" t="str">
            <v>Cây cau trắng (độ cao bóc bẹ) chiều cao cây 45 cm &lt; H ≤ 60 cm</v>
          </cell>
          <cell r="F179">
            <v>0</v>
          </cell>
        </row>
        <row r="180">
          <cell r="A180" t="str">
            <v>Cây cau trắng (độ cao bóc bẹ) chiều cao cây 60 cm &lt; H ≤ 75 cm</v>
          </cell>
          <cell r="F180">
            <v>0</v>
          </cell>
        </row>
        <row r="181">
          <cell r="A181" t="str">
            <v>Cây cau trắng (độ cao bóc bẹ) chiều cao cây 75 cm &lt; H ≤ 90 cm</v>
          </cell>
          <cell r="F181">
            <v>0</v>
          </cell>
        </row>
        <row r="182">
          <cell r="A182" t="str">
            <v>Cây cau trắng (độ cao bóc bẹ) chiều cao cây 90 cm &lt; H ≤ 150 cm</v>
          </cell>
          <cell r="F182">
            <v>0</v>
          </cell>
        </row>
        <row r="183">
          <cell r="A183" t="str">
            <v>Cây cau trắng (độ cao bóc bẹ) chiều cao cây 150 cm &lt; H ≤ 250 cm</v>
          </cell>
          <cell r="F183">
            <v>0</v>
          </cell>
        </row>
        <row r="184">
          <cell r="A184" t="str">
            <v>Cây cau trắng (độ cao bóc bẹ) chiều cao cây H &gt; 250 cm</v>
          </cell>
          <cell r="F184">
            <v>0</v>
          </cell>
        </row>
        <row r="185">
          <cell r="A185" t="str">
            <v>Cây cau đẻ (độ cao bóc bẹ)</v>
          </cell>
          <cell r="F185">
            <v>0</v>
          </cell>
        </row>
        <row r="186">
          <cell r="A186" t="str">
            <v>Cây cau đẻ (độ cao bóc bẹ) Cây giống mới trồng</v>
          </cell>
          <cell r="F186">
            <v>0</v>
          </cell>
        </row>
        <row r="187">
          <cell r="A187" t="str">
            <v>Cây cau đẻ (độ cao bóc bẹ) chiều cao cây H ≤ 15 cm</v>
          </cell>
          <cell r="F187">
            <v>0</v>
          </cell>
        </row>
        <row r="188">
          <cell r="A188" t="str">
            <v>Cây cau đẻ (độ cao bóc bẹ) chiều cao cây 15 cm &lt; H ≤ 30 cm</v>
          </cell>
          <cell r="F188">
            <v>0</v>
          </cell>
        </row>
        <row r="189">
          <cell r="A189" t="str">
            <v>Cây cau đẻ (độ cao bóc bẹ) chiều cao cây 30 cm &lt; H ≤ 45 cm</v>
          </cell>
          <cell r="F189">
            <v>0</v>
          </cell>
        </row>
        <row r="190">
          <cell r="A190" t="str">
            <v>Cây cau đẻ (độ cao bóc bẹ) chiều cao cây 45 cm &lt; H ≤ 60 cm</v>
          </cell>
          <cell r="F190">
            <v>0</v>
          </cell>
        </row>
        <row r="191">
          <cell r="A191" t="str">
            <v>Cây cau đẻ (độ cao bóc bẹ) chiều cao cây 60 cm &lt; H ≤ 75 cm</v>
          </cell>
          <cell r="F191">
            <v>0</v>
          </cell>
        </row>
        <row r="192">
          <cell r="A192" t="str">
            <v>Cây cau đẻ (độ cao bóc bẹ) chiều cao cây 75 cm &lt; H ≤ 90 cm</v>
          </cell>
          <cell r="F192">
            <v>0</v>
          </cell>
        </row>
        <row r="193">
          <cell r="A193" t="str">
            <v>Cây cau đẻ (độ cao bóc bẹ) chiều cao cây 90 cm &lt; H ≤ 150 cm</v>
          </cell>
          <cell r="F193">
            <v>0</v>
          </cell>
        </row>
        <row r="194">
          <cell r="A194" t="str">
            <v>Cây cau đẻ (độ cao bóc bẹ) chiều cao cây 150 cm &lt; H ≤ 250 cm</v>
          </cell>
          <cell r="F194">
            <v>0</v>
          </cell>
        </row>
        <row r="195">
          <cell r="A195" t="str">
            <v>Cây cau đẻ (độ cao bóc bẹ) chiều cao cây H &gt; 250 cm</v>
          </cell>
          <cell r="F195">
            <v>0</v>
          </cell>
        </row>
        <row r="196">
          <cell r="A196" t="str">
            <v>Cây thiên tuế</v>
          </cell>
          <cell r="F196">
            <v>0</v>
          </cell>
        </row>
        <row r="197">
          <cell r="A197" t="str">
            <v>Cây thiên tuế Cây giống mới trồng</v>
          </cell>
          <cell r="F197">
            <v>0</v>
          </cell>
        </row>
        <row r="198">
          <cell r="A198" t="str">
            <v>Cây thiên tuế chiều cao cây H &lt; 15 cm</v>
          </cell>
          <cell r="F198">
            <v>0</v>
          </cell>
        </row>
        <row r="199">
          <cell r="A199" t="str">
            <v>Cây thiên tuế chiều cao cây 15 cm &lt; H ≤ 30 cm</v>
          </cell>
          <cell r="F199">
            <v>0</v>
          </cell>
        </row>
        <row r="200">
          <cell r="A200" t="str">
            <v>Cây thiên tuế chiều cao cây 30 cm &lt; H ≤ 45 cm</v>
          </cell>
          <cell r="F200">
            <v>0</v>
          </cell>
        </row>
        <row r="201">
          <cell r="A201" t="str">
            <v>Cây thiên tuế chiều cao cây 45 cm &lt; H ≤ 60 cm</v>
          </cell>
          <cell r="F201">
            <v>0</v>
          </cell>
        </row>
        <row r="202">
          <cell r="A202" t="str">
            <v>Cây thiên tuế chiều cao cây 60 cm &lt; H ≤ 75 cm</v>
          </cell>
          <cell r="F202">
            <v>0</v>
          </cell>
        </row>
        <row r="203">
          <cell r="A203" t="str">
            <v>Cây thiên tuế chiều cao cây H &gt; 75 cm</v>
          </cell>
          <cell r="F203">
            <v>0</v>
          </cell>
        </row>
        <row r="204">
          <cell r="A204" t="str">
            <v>Cây thiết mộc lan</v>
          </cell>
          <cell r="F204">
            <v>0</v>
          </cell>
        </row>
        <row r="205">
          <cell r="A205" t="str">
            <v>Cây thiết mộc lan Cây giống mới trồng</v>
          </cell>
          <cell r="F205">
            <v>0</v>
          </cell>
        </row>
        <row r="206">
          <cell r="A206" t="str">
            <v>Cây thiết mộc lan chiều cao cây H ≤ 15 cm</v>
          </cell>
          <cell r="F206">
            <v>0</v>
          </cell>
        </row>
        <row r="207">
          <cell r="A207" t="str">
            <v>Cây thiết mộc lan chiều cao cây 15 cm &lt; H ≤ 70 cm</v>
          </cell>
          <cell r="F207">
            <v>0</v>
          </cell>
        </row>
        <row r="208">
          <cell r="A208" t="str">
            <v>Cây thiết mộc lan chiều cao cây 70 cm &lt; H ≤ 100 cm</v>
          </cell>
          <cell r="F208">
            <v>0</v>
          </cell>
        </row>
        <row r="209">
          <cell r="A209" t="str">
            <v>Cây thiết mộc lan chiều cao cây H &gt; 100 cm</v>
          </cell>
          <cell r="F209">
            <v>0</v>
          </cell>
        </row>
        <row r="210">
          <cell r="A210" t="str">
            <v>Cây trúc anh đào</v>
          </cell>
          <cell r="F210">
            <v>0</v>
          </cell>
        </row>
        <row r="211">
          <cell r="A211" t="str">
            <v>Cây trúc anh đào Cây giống mới trồng</v>
          </cell>
          <cell r="F211">
            <v>0</v>
          </cell>
        </row>
        <row r="212">
          <cell r="A212" t="str">
            <v>Cây trúc anh đào chiều cao cây H &lt; 15 cm</v>
          </cell>
          <cell r="F212">
            <v>0</v>
          </cell>
        </row>
        <row r="213">
          <cell r="A213" t="str">
            <v>Cây trúc anh đào chiều cao cây 15 cm ≤ H &lt;  30 cm</v>
          </cell>
          <cell r="F213">
            <v>0</v>
          </cell>
        </row>
        <row r="214">
          <cell r="A214" t="str">
            <v>Cây trúc anh đào chiều cao cây 30 cm ≤ H &lt; 70 cm</v>
          </cell>
          <cell r="F214">
            <v>0</v>
          </cell>
        </row>
        <row r="215">
          <cell r="A215" t="str">
            <v>Cây trúc anh đào chiều cao cây 70 cm ≤ H &lt; 100 cm</v>
          </cell>
          <cell r="F215">
            <v>0</v>
          </cell>
        </row>
        <row r="216">
          <cell r="A216" t="str">
            <v>Cây trúc anh đào chiều cao cây H ≥ 100 cm</v>
          </cell>
          <cell r="F216">
            <v>0</v>
          </cell>
        </row>
        <row r="217">
          <cell r="A217" t="str">
            <v>Cây lá màu</v>
          </cell>
          <cell r="F217">
            <v>0</v>
          </cell>
        </row>
        <row r="218">
          <cell r="A218" t="str">
            <v>Cây lá màu Cây giống mới trồng</v>
          </cell>
          <cell r="F218">
            <v>0</v>
          </cell>
        </row>
        <row r="219">
          <cell r="A219" t="str">
            <v>Cây lá màu chiều cao cây H &lt; 15 cm</v>
          </cell>
          <cell r="F219">
            <v>0</v>
          </cell>
        </row>
        <row r="220">
          <cell r="A220" t="str">
            <v>Cây lá màu chiều cao cây 15 cm &lt; H ≤ 30 cm</v>
          </cell>
          <cell r="F220">
            <v>0</v>
          </cell>
        </row>
        <row r="221">
          <cell r="A221" t="str">
            <v>Cây lá màu chiều cao cây 30 cm &lt; H ≤ 45 cm</v>
          </cell>
          <cell r="F221">
            <v>0</v>
          </cell>
        </row>
        <row r="222">
          <cell r="A222" t="str">
            <v>Cây lá màu chiều cao cây 45 cm &lt; H ≤ 60 cm</v>
          </cell>
          <cell r="F222">
            <v>0</v>
          </cell>
        </row>
        <row r="223">
          <cell r="A223" t="str">
            <v>Cây lá màu chiều cao cây 60 cm &lt; H ≤ 75 cm</v>
          </cell>
          <cell r="F223">
            <v>0</v>
          </cell>
        </row>
        <row r="224">
          <cell r="A224" t="str">
            <v>Cây lá màu chiều cao cây 75 cm &lt; H ≤ 90 cm</v>
          </cell>
          <cell r="F224">
            <v>0</v>
          </cell>
        </row>
        <row r="225">
          <cell r="A225" t="str">
            <v>Cây lá màu chiều cao cây 90 cm &lt; H ≤ 150 cm</v>
          </cell>
          <cell r="F225">
            <v>0</v>
          </cell>
        </row>
        <row r="226">
          <cell r="A226" t="str">
            <v>Cây lá màu chiều cao cây H &gt; 150 cm</v>
          </cell>
          <cell r="F226">
            <v>0</v>
          </cell>
        </row>
        <row r="227">
          <cell r="A227" t="str">
            <v>Cây đinh lăng</v>
          </cell>
          <cell r="F227">
            <v>0</v>
          </cell>
        </row>
        <row r="228">
          <cell r="A228" t="str">
            <v>Cây đinh lăng Cây giống mới trồng</v>
          </cell>
          <cell r="F228">
            <v>0</v>
          </cell>
        </row>
        <row r="229">
          <cell r="A229" t="str">
            <v>Cây đinh lăng chiều cao cây H ≤ 15 cm</v>
          </cell>
          <cell r="F229">
            <v>0</v>
          </cell>
        </row>
        <row r="230">
          <cell r="A230" t="str">
            <v>Cây đinh lăng chiều cao cây 15 cm &lt; H ≤ 30 cm</v>
          </cell>
          <cell r="F230">
            <v>0</v>
          </cell>
        </row>
        <row r="231">
          <cell r="A231" t="str">
            <v>Cây đinh lăng chiều cao cây 30 cm &lt; H ≤ 60 cm</v>
          </cell>
          <cell r="F231">
            <v>0</v>
          </cell>
        </row>
        <row r="232">
          <cell r="A232" t="str">
            <v>Cây đinh lăng chiều cao cây H &gt; 60 cm</v>
          </cell>
          <cell r="F232">
            <v>0</v>
          </cell>
        </row>
        <row r="233">
          <cell r="A233" t="str">
            <v>Cây đào cảnh</v>
          </cell>
          <cell r="F233">
            <v>0</v>
          </cell>
        </row>
        <row r="234">
          <cell r="A234" t="str">
            <v>Cây đào cảnh Cây giống mới trồng</v>
          </cell>
          <cell r="F234">
            <v>0</v>
          </cell>
        </row>
        <row r="235">
          <cell r="A235" t="str">
            <v>Cây đào cảnh chiều cao cây H ≤ 150 cm</v>
          </cell>
          <cell r="F235">
            <v>0</v>
          </cell>
        </row>
        <row r="236">
          <cell r="A236" t="str">
            <v>Cây đào cảnh chiều cao cây 150 cm &lt; H ≤ 200 cm</v>
          </cell>
          <cell r="F236">
            <v>0</v>
          </cell>
        </row>
        <row r="237">
          <cell r="A237" t="str">
            <v>Cây đào cảnh chiều cao cây H &gt; 200 cm</v>
          </cell>
          <cell r="F237">
            <v>0</v>
          </cell>
        </row>
        <row r="238">
          <cell r="A238" t="str">
            <v>Cây mai trắng</v>
          </cell>
          <cell r="F238">
            <v>0</v>
          </cell>
        </row>
        <row r="239">
          <cell r="A239" t="str">
            <v>Cây mai trắng chiều cao cây H ≤ 70 cm</v>
          </cell>
          <cell r="F239">
            <v>0</v>
          </cell>
        </row>
        <row r="240">
          <cell r="A240" t="str">
            <v>Cây mai trắng chiều cao cây 70 cm &lt; H ≤ 100 cm</v>
          </cell>
          <cell r="F240">
            <v>0</v>
          </cell>
        </row>
        <row r="241">
          <cell r="A241" t="str">
            <v>Cây mai trắng chiều cao cây 100 cm &lt; H ≤ 150 cm</v>
          </cell>
          <cell r="F241">
            <v>0</v>
          </cell>
        </row>
        <row r="242">
          <cell r="A242" t="str">
            <v>Cây mai trắng chiều cao cây H &gt; 150 cm</v>
          </cell>
          <cell r="F242">
            <v>0</v>
          </cell>
        </row>
        <row r="243">
          <cell r="A243" t="str">
            <v>Cây bạch thiên hương, bạch ngọc anh</v>
          </cell>
          <cell r="F243">
            <v>0</v>
          </cell>
        </row>
        <row r="244">
          <cell r="A244" t="str">
            <v>Cây bạch thiên hương, bạch ngọc anh chiều cao cây H ≤ 100 cm</v>
          </cell>
          <cell r="F244">
            <v>0</v>
          </cell>
        </row>
        <row r="245">
          <cell r="A245" t="str">
            <v>Cây bạch thiên hương, bạch ngọc anh chiều cao cây H &gt; 100 cm</v>
          </cell>
          <cell r="F245">
            <v>0</v>
          </cell>
        </row>
        <row r="246">
          <cell r="A246" t="str">
            <v>Cây trạng nguyên</v>
          </cell>
          <cell r="F246">
            <v>0</v>
          </cell>
        </row>
        <row r="247">
          <cell r="A247" t="str">
            <v>Cây trạng nguyên chiều cao cây H ≤ 100 cm</v>
          </cell>
          <cell r="F247">
            <v>0</v>
          </cell>
        </row>
        <row r="248">
          <cell r="A248" t="str">
            <v>Cây trạng nguyên chiều cao cây H &gt; 100 cm</v>
          </cell>
          <cell r="F248">
            <v>0</v>
          </cell>
        </row>
        <row r="249">
          <cell r="A249" t="str">
            <v>Cây ngô đồng cảnh</v>
          </cell>
          <cell r="F249">
            <v>0</v>
          </cell>
        </row>
        <row r="250">
          <cell r="A250" t="str">
            <v>Cây ngô đồng cảnh chiều cao cây H ≤ 50 cm</v>
          </cell>
          <cell r="F250">
            <v>0</v>
          </cell>
        </row>
        <row r="251">
          <cell r="A251" t="str">
            <v>Cây ngô đồng cảnh chiều cao cây H &gt; 50 cm</v>
          </cell>
          <cell r="F251">
            <v>0</v>
          </cell>
        </row>
        <row r="252">
          <cell r="A252" t="str">
            <v>Cây agao sọc</v>
          </cell>
          <cell r="F252">
            <v>0</v>
          </cell>
        </row>
        <row r="253">
          <cell r="A253" t="str">
            <v>Cây agao sọc chiều cao cây H ≤ 50 cm</v>
          </cell>
          <cell r="F253">
            <v>0</v>
          </cell>
        </row>
        <row r="254">
          <cell r="A254" t="str">
            <v>Cây agao sọc chiều cao cây H &gt; 50 cm</v>
          </cell>
          <cell r="F254">
            <v>0</v>
          </cell>
        </row>
        <row r="255">
          <cell r="A255" t="str">
            <v>Cây nguyệt quế</v>
          </cell>
          <cell r="F255">
            <v>0</v>
          </cell>
        </row>
        <row r="256">
          <cell r="A256" t="str">
            <v>Cây nguyệt quế chiều cao cây H ≤ 100 cm</v>
          </cell>
          <cell r="F256">
            <v>0</v>
          </cell>
        </row>
        <row r="257">
          <cell r="A257" t="str">
            <v>Cây nguyệt quế chiều cao cây 100 cm &lt; H ≤ 200 cm</v>
          </cell>
          <cell r="F257">
            <v>0</v>
          </cell>
        </row>
        <row r="258">
          <cell r="A258" t="str">
            <v>Cây nguyệt quế chiều cao cây H &gt; 200 cm</v>
          </cell>
          <cell r="F258">
            <v>0</v>
          </cell>
        </row>
        <row r="259">
          <cell r="A259" t="str">
            <v>Cây huyết dụ</v>
          </cell>
          <cell r="F259">
            <v>0</v>
          </cell>
        </row>
        <row r="260">
          <cell r="A260" t="str">
            <v>Cây huyết dụ Cây giống mới trồng</v>
          </cell>
          <cell r="F260">
            <v>0</v>
          </cell>
        </row>
        <row r="261">
          <cell r="A261" t="str">
            <v>Cây huyết dụ chiều cao cây H ≤ 60 cm</v>
          </cell>
          <cell r="F261">
            <v>0</v>
          </cell>
        </row>
        <row r="262">
          <cell r="A262" t="str">
            <v>Cây huyết dụ chiều cao cây H &gt; 60 cm</v>
          </cell>
          <cell r="F262">
            <v>0</v>
          </cell>
        </row>
        <row r="263">
          <cell r="A263" t="str">
            <v>Cây măng cảnh</v>
          </cell>
          <cell r="F263">
            <v>0</v>
          </cell>
        </row>
        <row r="264">
          <cell r="A264" t="str">
            <v>Cây măng cảnh chiều cao cây H ≤ 50 cm</v>
          </cell>
          <cell r="F264">
            <v>0</v>
          </cell>
        </row>
        <row r="265">
          <cell r="A265" t="str">
            <v>Cây măng cảnh chiều cao cây H &gt; 50 cm</v>
          </cell>
          <cell r="F265">
            <v>0</v>
          </cell>
        </row>
        <row r="266">
          <cell r="A266" t="str">
            <v>Cây chuối</v>
          </cell>
          <cell r="F266">
            <v>0</v>
          </cell>
        </row>
        <row r="267">
          <cell r="A267" t="str">
            <v>Cây chuối Cây giống mới trồng</v>
          </cell>
          <cell r="F267">
            <v>0</v>
          </cell>
        </row>
        <row r="268">
          <cell r="A268" t="str">
            <v>Cây chuối chiều cao cây H ≤ 120cm</v>
          </cell>
          <cell r="F268">
            <v>0</v>
          </cell>
        </row>
        <row r="269">
          <cell r="A269" t="str">
            <v>Cây chuối chiều cao cây H &gt; 120cm</v>
          </cell>
          <cell r="F269">
            <v>0</v>
          </cell>
        </row>
        <row r="270">
          <cell r="A270" t="str">
            <v>Cây chuối có quả</v>
          </cell>
          <cell r="F270">
            <v>0</v>
          </cell>
        </row>
        <row r="271">
          <cell r="A271" t="str">
            <v>Cây khổ sâm</v>
          </cell>
          <cell r="F271">
            <v>0</v>
          </cell>
        </row>
        <row r="272">
          <cell r="A272" t="str">
            <v>Cây khổ sâm Cây giống</v>
          </cell>
          <cell r="F272">
            <v>0</v>
          </cell>
        </row>
        <row r="273">
          <cell r="A273" t="str">
            <v>Cây khổ sâm chiều cao cây H ≤ 100 cm</v>
          </cell>
          <cell r="F273">
            <v>0</v>
          </cell>
        </row>
        <row r="274">
          <cell r="A274" t="str">
            <v>Cây khổ sâm chiều cao cây H &gt; 100 cm</v>
          </cell>
          <cell r="F274">
            <v>0</v>
          </cell>
        </row>
        <row r="275">
          <cell r="A275" t="str">
            <v>Cây hoa phù dung, dã quỳ</v>
          </cell>
          <cell r="F275">
            <v>0</v>
          </cell>
        </row>
        <row r="276">
          <cell r="A276" t="str">
            <v>Cây hoa phù dung, dã quỳ Cây giống mới trồng</v>
          </cell>
          <cell r="F276">
            <v>0</v>
          </cell>
        </row>
        <row r="277">
          <cell r="A277" t="str">
            <v>Cây hoa phù dung, dã quỳ chiều cao cây H ≤ 100 cm</v>
          </cell>
          <cell r="F277">
            <v>0</v>
          </cell>
        </row>
        <row r="278">
          <cell r="A278" t="str">
            <v>Cây hoa phù dung, dã quỳ chiều cao cây H &gt; 100 cm</v>
          </cell>
          <cell r="F278">
            <v>0</v>
          </cell>
        </row>
        <row r="279">
          <cell r="A279" t="str">
            <v>Cây lam tiền (lan tuyết)</v>
          </cell>
          <cell r="F279">
            <v>0</v>
          </cell>
        </row>
        <row r="280">
          <cell r="A280" t="str">
            <v>Cây lam tiền (lan tuyết) Cây giống mới trồng</v>
          </cell>
          <cell r="F280">
            <v>0</v>
          </cell>
        </row>
        <row r="281">
          <cell r="A281" t="str">
            <v>Cây lam tiền (lan tuyết) chiều cao cây H ≤ 50 cm</v>
          </cell>
          <cell r="F281">
            <v>0</v>
          </cell>
        </row>
        <row r="282">
          <cell r="A282" t="str">
            <v>Cây lam tiền (lan tuyết) chiều cao cây H &gt; 50 cm</v>
          </cell>
          <cell r="F282">
            <v>0</v>
          </cell>
        </row>
        <row r="283">
          <cell r="A283" t="str">
            <v>Cây ngọc lan</v>
          </cell>
          <cell r="F283">
            <v>0</v>
          </cell>
        </row>
        <row r="284">
          <cell r="A284" t="str">
            <v>Cây ngọc lan Cây giống mới trồng</v>
          </cell>
          <cell r="F284">
            <v>0</v>
          </cell>
        </row>
        <row r="285">
          <cell r="A285" t="str">
            <v>Cây ngọc lan chiều cao cây H &lt; 15 cm</v>
          </cell>
          <cell r="F285">
            <v>0</v>
          </cell>
        </row>
        <row r="286">
          <cell r="A286" t="str">
            <v>Cây ngọc lan chiều cao cây 15 cm ≤ H &lt; 30 cm</v>
          </cell>
          <cell r="F286">
            <v>0</v>
          </cell>
        </row>
        <row r="287">
          <cell r="A287" t="str">
            <v>Cây ngọc lan chiều cao cây 30 cm ≤ H &lt; 45 cm</v>
          </cell>
          <cell r="F287">
            <v>0</v>
          </cell>
        </row>
        <row r="288">
          <cell r="A288" t="str">
            <v>Cây ngọc lan chiều cao cây 45 cm ≤ H &lt; 60 cm</v>
          </cell>
          <cell r="F288">
            <v>0</v>
          </cell>
        </row>
        <row r="289">
          <cell r="A289" t="str">
            <v>Cây ngọc lan chiều cao cây 60 cm ≤ H &lt; 75 cm</v>
          </cell>
          <cell r="F289">
            <v>0</v>
          </cell>
        </row>
        <row r="290">
          <cell r="A290" t="str">
            <v>Cây ngọc lan chiều cao cây 75 cm ≤ H &lt; 90 cm</v>
          </cell>
          <cell r="F290">
            <v>0</v>
          </cell>
        </row>
        <row r="291">
          <cell r="A291" t="str">
            <v>Cây ngọc lan chiều cao cây 90 cm ≤ H &lt; 150 cm</v>
          </cell>
          <cell r="F291">
            <v>0</v>
          </cell>
        </row>
        <row r="292">
          <cell r="A292" t="str">
            <v>Cây ngọc lan chiều cao cây 150 cm ≤ H &lt; 250 cm</v>
          </cell>
          <cell r="F292">
            <v>0</v>
          </cell>
        </row>
        <row r="293">
          <cell r="A293" t="str">
            <v>Cây ngọc lan chiều cao cây H ≥ 250 cm</v>
          </cell>
          <cell r="F293">
            <v>0</v>
          </cell>
        </row>
        <row r="294">
          <cell r="A294" t="str">
            <v>Cây hoàng lan</v>
          </cell>
          <cell r="F294">
            <v>0</v>
          </cell>
        </row>
        <row r="295">
          <cell r="A295" t="str">
            <v>Cây hoàng lan Cây giống mới trồng</v>
          </cell>
          <cell r="F295">
            <v>0</v>
          </cell>
        </row>
        <row r="296">
          <cell r="A296" t="str">
            <v>Cây hoàng lan chiều cao cây H &lt; 15 cm</v>
          </cell>
          <cell r="F296">
            <v>0</v>
          </cell>
        </row>
        <row r="297">
          <cell r="A297" t="str">
            <v>Cây hoàng lan chiều cao cây 15 cm ≤ H &lt; 30 cm</v>
          </cell>
          <cell r="F297">
            <v>0</v>
          </cell>
        </row>
        <row r="298">
          <cell r="A298" t="str">
            <v>Cây hoàng lan chiều cao cây 30 cm ≤ H &lt; 45 cm</v>
          </cell>
          <cell r="F298">
            <v>0</v>
          </cell>
        </row>
        <row r="299">
          <cell r="A299" t="str">
            <v>Cây hoàng lan chiều cao cây 45 cm ≤ H &lt; 60 cm</v>
          </cell>
          <cell r="F299">
            <v>0</v>
          </cell>
        </row>
        <row r="300">
          <cell r="A300" t="str">
            <v>Cây hoàng lan chiều cao cây 60 cm ≤ H &lt; 75 cm</v>
          </cell>
          <cell r="F300">
            <v>0</v>
          </cell>
        </row>
        <row r="301">
          <cell r="A301" t="str">
            <v>Cây hoàng lan chiều cao cây 75 cm ≤ H &lt; 90 cm</v>
          </cell>
          <cell r="F301">
            <v>0</v>
          </cell>
        </row>
        <row r="302">
          <cell r="A302" t="str">
            <v>Cây hoàng lan chiều cao cây 90 cm ≤ H &lt; 150 cm</v>
          </cell>
          <cell r="F302">
            <v>0</v>
          </cell>
        </row>
        <row r="303">
          <cell r="A303" t="str">
            <v>Cây hoàng lan chiều cao cây 150 cm ≤ H &lt; 250 cm</v>
          </cell>
          <cell r="F303">
            <v>0</v>
          </cell>
        </row>
        <row r="304">
          <cell r="A304" t="str">
            <v>Cây hoàng lan chiều cao cây H ≥ 250 cm</v>
          </cell>
          <cell r="F304">
            <v>0</v>
          </cell>
        </row>
        <row r="305">
          <cell r="A305" t="str">
            <v>Cây Chùm ngây</v>
          </cell>
          <cell r="F305">
            <v>0</v>
          </cell>
        </row>
        <row r="306">
          <cell r="A306" t="str">
            <v>Cây Chùm ngây Cây giống mới trồng</v>
          </cell>
          <cell r="F306">
            <v>0</v>
          </cell>
        </row>
        <row r="307">
          <cell r="A307" t="str">
            <v>Cây Chùm ngây chiều cao cây H ≤ 100 cm</v>
          </cell>
          <cell r="F307">
            <v>0</v>
          </cell>
        </row>
        <row r="308">
          <cell r="A308" t="str">
            <v>Cây Chùm ngây chiều cao cây 100 &lt; H ≤ 150 cm</v>
          </cell>
          <cell r="F308">
            <v>0</v>
          </cell>
        </row>
        <row r="309">
          <cell r="A309" t="str">
            <v>Cây Chùm ngây chiều cao cây H &gt; 150 cm</v>
          </cell>
          <cell r="F309">
            <v>0</v>
          </cell>
        </row>
        <row r="310">
          <cell r="A310" t="str">
            <v>NHÓM CÂY TÍNH THEO ĐƯỜNG KÍNH THÂN, GÔC</v>
          </cell>
          <cell r="F310">
            <v>0</v>
          </cell>
        </row>
        <row r="311">
          <cell r="A311" t="str">
            <v>Cây bưởi, bòng</v>
          </cell>
          <cell r="F311">
            <v>0</v>
          </cell>
        </row>
        <row r="312">
          <cell r="A312" t="str">
            <v>Cây giống đủ tiêu chuẩn mới trồng</v>
          </cell>
          <cell r="F312">
            <v>0</v>
          </cell>
        </row>
        <row r="313">
          <cell r="A313" t="str">
            <v>Cây bưởi, bòng giống Loại cây ghép có chiều cao cây 40cm ≤ H &lt; 1m</v>
          </cell>
          <cell r="F313">
            <v>0</v>
          </cell>
        </row>
        <row r="314">
          <cell r="A314" t="str">
            <v>Cây bưởi, bòng giống Loại cây ghép có chiều cao cây H ≥ 1m</v>
          </cell>
          <cell r="F314">
            <v>0</v>
          </cell>
        </row>
        <row r="315">
          <cell r="A315" t="str">
            <v>Cây bưởi, bòng giống Loại cây chiết cành có chiều cao 40cm ≤ H &lt; 1m</v>
          </cell>
          <cell r="F315">
            <v>0</v>
          </cell>
        </row>
        <row r="316">
          <cell r="A316" t="str">
            <v>Cây bưởi, bòng giống Loại cây chiết cành có chiều cao cây H ≥ 1m</v>
          </cell>
          <cell r="F316">
            <v>0</v>
          </cell>
        </row>
        <row r="317">
          <cell r="A317" t="str">
            <v>Cây bưởi, bòng ĐK thân ≤ 5 cm</v>
          </cell>
          <cell r="F317">
            <v>0</v>
          </cell>
        </row>
        <row r="318">
          <cell r="A318" t="str">
            <v>Cây bưởi, bòng đường kính thân 5 cm &lt; ĐK thân ≤10 cm</v>
          </cell>
          <cell r="F318">
            <v>0</v>
          </cell>
        </row>
        <row r="319">
          <cell r="A319" t="str">
            <v>Cây bưởi, bòng đường kính thân 10 cm &lt; ĐK thân ≤ 15 cm</v>
          </cell>
          <cell r="F319">
            <v>0</v>
          </cell>
        </row>
        <row r="320">
          <cell r="A320" t="str">
            <v>Cây bưởi, bòng đường kính thân 15 cm &lt; ĐK thân ≤ 20 cm</v>
          </cell>
          <cell r="F320">
            <v>0</v>
          </cell>
        </row>
        <row r="321">
          <cell r="A321" t="str">
            <v>Cây bưởi, bòng đường kính thân 20 cm &lt; ĐK thân ≤25 cm</v>
          </cell>
          <cell r="F321">
            <v>0</v>
          </cell>
        </row>
        <row r="322">
          <cell r="A322" t="str">
            <v>Cây bưởi, bòng đường kính thân 25 cm &lt; ĐK thân ≤ 30 cm</v>
          </cell>
          <cell r="F322">
            <v>0</v>
          </cell>
        </row>
        <row r="323">
          <cell r="A323" t="str">
            <v>Cây bưởi, bòng đường kính thân 30 cm &lt; ĐK thân ≤ 40 cm</v>
          </cell>
          <cell r="F323">
            <v>0</v>
          </cell>
        </row>
        <row r="324">
          <cell r="A324" t="str">
            <v>Cây bưởi, bòng ĐK thân &gt; 40 cm</v>
          </cell>
          <cell r="F324">
            <v>0</v>
          </cell>
        </row>
        <row r="325">
          <cell r="A325" t="str">
            <v>Cây mít</v>
          </cell>
          <cell r="F325">
            <v>0</v>
          </cell>
        </row>
        <row r="326">
          <cell r="A326" t="str">
            <v>Cây mít giống đủ tiêu chuẩn mới trồng</v>
          </cell>
          <cell r="F326">
            <v>0</v>
          </cell>
        </row>
        <row r="327">
          <cell r="A327" t="str">
            <v>Cây mít ĐK thân ≤ 5 cm</v>
          </cell>
          <cell r="F327">
            <v>0</v>
          </cell>
        </row>
        <row r="328">
          <cell r="A328" t="str">
            <v>Cây mít đường kính thân 5 cm &lt; ĐK thân ≤ 10 cm</v>
          </cell>
          <cell r="F328">
            <v>0</v>
          </cell>
        </row>
        <row r="329">
          <cell r="A329" t="str">
            <v>Cây mít đường kính thân 10 cm &lt; ĐK thân ≤ 15 cm</v>
          </cell>
          <cell r="F329">
            <v>0</v>
          </cell>
        </row>
        <row r="330">
          <cell r="A330" t="str">
            <v>Cây mít đường kính thân 15 cm &lt; ĐK thân ≤ 20 cm</v>
          </cell>
          <cell r="F330">
            <v>0</v>
          </cell>
        </row>
        <row r="331">
          <cell r="A331" t="str">
            <v>Cây mít đường kính thân 20 cm &lt; ĐK thân ≤ 30 cm</v>
          </cell>
          <cell r="F331">
            <v>0</v>
          </cell>
        </row>
        <row r="332">
          <cell r="A332" t="str">
            <v>Cây mít đường kính thân 30 cm &lt; ĐK thân ≤ 40 cm</v>
          </cell>
          <cell r="F332">
            <v>0</v>
          </cell>
        </row>
        <row r="333">
          <cell r="A333" t="str">
            <v>Cây mít ĐK thân &gt; 40 cm</v>
          </cell>
          <cell r="F333">
            <v>0</v>
          </cell>
        </row>
        <row r="334">
          <cell r="A334" t="str">
            <v>Cây chay</v>
          </cell>
          <cell r="F334">
            <v>0</v>
          </cell>
        </row>
        <row r="335">
          <cell r="A335" t="str">
            <v>Cây chay giống đủ tiêu chuẩn mới trồng</v>
          </cell>
          <cell r="F335">
            <v>0</v>
          </cell>
        </row>
        <row r="336">
          <cell r="A336" t="str">
            <v>Cây chay ĐK thân ≤ 5 cm</v>
          </cell>
          <cell r="F336">
            <v>0</v>
          </cell>
        </row>
        <row r="337">
          <cell r="A337" t="str">
            <v>Cây chay đường kính thân 5 cm &lt; ĐK thân ≤ 10 cm</v>
          </cell>
          <cell r="F337">
            <v>0</v>
          </cell>
        </row>
        <row r="338">
          <cell r="A338" t="str">
            <v>Cây chay đường kính thân 10 cm &lt; ĐK thân ≤ 15 cm</v>
          </cell>
          <cell r="F338">
            <v>0</v>
          </cell>
        </row>
        <row r="339">
          <cell r="A339" t="str">
            <v>Cây chay đường kính thân 15 cm &lt; ĐK thân ≤ 20 cm</v>
          </cell>
          <cell r="F339">
            <v>0</v>
          </cell>
        </row>
        <row r="340">
          <cell r="A340" t="str">
            <v>Cây chay đường kính thân 20 cm &lt; ĐK thân ≤ 30 cm</v>
          </cell>
          <cell r="F340">
            <v>0</v>
          </cell>
        </row>
        <row r="341">
          <cell r="A341" t="str">
            <v>Cây chay đường kính thân 30 cm &lt; ĐK thân ≤ 40 cm</v>
          </cell>
          <cell r="F341">
            <v>0</v>
          </cell>
        </row>
        <row r="342">
          <cell r="A342" t="str">
            <v>Cây chay ĐK thân &gt; 40 cm</v>
          </cell>
          <cell r="F342">
            <v>0</v>
          </cell>
        </row>
        <row r="343">
          <cell r="A343" t="str">
            <v>Cây táo</v>
          </cell>
          <cell r="F343">
            <v>0</v>
          </cell>
        </row>
        <row r="344">
          <cell r="A344" t="str">
            <v>Cây táo giống đủ tiêu chuẩn mới trồng Loại cây ghép có chiều cao cây 40cm ≤ H &lt; 1m</v>
          </cell>
          <cell r="F344">
            <v>0</v>
          </cell>
        </row>
        <row r="345">
          <cell r="A345" t="str">
            <v>Cây táo loại cây ghép có chiều cao cây H ≥  1m</v>
          </cell>
          <cell r="F345">
            <v>0</v>
          </cell>
        </row>
        <row r="346">
          <cell r="A346" t="str">
            <v>Cây táo ĐK thân ≤ 5 cm</v>
          </cell>
          <cell r="F346">
            <v>0</v>
          </cell>
        </row>
        <row r="347">
          <cell r="A347" t="str">
            <v>Cây táo đường kính thân 5 cm &lt; ĐK thân ≤ 7 cm</v>
          </cell>
          <cell r="F347">
            <v>0</v>
          </cell>
        </row>
        <row r="348">
          <cell r="A348" t="str">
            <v>Cây táo đường kính thân 7 cm &lt; ĐK thân ≤ 11 cm</v>
          </cell>
          <cell r="F348">
            <v>0</v>
          </cell>
        </row>
        <row r="349">
          <cell r="A349" t="str">
            <v>Cây táo đường kính thân 11 cm &lt; ĐK thân ≤ 15 cm</v>
          </cell>
          <cell r="F349">
            <v>0</v>
          </cell>
        </row>
        <row r="350">
          <cell r="A350" t="str">
            <v>Cây táo đường kính thân 15 cm &lt; ĐK thân ≤ 20 cm</v>
          </cell>
          <cell r="F350">
            <v>0</v>
          </cell>
        </row>
        <row r="351">
          <cell r="A351" t="str">
            <v>Cây táo đường kính thân 20 cm &lt; ĐK thân ≤ 25 cm</v>
          </cell>
          <cell r="F351">
            <v>0</v>
          </cell>
        </row>
        <row r="352">
          <cell r="A352" t="str">
            <v>Cây táo ĐK thân &gt; 25 cm</v>
          </cell>
          <cell r="F352">
            <v>0</v>
          </cell>
        </row>
        <row r="353">
          <cell r="A353" t="str">
            <v>Cây xoài, cây quéo</v>
          </cell>
          <cell r="F353">
            <v>0</v>
          </cell>
        </row>
        <row r="354">
          <cell r="A354" t="str">
            <v>Cây xoài giống đủ tiêu chuẩn mới trồng, chiều cao cây H ≥ 40cm</v>
          </cell>
          <cell r="F354">
            <v>0</v>
          </cell>
        </row>
        <row r="355">
          <cell r="A355" t="str">
            <v>Cây xoài ĐK thân ≤ 5 cm</v>
          </cell>
          <cell r="F355">
            <v>0</v>
          </cell>
        </row>
        <row r="356">
          <cell r="A356" t="str">
            <v>Cây xoài đường kính thân 5 cm &lt; ĐK thân ≤ 10 cm</v>
          </cell>
          <cell r="F356">
            <v>0</v>
          </cell>
        </row>
        <row r="357">
          <cell r="A357" t="str">
            <v>Cây xoài đường kính thân 10 cm &lt;ĐK thân ≤ 15 cm</v>
          </cell>
          <cell r="F357">
            <v>0</v>
          </cell>
        </row>
        <row r="358">
          <cell r="A358" t="str">
            <v>Cây xoài đường kính thân 15 cm &lt; ĐK thân ≤ 20 cm</v>
          </cell>
          <cell r="F358">
            <v>0</v>
          </cell>
        </row>
        <row r="359">
          <cell r="A359" t="str">
            <v>Cây xoài đường kính thân 20 cm &lt; ĐK thân ≤ 30 cm</v>
          </cell>
          <cell r="F359">
            <v>0</v>
          </cell>
        </row>
        <row r="360">
          <cell r="A360" t="str">
            <v>Cây xoài đường kính thân 30 cm &lt; ĐK thân ≤ 40 cm</v>
          </cell>
          <cell r="F360">
            <v>0</v>
          </cell>
        </row>
        <row r="361">
          <cell r="A361" t="str">
            <v>Cây xoài ĐK thân &gt; 40 cm</v>
          </cell>
          <cell r="F361">
            <v>0</v>
          </cell>
        </row>
        <row r="362">
          <cell r="A362" t="str">
            <v>Cây vú sữa</v>
          </cell>
          <cell r="F362">
            <v>0</v>
          </cell>
        </row>
        <row r="363">
          <cell r="A363" t="str">
            <v>Cây vú sữa giống đủ tiêu chuẩn mới trồng, chiều cao cây H ≥ 40cm</v>
          </cell>
          <cell r="F363">
            <v>0</v>
          </cell>
        </row>
        <row r="364">
          <cell r="A364" t="str">
            <v>Cây vú sữa ĐK thân ≤5 cm</v>
          </cell>
          <cell r="F364">
            <v>0</v>
          </cell>
        </row>
        <row r="365">
          <cell r="A365" t="str">
            <v>Cây vú sữa đường kính thân 5 cm &lt; ĐK thân  ≤ 10 cm</v>
          </cell>
          <cell r="F365">
            <v>0</v>
          </cell>
        </row>
        <row r="366">
          <cell r="A366" t="str">
            <v>Cây vú sữa đường kính thân 10 cm &lt; ĐK thân  ≤ 15 cm</v>
          </cell>
          <cell r="F366">
            <v>0</v>
          </cell>
        </row>
        <row r="367">
          <cell r="A367" t="str">
            <v>Cây vú sữa đường kính thân 15 cm &lt; ĐK thân  ≤ 20 cm</v>
          </cell>
          <cell r="F367">
            <v>0</v>
          </cell>
        </row>
        <row r="368">
          <cell r="A368" t="str">
            <v>Cây vú sữa đường kính thân 20 cm &lt; ĐK thân  ≤ 30 cm</v>
          </cell>
          <cell r="F368">
            <v>0</v>
          </cell>
        </row>
        <row r="369">
          <cell r="A369" t="str">
            <v>Cây vú sữa ĐK thân &gt; 30 cm</v>
          </cell>
          <cell r="F369">
            <v>0</v>
          </cell>
        </row>
        <row r="370">
          <cell r="A370" t="str">
            <v>Cây vú sữa hoàng kim</v>
          </cell>
          <cell r="F370">
            <v>0</v>
          </cell>
        </row>
        <row r="371">
          <cell r="A371" t="str">
            <v>Cây vú sữa hoàng kim ĐK thân  ≤ 5 cm</v>
          </cell>
          <cell r="F371">
            <v>0</v>
          </cell>
        </row>
        <row r="372">
          <cell r="A372" t="str">
            <v>Cây vú sữa hoàng kim đường kính thân 5 cm &lt; ĐK thân  ≤ 10 cm</v>
          </cell>
          <cell r="F372">
            <v>0</v>
          </cell>
        </row>
        <row r="373">
          <cell r="A373" t="str">
            <v>Cây vú sữa hoàng kim đường kính thân 10 cm &lt; ĐK thân  ≤ 15 cm</v>
          </cell>
          <cell r="F373">
            <v>0</v>
          </cell>
        </row>
        <row r="374">
          <cell r="A374" t="str">
            <v>Cây vú sữa hoàng kim đường kính thân 15 cm &lt; ĐK thân  ≤ 20 cm</v>
          </cell>
          <cell r="F374">
            <v>0</v>
          </cell>
        </row>
        <row r="375">
          <cell r="A375" t="str">
            <v>Cây vú sữa hoàng kim đường kính thân 20 cm &lt; ĐK thân  ≤ 30 cm</v>
          </cell>
          <cell r="F375">
            <v>0</v>
          </cell>
        </row>
        <row r="376">
          <cell r="A376" t="str">
            <v>Cây vú sữa hoàng kim ĐK thân &gt;30 cm</v>
          </cell>
          <cell r="F376">
            <v>0</v>
          </cell>
        </row>
        <row r="377">
          <cell r="A377" t="str">
            <v>Cây na (na dai, na bở)</v>
          </cell>
          <cell r="F377">
            <v>0</v>
          </cell>
        </row>
        <row r="378">
          <cell r="A378" t="str">
            <v>Cây na giống đủ tiêu chuẩn mới trồng, chiều cao cây H ≥ 40cm</v>
          </cell>
          <cell r="F378">
            <v>0</v>
          </cell>
        </row>
        <row r="379">
          <cell r="A379" t="str">
            <v>Cây na ĐK thân ≤ 3 cm</v>
          </cell>
          <cell r="F379">
            <v>0</v>
          </cell>
        </row>
        <row r="380">
          <cell r="A380" t="str">
            <v>Cây na đường kính thân 3 cm &lt; ĐK thân ≤ 5 cm</v>
          </cell>
          <cell r="F380">
            <v>0</v>
          </cell>
        </row>
        <row r="381">
          <cell r="A381" t="str">
            <v>Cây na đường kính thân 5 cm &lt; ĐK thân ≤ 7 cm</v>
          </cell>
          <cell r="F381">
            <v>0</v>
          </cell>
        </row>
        <row r="382">
          <cell r="A382" t="str">
            <v>Cây na đường kính thân 7 cm &lt; ĐK thân ≤ 10 cm</v>
          </cell>
          <cell r="F382">
            <v>0</v>
          </cell>
        </row>
        <row r="383">
          <cell r="A383" t="str">
            <v>Cây na ĐK thân &gt; 10 cm</v>
          </cell>
          <cell r="F383">
            <v>0</v>
          </cell>
        </row>
        <row r="384">
          <cell r="A384" t="str">
            <v>Cây khế</v>
          </cell>
          <cell r="F384">
            <v>0</v>
          </cell>
        </row>
        <row r="385">
          <cell r="A385" t="str">
            <v>Cây khế giống Loại cây ghép có chiều cao cây 40cm ≤ H &lt; 1m</v>
          </cell>
          <cell r="F385">
            <v>0</v>
          </cell>
        </row>
        <row r="386">
          <cell r="A386" t="str">
            <v>Cây khế giống Loại cây ghép có chiều cao cây H ≥ 1m</v>
          </cell>
          <cell r="F386">
            <v>0</v>
          </cell>
        </row>
        <row r="387">
          <cell r="A387" t="str">
            <v>Cây khế ĐK thân ≤ 5 cm</v>
          </cell>
          <cell r="F387">
            <v>0</v>
          </cell>
        </row>
        <row r="388">
          <cell r="A388" t="str">
            <v>Cây khế đường kính thân 5 cm &lt; ĐK thân ≤ 10 cm</v>
          </cell>
          <cell r="F388">
            <v>0</v>
          </cell>
        </row>
        <row r="389">
          <cell r="A389" t="str">
            <v>Cây khế đường kính thân 10 cm &lt; ĐK thân ≤ 15 cm</v>
          </cell>
          <cell r="F389">
            <v>0</v>
          </cell>
        </row>
        <row r="390">
          <cell r="A390" t="str">
            <v>Cây khế đường kính thân 15 cm &lt; ĐK thân ≤ 20 cm</v>
          </cell>
          <cell r="F390">
            <v>0</v>
          </cell>
        </row>
        <row r="391">
          <cell r="A391" t="str">
            <v>Cây khế đường kính thân 20 cm &lt; ĐK thân ≤ 25 cm</v>
          </cell>
          <cell r="F391">
            <v>0</v>
          </cell>
        </row>
        <row r="392">
          <cell r="A392" t="str">
            <v>Cây khế ĐK thân &gt; 25 cm</v>
          </cell>
          <cell r="F392">
            <v>0</v>
          </cell>
        </row>
        <row r="393">
          <cell r="A393" t="str">
            <v>Cây ổi</v>
          </cell>
          <cell r="F393">
            <v>0</v>
          </cell>
        </row>
        <row r="394">
          <cell r="A394" t="str">
            <v>Cây ổi giống Loại cây ghép có chiều cao cây 40cm ≤ H &lt; 1m</v>
          </cell>
          <cell r="F394">
            <v>0</v>
          </cell>
        </row>
        <row r="395">
          <cell r="A395" t="str">
            <v>Cây ổi giống Loại cây ghép có chiều cao cây H ≥ 1m</v>
          </cell>
          <cell r="F395">
            <v>0</v>
          </cell>
        </row>
        <row r="396">
          <cell r="A396" t="str">
            <v>Cây ổi giống Loại cây chiết có chiều cao cây 40cm ≤ H &lt; 1 m</v>
          </cell>
          <cell r="F396">
            <v>0</v>
          </cell>
        </row>
        <row r="397">
          <cell r="A397" t="str">
            <v>Cây ổi ĐK thân ≤ 5 cm</v>
          </cell>
          <cell r="F397">
            <v>0</v>
          </cell>
        </row>
        <row r="398">
          <cell r="A398" t="str">
            <v>Cây ổi đường kính thân 5 cm &lt; ĐK thân ≤ 10 cm</v>
          </cell>
          <cell r="F398">
            <v>0</v>
          </cell>
        </row>
        <row r="399">
          <cell r="A399" t="str">
            <v>Cây ổi đường kính thân 10 cm &lt; ĐK thân ≤ 15 cm</v>
          </cell>
          <cell r="F399">
            <v>0</v>
          </cell>
        </row>
        <row r="400">
          <cell r="A400" t="str">
            <v>Cây ổi đường kính thân 15 cm &lt; ĐK thân ≤ 20 cm</v>
          </cell>
          <cell r="F400">
            <v>0</v>
          </cell>
        </row>
        <row r="401">
          <cell r="A401" t="str">
            <v>Cây ổi ĐK thân &gt; 20 cm</v>
          </cell>
          <cell r="F401">
            <v>0</v>
          </cell>
        </row>
        <row r="402">
          <cell r="A402" t="str">
            <v>Cây nhãn</v>
          </cell>
          <cell r="F402">
            <v>0</v>
          </cell>
        </row>
        <row r="403">
          <cell r="A403" t="str">
            <v>Cây nhãn giống Loại cây ghép có chiều cao cây 40cm ≤ H &lt; 1m</v>
          </cell>
          <cell r="F403">
            <v>0</v>
          </cell>
        </row>
        <row r="404">
          <cell r="A404" t="str">
            <v>Cây nhãn giống Loại cây ghép có chiều cao cây H ≥ 1m</v>
          </cell>
          <cell r="F404">
            <v>0</v>
          </cell>
        </row>
        <row r="405">
          <cell r="A405" t="str">
            <v>Cây nhãn giống Loại cây chiết cành có chiều cao 40cm  ≤ H &lt; 1m</v>
          </cell>
          <cell r="F405">
            <v>0</v>
          </cell>
        </row>
        <row r="406">
          <cell r="A406" t="str">
            <v>Cây nhãn giống Loại cây chiết cành có chiều cao cây H ≥ 1m</v>
          </cell>
          <cell r="F406">
            <v>0</v>
          </cell>
        </row>
        <row r="407">
          <cell r="A407" t="str">
            <v>Cây nhãn ĐK thân ≤ 5 cm</v>
          </cell>
          <cell r="F407">
            <v>0</v>
          </cell>
        </row>
        <row r="408">
          <cell r="A408" t="str">
            <v>Cây nhãn đường kính thân 5 cm &lt; ĐK thân ≤ 10cm</v>
          </cell>
          <cell r="F408">
            <v>0</v>
          </cell>
        </row>
        <row r="409">
          <cell r="A409" t="str">
            <v>Cây nhãn đường kính thân 10 cm &lt; ĐK thân ≤ 15 cm</v>
          </cell>
          <cell r="F409">
            <v>0</v>
          </cell>
        </row>
        <row r="410">
          <cell r="A410" t="str">
            <v>Cây nhãn đường kính thân 15 cm &lt; ĐK thân ≤ 20 cm</v>
          </cell>
          <cell r="F410">
            <v>0</v>
          </cell>
        </row>
        <row r="411">
          <cell r="A411" t="str">
            <v>Cây nhãn đường kính thân 20 cm &lt; ĐK thân ≤ 25 cm</v>
          </cell>
          <cell r="F411">
            <v>0</v>
          </cell>
        </row>
        <row r="412">
          <cell r="A412" t="str">
            <v>Cây nhãn đường kính thân 25 cm &lt; ĐK thân ≤ 30 cm</v>
          </cell>
          <cell r="F412">
            <v>0</v>
          </cell>
        </row>
        <row r="413">
          <cell r="A413" t="str">
            <v>Cây nhãn đường kính thân 30 cm &lt; ĐK thân ≤ 40 cm</v>
          </cell>
          <cell r="F413">
            <v>0</v>
          </cell>
        </row>
        <row r="414">
          <cell r="A414" t="str">
            <v>Cây nhãn ĐK thân &gt; 40 cm</v>
          </cell>
          <cell r="F414">
            <v>0</v>
          </cell>
        </row>
        <row r="415">
          <cell r="A415" t="str">
            <v>Cây vải</v>
          </cell>
          <cell r="F415">
            <v>0</v>
          </cell>
        </row>
        <row r="416">
          <cell r="A416" t="str">
            <v>Cây vải giống Loại cây ghép có chiều cao cây 40cm ≤ H &lt; 1m</v>
          </cell>
          <cell r="F416">
            <v>0</v>
          </cell>
        </row>
        <row r="417">
          <cell r="A417" t="str">
            <v>Cây vải giống Loại cây ghép có chiều cao cây H ≥ 1m</v>
          </cell>
          <cell r="F417">
            <v>0</v>
          </cell>
        </row>
        <row r="418">
          <cell r="A418" t="str">
            <v>Cây vải giống Loại cây chiết cành có chiều cao 40cm  ≤ H &lt; 1m</v>
          </cell>
          <cell r="F418">
            <v>0</v>
          </cell>
        </row>
        <row r="419">
          <cell r="A419" t="str">
            <v>Cây vải giống Loại cây chiết cành có chiều cao cây H ≥ 1m</v>
          </cell>
          <cell r="F419">
            <v>0</v>
          </cell>
        </row>
        <row r="420">
          <cell r="A420" t="str">
            <v>Cây vải ĐK thân ≤ 5 cm</v>
          </cell>
          <cell r="F420">
            <v>0</v>
          </cell>
        </row>
        <row r="421">
          <cell r="A421" t="str">
            <v>Cây vải đường kính thân 5 cm &lt; ĐK thân ≤ 10cm</v>
          </cell>
          <cell r="F421">
            <v>0</v>
          </cell>
        </row>
        <row r="422">
          <cell r="A422" t="str">
            <v>Cây vải đường kính thân 10 cm &lt; ĐK thân ≤ 15 cm</v>
          </cell>
          <cell r="F422">
            <v>0</v>
          </cell>
        </row>
        <row r="423">
          <cell r="A423" t="str">
            <v>Cây vải đường kính thân 15 cm &lt; ĐK thân ≤ 20 cm</v>
          </cell>
          <cell r="F423">
            <v>0</v>
          </cell>
        </row>
        <row r="424">
          <cell r="A424" t="str">
            <v>Cây vải đường kính thân 20 cm &lt; ĐK thân ≤ 25 cm</v>
          </cell>
          <cell r="F424">
            <v>0</v>
          </cell>
        </row>
        <row r="425">
          <cell r="A425" t="str">
            <v>Cây vải đường kính thân 25 cm &lt; ĐK thân ≤ 30 cm</v>
          </cell>
          <cell r="F425">
            <v>0</v>
          </cell>
        </row>
        <row r="426">
          <cell r="A426" t="str">
            <v>Cây vải đường kính thân 30 cm &lt; ĐK thân ≤ 40 cm</v>
          </cell>
          <cell r="F426">
            <v>0</v>
          </cell>
        </row>
        <row r="427">
          <cell r="A427" t="str">
            <v>Cây vải ĐK thân &gt; 40 cm</v>
          </cell>
          <cell r="F427">
            <v>0</v>
          </cell>
        </row>
        <row r="428">
          <cell r="A428" t="str">
            <v>Cây đu đủ</v>
          </cell>
          <cell r="F428">
            <v>0</v>
          </cell>
        </row>
        <row r="429">
          <cell r="A429" t="str">
            <v>Cây đu đủ giống đủ tiêu chuẩn mới trồng, chiều cao cây H ≥ 40cm</v>
          </cell>
          <cell r="F429">
            <v>0</v>
          </cell>
        </row>
        <row r="430">
          <cell r="A430" t="str">
            <v>Cây đu đủ ĐK thân ≤ 3 cm</v>
          </cell>
          <cell r="F430">
            <v>0</v>
          </cell>
        </row>
        <row r="431">
          <cell r="A431" t="str">
            <v>Cây đu đủ đường kính thân 3 cm &lt; ĐK thân ≤ 7 cm</v>
          </cell>
          <cell r="F431">
            <v>0</v>
          </cell>
        </row>
        <row r="432">
          <cell r="A432" t="str">
            <v>Cây đu đủ đường kính thân 7 cm &lt; ĐK thân ≤ 10 cm</v>
          </cell>
          <cell r="F432">
            <v>0</v>
          </cell>
        </row>
        <row r="433">
          <cell r="A433" t="str">
            <v>Cây đu đủ đường kính thân ĐK thân &gt; 10 cm</v>
          </cell>
          <cell r="F433">
            <v>0</v>
          </cell>
        </row>
        <row r="434">
          <cell r="A434" t="str">
            <v>Cây trứng gà</v>
          </cell>
          <cell r="F434">
            <v>0</v>
          </cell>
        </row>
        <row r="435">
          <cell r="A435" t="str">
            <v>Cây trứng gà giống đủ tiêu chuẩn mới trồng, chiều cao cây H  ≥ 40cm</v>
          </cell>
          <cell r="F435">
            <v>0</v>
          </cell>
        </row>
        <row r="436">
          <cell r="A436" t="str">
            <v>Cây trứng gà ĐK thân ≤5 cm</v>
          </cell>
          <cell r="F436">
            <v>0</v>
          </cell>
        </row>
        <row r="437">
          <cell r="A437" t="str">
            <v>Cây trứng gà đường kính thân 5 cm &lt; ĐK thân ≤ 10 cm</v>
          </cell>
          <cell r="F437">
            <v>0</v>
          </cell>
        </row>
        <row r="438">
          <cell r="A438" t="str">
            <v>Cây trứng gà đường kính thân 10 cm &lt; ĐK thân ≤ 15 cm</v>
          </cell>
          <cell r="F438">
            <v>0</v>
          </cell>
        </row>
        <row r="439">
          <cell r="A439" t="str">
            <v>Cây trứng gà đường kính thân 15 cm &lt; ĐK thân ≤ 20 cm</v>
          </cell>
          <cell r="F439">
            <v>0</v>
          </cell>
        </row>
        <row r="440">
          <cell r="A440" t="str">
            <v>Cây trứng gà đường kính thân 20 cm &lt; ĐK thân ≤ 25 cm</v>
          </cell>
          <cell r="F440">
            <v>0</v>
          </cell>
        </row>
        <row r="441">
          <cell r="A441" t="str">
            <v>Cây trứng gà ĐK thân &gt; 25 cm</v>
          </cell>
          <cell r="F441">
            <v>0</v>
          </cell>
        </row>
        <row r="442">
          <cell r="A442" t="str">
            <v>Cây dừa</v>
          </cell>
          <cell r="F442">
            <v>0</v>
          </cell>
        </row>
        <row r="443">
          <cell r="A443" t="str">
            <v>Cây dừa giống đủ tiêu chuẩn mới trồng</v>
          </cell>
          <cell r="F443">
            <v>0</v>
          </cell>
        </row>
        <row r="444">
          <cell r="A444" t="str">
            <v>Cây dừa ĐK thân ≤ 10 cm</v>
          </cell>
          <cell r="F444">
            <v>0</v>
          </cell>
        </row>
        <row r="445">
          <cell r="A445" t="str">
            <v>Cây dừa đường kính thân 10 cm &lt; ĐK thân ≤ 15 cm</v>
          </cell>
          <cell r="F445">
            <v>0</v>
          </cell>
        </row>
        <row r="446">
          <cell r="A446" t="str">
            <v>Cây dừa đường kính thân 15 cm &lt; ĐK thân ≤ 25 cm</v>
          </cell>
          <cell r="F446">
            <v>0</v>
          </cell>
        </row>
        <row r="447">
          <cell r="A447" t="str">
            <v>Cây dừa đường kính thân 25 cm &lt; ĐK thân ≤ 40 cm</v>
          </cell>
          <cell r="F447">
            <v>0</v>
          </cell>
        </row>
        <row r="448">
          <cell r="A448" t="str">
            <v>Cây dừa đường kính thân 40 cm &lt; ĐK thân ≤ 55 cm</v>
          </cell>
          <cell r="F448">
            <v>0</v>
          </cell>
        </row>
        <row r="449">
          <cell r="A449" t="str">
            <v>Cây dừa ĐK thân &gt; 55 cm</v>
          </cell>
          <cell r="F449">
            <v>0</v>
          </cell>
        </row>
        <row r="450">
          <cell r="A450" t="str">
            <v>Cây me</v>
          </cell>
          <cell r="F450">
            <v>0</v>
          </cell>
        </row>
        <row r="451">
          <cell r="A451" t="str">
            <v>Cây me giống đủ tiêu chuẩn mới trồng, chiều cao cây H  ≥ 40cm</v>
          </cell>
          <cell r="F451">
            <v>0</v>
          </cell>
        </row>
        <row r="452">
          <cell r="A452" t="str">
            <v>Cây me ĐK thân ≤ 5 cm</v>
          </cell>
          <cell r="F452">
            <v>0</v>
          </cell>
        </row>
        <row r="453">
          <cell r="A453" t="str">
            <v>Cây me đường kính thân 5 cm &lt; ĐK thân ≤ 10 cm</v>
          </cell>
          <cell r="F453">
            <v>0</v>
          </cell>
        </row>
        <row r="454">
          <cell r="A454" t="str">
            <v>Cây me đường kính thân 10 cm &lt; ĐK thân ≤ 20 cm</v>
          </cell>
          <cell r="F454">
            <v>0</v>
          </cell>
        </row>
        <row r="455">
          <cell r="A455" t="str">
            <v>Cây me đường kính thân 20 cm &lt; ĐK thân ≤ 30 cm</v>
          </cell>
          <cell r="F455">
            <v>0</v>
          </cell>
        </row>
        <row r="456">
          <cell r="A456" t="str">
            <v>Cây me ĐK thân &gt; 30 cm</v>
          </cell>
          <cell r="F456">
            <v>0</v>
          </cell>
        </row>
        <row r="457">
          <cell r="A457" t="str">
            <v>Cây sấu</v>
          </cell>
          <cell r="F457">
            <v>0</v>
          </cell>
        </row>
        <row r="458">
          <cell r="A458" t="str">
            <v>Cây sấu Giống đủ tiêu chuẩn mới trồng, chiều cao cây H ≥ 40cm</v>
          </cell>
          <cell r="F458">
            <v>0</v>
          </cell>
        </row>
        <row r="459">
          <cell r="A459" t="str">
            <v>Cây sấu ĐK thân ≤5 cm</v>
          </cell>
          <cell r="F459">
            <v>0</v>
          </cell>
        </row>
        <row r="460">
          <cell r="A460" t="str">
            <v>Cây sấu đường kính thân 5 cm &lt; ĐK thân ≤ 10 cm</v>
          </cell>
          <cell r="F460">
            <v>0</v>
          </cell>
        </row>
        <row r="461">
          <cell r="A461" t="str">
            <v>Cây sấu đường kính thân 10 cm &lt; ĐK thân ≤ 15 cm</v>
          </cell>
          <cell r="F461">
            <v>0</v>
          </cell>
        </row>
        <row r="462">
          <cell r="A462" t="str">
            <v>Cây sấu đường kính thân 15 cm &lt; ĐK thân ≤ 20 cm</v>
          </cell>
          <cell r="F462">
            <v>0</v>
          </cell>
        </row>
        <row r="463">
          <cell r="A463" t="str">
            <v>Cây sấu đường kính thân 20 cm &lt; ĐK thân ≤ 30 cm</v>
          </cell>
          <cell r="F463">
            <v>0</v>
          </cell>
        </row>
        <row r="464">
          <cell r="A464" t="str">
            <v>Cây sấu đường kính thân 30 cm &lt; ĐK thân ≤ 40 cm</v>
          </cell>
          <cell r="F464">
            <v>0</v>
          </cell>
        </row>
        <row r="465">
          <cell r="A465" t="str">
            <v>Cây sấu ĐK thân &gt; 40 cm</v>
          </cell>
          <cell r="F465">
            <v>0</v>
          </cell>
        </row>
        <row r="466">
          <cell r="A466" t="str">
            <v>Cây vối</v>
          </cell>
          <cell r="F466">
            <v>0</v>
          </cell>
        </row>
        <row r="467">
          <cell r="A467" t="str">
            <v>Cây vối Giống đủ tiêu chuẩn mới trồng, chiều cao cây H &gt; 40cm</v>
          </cell>
          <cell r="F467">
            <v>0</v>
          </cell>
        </row>
        <row r="468">
          <cell r="A468" t="str">
            <v>Cây vối ĐK thân ≤5 cm</v>
          </cell>
          <cell r="F468">
            <v>0</v>
          </cell>
        </row>
        <row r="469">
          <cell r="A469" t="str">
            <v>Cây vối đường kính thân 5 cm &lt; ĐK thân ≤10 cm</v>
          </cell>
          <cell r="F469">
            <v>0</v>
          </cell>
        </row>
        <row r="470">
          <cell r="A470" t="str">
            <v>Cây vối đường kính thân 10 cm &lt; ĐK thân ≤15 cm</v>
          </cell>
          <cell r="F470">
            <v>0</v>
          </cell>
        </row>
        <row r="471">
          <cell r="A471" t="str">
            <v>Cây vối đường kính thân 15 cm &lt; ĐK thân ≤25 cm</v>
          </cell>
          <cell r="F471">
            <v>0</v>
          </cell>
        </row>
        <row r="472">
          <cell r="A472" t="str">
            <v>Cây vối ĐK thân &gt; 25 cm</v>
          </cell>
          <cell r="F472">
            <v>0</v>
          </cell>
        </row>
        <row r="473">
          <cell r="A473" t="str">
            <v>Cây bơ</v>
          </cell>
          <cell r="F473">
            <v>0</v>
          </cell>
        </row>
        <row r="474">
          <cell r="A474" t="str">
            <v>Cây bơ mới trồng &lt; 01 năm (cây từ hạt)</v>
          </cell>
          <cell r="F474">
            <v>0</v>
          </cell>
        </row>
        <row r="475">
          <cell r="A475" t="str">
            <v>Cây bơ mới trồng &lt; 01 năm (cây ghép)</v>
          </cell>
          <cell r="F475">
            <v>0</v>
          </cell>
        </row>
        <row r="476">
          <cell r="A476" t="str">
            <v>Cây bơ ĐK thân ≤5 cm</v>
          </cell>
          <cell r="F476">
            <v>0</v>
          </cell>
        </row>
        <row r="477">
          <cell r="A477" t="str">
            <v>Cây bơ đường kính thân 5 cm &lt; ĐK thân ≤10 cm</v>
          </cell>
          <cell r="F477">
            <v>0</v>
          </cell>
        </row>
        <row r="478">
          <cell r="A478" t="str">
            <v>Cây bơ đường kính thân 10 cm &lt; ĐK thân ≤15 cm</v>
          </cell>
          <cell r="F478">
            <v>0</v>
          </cell>
        </row>
        <row r="479">
          <cell r="A479" t="str">
            <v>Cây bơ ĐK thân &gt; 15 cm</v>
          </cell>
          <cell r="F479">
            <v>0</v>
          </cell>
        </row>
        <row r="480">
          <cell r="A480" t="str">
            <v>Cây cóc</v>
          </cell>
          <cell r="F480">
            <v>0</v>
          </cell>
        </row>
        <row r="481">
          <cell r="A481" t="str">
            <v>Cây cóc ĐK thân ≤5 cm</v>
          </cell>
          <cell r="F481">
            <v>0</v>
          </cell>
        </row>
        <row r="482">
          <cell r="A482" t="str">
            <v>Cây cóc đường kính thân 5 cm &lt; ĐK thân ≤10 cm</v>
          </cell>
          <cell r="F482">
            <v>0</v>
          </cell>
        </row>
        <row r="483">
          <cell r="A483" t="str">
            <v>Cây cóc đường kính thân 10 cm &lt; ĐK thân ≤15 cm</v>
          </cell>
          <cell r="F483">
            <v>0</v>
          </cell>
        </row>
        <row r="484">
          <cell r="A484" t="str">
            <v>Cây cóc đường kính thân 15 cm &lt; ĐK thân ≤20 cm</v>
          </cell>
          <cell r="F484">
            <v>0</v>
          </cell>
        </row>
        <row r="485">
          <cell r="A485" t="str">
            <v>Cây cóc đường kính thân 20 cm &lt; ĐK thân ≤30 cm</v>
          </cell>
          <cell r="F485">
            <v>0</v>
          </cell>
        </row>
        <row r="486">
          <cell r="A486" t="str">
            <v>Cây cóc đường kính thân 30 cm &lt; ĐK thân ≤40 cm</v>
          </cell>
          <cell r="F486">
            <v>0</v>
          </cell>
        </row>
        <row r="487">
          <cell r="A487" t="str">
            <v>Cây cóc ĐK thân &gt; 40 cm</v>
          </cell>
          <cell r="F487">
            <v>0</v>
          </cell>
        </row>
        <row r="488">
          <cell r="A488" t="str">
            <v>Cây quất hồng bì</v>
          </cell>
          <cell r="F488">
            <v>0</v>
          </cell>
        </row>
        <row r="489">
          <cell r="A489" t="str">
            <v>Cây quất hồng bì ĐK thân ≤5 cm</v>
          </cell>
          <cell r="F489">
            <v>0</v>
          </cell>
        </row>
        <row r="490">
          <cell r="A490" t="str">
            <v>Cây quất hồng bì đường kính thân 5 cm &lt; ĐK thân ≤10 cm</v>
          </cell>
          <cell r="F490">
            <v>0</v>
          </cell>
        </row>
        <row r="491">
          <cell r="A491" t="str">
            <v>Cây quất hồng bì đường kính thân 10 cm &lt; ĐK thân ≤15 cm</v>
          </cell>
          <cell r="F491">
            <v>0</v>
          </cell>
        </row>
        <row r="492">
          <cell r="A492" t="str">
            <v>Cây quất hồng bì đường kính thân 15 cm &lt; ĐK thân ≤20 cm</v>
          </cell>
          <cell r="F492">
            <v>0</v>
          </cell>
        </row>
        <row r="493">
          <cell r="A493" t="str">
            <v>Cây quất hồng bì đường kính thân 20 cm &lt; ĐK thân ≤30 cm</v>
          </cell>
          <cell r="F493">
            <v>0</v>
          </cell>
        </row>
        <row r="494">
          <cell r="A494" t="str">
            <v>Cây quất hồng bì đường kính thân 30 cm &lt; ĐK thân ≤40 cm</v>
          </cell>
          <cell r="F494">
            <v>0</v>
          </cell>
        </row>
        <row r="495">
          <cell r="A495" t="str">
            <v>Cây quất hồng bì ĐK thân &gt; 40 cm</v>
          </cell>
          <cell r="F495">
            <v>0</v>
          </cell>
        </row>
        <row r="496">
          <cell r="A496" t="str">
            <v>Cây sung quả</v>
          </cell>
          <cell r="F496">
            <v>0</v>
          </cell>
        </row>
        <row r="497">
          <cell r="A497" t="str">
            <v>Cây sung quả Giống đủ tiêu chuẩn mới trồng, chiều cao cây H ≥ 40cm</v>
          </cell>
          <cell r="F497">
            <v>0</v>
          </cell>
        </row>
        <row r="498">
          <cell r="A498" t="str">
            <v>Cây sung quả ĐK thân ≤5 cm</v>
          </cell>
          <cell r="F498">
            <v>0</v>
          </cell>
        </row>
        <row r="499">
          <cell r="A499" t="str">
            <v>Cây sung quả đường kính thân 5 cm &lt; ĐK thân ≤10 cm</v>
          </cell>
          <cell r="F499">
            <v>0</v>
          </cell>
        </row>
        <row r="500">
          <cell r="A500" t="str">
            <v>Cây sung quả đường kính thân 10 cm &lt; ĐK thân ≤15 cm</v>
          </cell>
          <cell r="F500">
            <v>0</v>
          </cell>
        </row>
        <row r="501">
          <cell r="A501" t="str">
            <v>Cây sung quả đường kính thân 15 cm &lt; ĐK thân ≤25 cm</v>
          </cell>
          <cell r="F501">
            <v>0</v>
          </cell>
        </row>
        <row r="502">
          <cell r="A502" t="str">
            <v>Cây sung quả đường kính thân 25 cm &lt; ĐK thân ≤40 cm</v>
          </cell>
          <cell r="F502">
            <v>0</v>
          </cell>
        </row>
        <row r="503">
          <cell r="A503" t="str">
            <v>Cây sung quả ĐK thân &gt; 40 cm</v>
          </cell>
          <cell r="F503">
            <v>0</v>
          </cell>
        </row>
        <row r="504">
          <cell r="A504" t="str">
            <v>Cây thị</v>
          </cell>
          <cell r="F504">
            <v>0</v>
          </cell>
        </row>
        <row r="505">
          <cell r="A505" t="str">
            <v>Cây thị ĐK thân ≤5 cm</v>
          </cell>
          <cell r="F505">
            <v>0</v>
          </cell>
        </row>
        <row r="506">
          <cell r="A506" t="str">
            <v>Cây thị đường kính thân 5 cm &lt; ĐK thân ≤10 cm</v>
          </cell>
          <cell r="F506">
            <v>0</v>
          </cell>
        </row>
        <row r="507">
          <cell r="A507" t="str">
            <v>Cây thị đường kính thân 10 cm &lt; ĐK thân ≤15 cm</v>
          </cell>
          <cell r="F507">
            <v>0</v>
          </cell>
        </row>
        <row r="508">
          <cell r="A508" t="str">
            <v>Cây thị đường kính thân 15 cm &lt; ĐK thân ≤25 cm</v>
          </cell>
          <cell r="F508">
            <v>0</v>
          </cell>
        </row>
        <row r="509">
          <cell r="A509" t="str">
            <v>Cây thị đường kính thân 25 cm &lt; ĐK thân ≤35 cm</v>
          </cell>
          <cell r="F509">
            <v>0</v>
          </cell>
        </row>
        <row r="510">
          <cell r="A510" t="str">
            <v>Cây thị đường kính thân 35 cm &lt; ĐK thân ≤50 cm</v>
          </cell>
          <cell r="F510">
            <v>0</v>
          </cell>
        </row>
        <row r="511">
          <cell r="A511" t="str">
            <v>Cây thị ĐK thân &gt; 50 cm</v>
          </cell>
          <cell r="F511">
            <v>0</v>
          </cell>
        </row>
        <row r="512">
          <cell r="A512" t="str">
            <v>Cây dâu da xoan</v>
          </cell>
          <cell r="F512">
            <v>0</v>
          </cell>
        </row>
        <row r="513">
          <cell r="A513" t="str">
            <v>Cây dâu da xoan giống đủ tiêu chuẩn mới trồng, chiều cao cây H ≥ 40cm</v>
          </cell>
          <cell r="F513">
            <v>0</v>
          </cell>
        </row>
        <row r="514">
          <cell r="A514" t="str">
            <v>Cây dâu da xoan ĐK thân ≤5 cm</v>
          </cell>
          <cell r="F514">
            <v>0</v>
          </cell>
        </row>
        <row r="515">
          <cell r="A515" t="str">
            <v>Cây dâu da xoan đường kính thân 5 cm &lt; ĐK thân ≤10 cm</v>
          </cell>
          <cell r="F515">
            <v>0</v>
          </cell>
        </row>
        <row r="516">
          <cell r="A516" t="str">
            <v>Cây dâu da xoan đường kính thân 10 cm &lt; ĐK thân ≤15 cm</v>
          </cell>
          <cell r="F516">
            <v>0</v>
          </cell>
        </row>
        <row r="517">
          <cell r="A517" t="str">
            <v>Cây dâu da xoan đường kính thân 15 cm &lt; ĐK thân ≤25 cm</v>
          </cell>
          <cell r="F517">
            <v>0</v>
          </cell>
        </row>
        <row r="518">
          <cell r="A518" t="str">
            <v>Cây dâu da xoan đường kính thân 25 cm &lt; ĐK thân ≤40 cm</v>
          </cell>
          <cell r="F518">
            <v>0</v>
          </cell>
        </row>
        <row r="519">
          <cell r="A519" t="str">
            <v>Cây dâu da xoan đường kính thân 40 cm &lt; ĐK thân ≤60 cm</v>
          </cell>
          <cell r="F519">
            <v>0</v>
          </cell>
        </row>
        <row r="520">
          <cell r="A520" t="str">
            <v>Cây dâu da xoan ĐK thân &gt; 60 cm</v>
          </cell>
          <cell r="F520">
            <v>0</v>
          </cell>
        </row>
        <row r="521">
          <cell r="A521" t="str">
            <v>Cây dâu tằm lấy quả</v>
          </cell>
          <cell r="F521">
            <v>0</v>
          </cell>
        </row>
        <row r="522">
          <cell r="A522" t="str">
            <v>Cây dâu tằm lấy quả Cây giống đủ tiêu chuẩn mới trồng</v>
          </cell>
          <cell r="F522">
            <v>0</v>
          </cell>
        </row>
        <row r="523">
          <cell r="A523" t="str">
            <v>Cây dâu tằm lấy quả ĐK thân &lt; 2 cm</v>
          </cell>
          <cell r="F523">
            <v>0</v>
          </cell>
        </row>
        <row r="524">
          <cell r="A524" t="str">
            <v>Cây dâu tằm lấy quả đường kính thân 2 cm ≤  ĐK thân &lt;4 cm</v>
          </cell>
          <cell r="F524">
            <v>0</v>
          </cell>
        </row>
        <row r="525">
          <cell r="A525" t="str">
            <v>Cây dâu tằm lấy quả đường kính thân 4 cm ≤ ĐK thân &lt;6 cm</v>
          </cell>
          <cell r="F525">
            <v>0</v>
          </cell>
        </row>
        <row r="526">
          <cell r="A526" t="str">
            <v>Cây dâu tằm lấy quả đường kính thân 6 cm ≤ ĐK thân ≤10 cm</v>
          </cell>
          <cell r="F526">
            <v>0</v>
          </cell>
        </row>
        <row r="527">
          <cell r="A527" t="str">
            <v>Cây dâu tằm lấy quả ĐK thân &gt; 10 cm</v>
          </cell>
          <cell r="F527">
            <v>0</v>
          </cell>
        </row>
        <row r="528">
          <cell r="A528" t="str">
            <v>Cây Hoa hồng trồng cắt cành</v>
          </cell>
          <cell r="F528">
            <v>0</v>
          </cell>
        </row>
        <row r="529">
          <cell r="A529" t="str">
            <v>Cây Hoa hồng trồng cắt cành ĐK thân ≤1 cm</v>
          </cell>
          <cell r="F529">
            <v>0</v>
          </cell>
        </row>
        <row r="530">
          <cell r="A530" t="str">
            <v>Cây Hoa hồng trồng cắt cành đường kính thân 1 cm &lt; ĐK thân ≤2 cm</v>
          </cell>
          <cell r="F530">
            <v>0</v>
          </cell>
        </row>
        <row r="531">
          <cell r="A531" t="str">
            <v>Cây Hoa hồng trồng cắt cành đường kính thân 2 cm &lt; ĐK thân ≤3 cm</v>
          </cell>
          <cell r="F531">
            <v>0</v>
          </cell>
        </row>
        <row r="532">
          <cell r="A532" t="str">
            <v>Cây Hoa hồng trồng cắt cành đường kính thân 3 cm &lt; ĐK thân ≤5 cm</v>
          </cell>
          <cell r="F532">
            <v>0</v>
          </cell>
        </row>
        <row r="533">
          <cell r="A533" t="str">
            <v>Cây Hoa hồng trồng cắt cành ĐK thân &gt; 5 cm</v>
          </cell>
          <cell r="F533">
            <v>0</v>
          </cell>
        </row>
        <row r="534">
          <cell r="A534" t="str">
            <v>Cây lê</v>
          </cell>
          <cell r="F534">
            <v>0</v>
          </cell>
        </row>
        <row r="535">
          <cell r="A535" t="str">
            <v>Cây lê giống mới trồng</v>
          </cell>
          <cell r="F535">
            <v>0</v>
          </cell>
        </row>
        <row r="536">
          <cell r="A536" t="str">
            <v>Cây lê ĐK thân ≤5 cm</v>
          </cell>
          <cell r="F536">
            <v>0</v>
          </cell>
        </row>
        <row r="537">
          <cell r="A537" t="str">
            <v>Cây lê đường kính thân 5 cm &lt; ĐK thân ≤7 cm</v>
          </cell>
          <cell r="F537">
            <v>0</v>
          </cell>
        </row>
        <row r="538">
          <cell r="A538" t="str">
            <v>Cây lê đường kính thân 7 cm &lt; ĐK thân ≤11 cm</v>
          </cell>
          <cell r="F538">
            <v>0</v>
          </cell>
        </row>
        <row r="539">
          <cell r="A539" t="str">
            <v>Cây lê đường kính thân 11 cm &lt; ĐK thân ≤15 cm</v>
          </cell>
          <cell r="F539">
            <v>0</v>
          </cell>
        </row>
        <row r="540">
          <cell r="A540" t="str">
            <v>Cây lê đường kính thân 15 cm &lt; ĐK thân ≤20 cm</v>
          </cell>
          <cell r="F540">
            <v>0</v>
          </cell>
        </row>
        <row r="541">
          <cell r="A541" t="str">
            <v>Cây lê đường kính thân 20 cm &lt; ĐK thân ≤25 cm</v>
          </cell>
          <cell r="F541">
            <v>0</v>
          </cell>
        </row>
        <row r="542">
          <cell r="A542" t="str">
            <v>Cây lê ĐK thân &gt; 25 cm</v>
          </cell>
          <cell r="F542">
            <v>0</v>
          </cell>
        </row>
        <row r="543">
          <cell r="A543" t="str">
            <v>Nho thân gỗ</v>
          </cell>
          <cell r="F543">
            <v>0</v>
          </cell>
        </row>
        <row r="544">
          <cell r="A544" t="str">
            <v>Nho thân gỗ ĐK thân ≤5 cm</v>
          </cell>
          <cell r="F544">
            <v>0</v>
          </cell>
        </row>
        <row r="545">
          <cell r="A545" t="str">
            <v>Nho thân gỗ đường kính thân 5 cm &lt; ĐK thân ≤10 cm</v>
          </cell>
          <cell r="F545">
            <v>0</v>
          </cell>
        </row>
        <row r="546">
          <cell r="A546" t="str">
            <v>Nho thân gỗ đường kính thân 10 cm &lt; ĐK thân  ≤15 cm</v>
          </cell>
          <cell r="F546">
            <v>0</v>
          </cell>
        </row>
        <row r="547">
          <cell r="A547" t="str">
            <v>Nho thân gỗ đường kính thân 15 cm &lt; ĐK thân ≤25 cm</v>
          </cell>
          <cell r="F547">
            <v>0</v>
          </cell>
        </row>
        <row r="548">
          <cell r="A548" t="str">
            <v>Nho thân gỗ ĐK thân &gt; 25 cm</v>
          </cell>
          <cell r="F548">
            <v>0</v>
          </cell>
        </row>
        <row r="549">
          <cell r="A549" t="str">
            <v>Cây mãng cầu</v>
          </cell>
          <cell r="F549">
            <v>0</v>
          </cell>
        </row>
        <row r="550">
          <cell r="A550" t="str">
            <v>Cây mãng cầu mới trồng &lt;01 năm (cây từ hạt)</v>
          </cell>
          <cell r="F550">
            <v>0</v>
          </cell>
        </row>
        <row r="551">
          <cell r="A551" t="str">
            <v>Cây mãng cầu mới trồng &lt; 01 năm (cây ghép)</v>
          </cell>
          <cell r="F551">
            <v>0</v>
          </cell>
        </row>
        <row r="552">
          <cell r="A552" t="str">
            <v>Cây mãng cầu ĐK thân ≤5 cm</v>
          </cell>
          <cell r="F552">
            <v>0</v>
          </cell>
        </row>
        <row r="553">
          <cell r="A553" t="str">
            <v>Cây mãng cầu đường kính thân 3 cm &lt; ĐK thân ≤5 cm</v>
          </cell>
          <cell r="F553">
            <v>0</v>
          </cell>
        </row>
        <row r="554">
          <cell r="A554" t="str">
            <v>Cây mãng cầu đường kính thân 5 cm &lt; ĐK thân ≤7 cm</v>
          </cell>
          <cell r="F554">
            <v>0</v>
          </cell>
        </row>
        <row r="555">
          <cell r="A555" t="str">
            <v>Cây mãng cầu đường kính thân 7 cm &lt; ĐK thân ≤10 cm</v>
          </cell>
          <cell r="F555">
            <v>0</v>
          </cell>
        </row>
        <row r="556">
          <cell r="A556" t="str">
            <v>Cây mãng cầu ĐK thân &gt; 10 cm</v>
          </cell>
          <cell r="F556">
            <v>0</v>
          </cell>
        </row>
        <row r="557">
          <cell r="A557" t="str">
            <v>Cây sa kê</v>
          </cell>
          <cell r="F557">
            <v>0</v>
          </cell>
        </row>
        <row r="558">
          <cell r="A558" t="str">
            <v>Cây sa kê mới trồng &lt;01 năm (cây từ hạt)</v>
          </cell>
          <cell r="F558">
            <v>0</v>
          </cell>
        </row>
        <row r="559">
          <cell r="A559" t="str">
            <v>Cây sa kê mới trồng &lt; 01 năm (cây ghép)</v>
          </cell>
          <cell r="F559">
            <v>0</v>
          </cell>
        </row>
        <row r="560">
          <cell r="A560" t="str">
            <v>Cây sa kê ĐK thân ≤5 cm</v>
          </cell>
          <cell r="F560">
            <v>0</v>
          </cell>
        </row>
        <row r="561">
          <cell r="A561" t="str">
            <v>Cây sa kê đường kính thân 3 cm &lt; ĐK thân ≤5 cm</v>
          </cell>
          <cell r="F561">
            <v>0</v>
          </cell>
        </row>
        <row r="562">
          <cell r="A562" t="str">
            <v>Cây sa kê đường kính thân 5 cm &lt; ĐK thân ≤7 cm</v>
          </cell>
          <cell r="F562">
            <v>0</v>
          </cell>
        </row>
        <row r="563">
          <cell r="A563" t="str">
            <v>Cây sa kê đường kính thân 7 cm &lt; ĐK thân ≤10 cm</v>
          </cell>
          <cell r="F563">
            <v>0</v>
          </cell>
        </row>
        <row r="564">
          <cell r="A564" t="str">
            <v>Cây sa kê ĐK thân &gt; 10 cm</v>
          </cell>
          <cell r="F564">
            <v>0</v>
          </cell>
        </row>
        <row r="565">
          <cell r="A565" t="str">
            <v>Cây phật thủ</v>
          </cell>
          <cell r="F565">
            <v>0</v>
          </cell>
        </row>
        <row r="566">
          <cell r="A566" t="str">
            <v>Cây phật thủ ĐK thân ≤5 cm</v>
          </cell>
          <cell r="F566">
            <v>0</v>
          </cell>
        </row>
        <row r="567">
          <cell r="A567" t="str">
            <v>Cây phật thủ đường kính thân 5 cm &lt; ĐK thân ≤10 cm</v>
          </cell>
          <cell r="F567">
            <v>0</v>
          </cell>
        </row>
        <row r="568">
          <cell r="A568" t="str">
            <v>Cây phật thủ đường kính thân 10 cm &lt; ĐK thân ≤15 cm</v>
          </cell>
          <cell r="F568">
            <v>0</v>
          </cell>
        </row>
        <row r="569">
          <cell r="A569" t="str">
            <v>Cây phật thủ đường kính thân 15 cm &lt; ĐK thân ≤20 cm</v>
          </cell>
          <cell r="F569">
            <v>0</v>
          </cell>
        </row>
        <row r="570">
          <cell r="A570" t="str">
            <v>Cây phật thủ đường kính thân 20 cm &lt; ĐK thân ≤30 cm</v>
          </cell>
          <cell r="F570">
            <v>0</v>
          </cell>
        </row>
        <row r="571">
          <cell r="A571" t="str">
            <v>Cây phật thủ ĐK thân &gt;30 cm</v>
          </cell>
          <cell r="F571">
            <v>0</v>
          </cell>
        </row>
        <row r="572">
          <cell r="A572" t="str">
            <v>Cây đào tiên</v>
          </cell>
          <cell r="F572">
            <v>0</v>
          </cell>
        </row>
        <row r="573">
          <cell r="A573" t="str">
            <v>Cây đào tiên giống Loại cây ghép có chiều cao cây 40cm &lt; H ≤ 1m</v>
          </cell>
          <cell r="F573">
            <v>0</v>
          </cell>
        </row>
        <row r="574">
          <cell r="A574" t="str">
            <v>Cây đào tiên giống Loại cây ghép có chiêu cao cây H ≥ 1m</v>
          </cell>
          <cell r="F574">
            <v>0</v>
          </cell>
        </row>
        <row r="575">
          <cell r="A575" t="str">
            <v>Cây đào tiên giống Loại cây chiết cành có chiều cao cây 40cm ≤ H&lt; 1m</v>
          </cell>
          <cell r="F575">
            <v>0</v>
          </cell>
        </row>
        <row r="576">
          <cell r="A576" t="str">
            <v>Cây đào tiên giống Loại cây chiết cành có chiều cao cây H ≥ 1m</v>
          </cell>
          <cell r="F576">
            <v>0</v>
          </cell>
        </row>
        <row r="577">
          <cell r="A577" t="str">
            <v>Cây đào tiên đường kính thân 2 cm &lt; ĐK thân ≤5 cm</v>
          </cell>
          <cell r="F577">
            <v>0</v>
          </cell>
        </row>
        <row r="578">
          <cell r="A578" t="str">
            <v>Cây đào tiên đường kính thân 5 cm &lt; ĐK thân ≤10 cm</v>
          </cell>
          <cell r="F578">
            <v>0</v>
          </cell>
        </row>
        <row r="579">
          <cell r="A579" t="str">
            <v>Cây đào tiên đường kính thân 10cm &lt;ĐKthân≤20 cm</v>
          </cell>
          <cell r="F579">
            <v>0</v>
          </cell>
        </row>
        <row r="580">
          <cell r="A580" t="str">
            <v>Cây đào tiên ĐK thân &gt;20 cm</v>
          </cell>
          <cell r="F580">
            <v>0</v>
          </cell>
        </row>
        <row r="581">
          <cell r="A581" t="str">
            <v>Cây hoa sữa</v>
          </cell>
          <cell r="F581">
            <v>0</v>
          </cell>
        </row>
        <row r="582">
          <cell r="A582" t="str">
            <v>Cây hoa sữa giống mới trồng</v>
          </cell>
          <cell r="F582">
            <v>0</v>
          </cell>
        </row>
        <row r="583">
          <cell r="A583" t="str">
            <v>Cây hoa sữa đường kính thân 2 cm &lt; ĐK thân ≤5 cm</v>
          </cell>
          <cell r="F583">
            <v>0</v>
          </cell>
        </row>
        <row r="584">
          <cell r="A584" t="str">
            <v>Cây hoa sữa đường kính thân 5 cm &lt; ĐK thân ≤10 cm</v>
          </cell>
          <cell r="F584">
            <v>0</v>
          </cell>
        </row>
        <row r="585">
          <cell r="A585" t="str">
            <v>Cây hoa sữa đường kính thân 10 cm &lt; ĐK thân ≤15 cm</v>
          </cell>
          <cell r="F585">
            <v>0</v>
          </cell>
        </row>
        <row r="586">
          <cell r="A586" t="str">
            <v>Cây hoa sữa đường kính thân 15 cm &lt; ĐK thân ≤25 cm</v>
          </cell>
          <cell r="F586">
            <v>0</v>
          </cell>
        </row>
        <row r="587">
          <cell r="A587" t="str">
            <v>Cây hoa sữa đường kính thân 25 cm &lt; ĐK thân ≤40 cm</v>
          </cell>
          <cell r="F587">
            <v>0</v>
          </cell>
        </row>
        <row r="588">
          <cell r="A588" t="str">
            <v>Cây hoa sữa ĐK thân &gt; 40 cm</v>
          </cell>
          <cell r="F588">
            <v>0</v>
          </cell>
        </row>
        <row r="589">
          <cell r="A589" t="str">
            <v>Cây hoa gạo</v>
          </cell>
          <cell r="F589">
            <v>0</v>
          </cell>
        </row>
        <row r="590">
          <cell r="A590" t="str">
            <v>Cây hoa gạo giống mới trồng</v>
          </cell>
          <cell r="F590">
            <v>0</v>
          </cell>
        </row>
        <row r="591">
          <cell r="A591" t="str">
            <v>Cây hoa gạo đường kính thân 2 cm &lt; ĐK thân ≤5 cm</v>
          </cell>
          <cell r="F591">
            <v>0</v>
          </cell>
        </row>
        <row r="592">
          <cell r="A592" t="str">
            <v>Cây hoa gạo đường kính thân 5 cm &lt; ĐK thân ≤10 cm</v>
          </cell>
          <cell r="F592">
            <v>0</v>
          </cell>
        </row>
        <row r="593">
          <cell r="A593" t="str">
            <v>Cây hoa gạo đường kính thân 10 cm &lt; ĐK thân ≤15 cm</v>
          </cell>
          <cell r="F593">
            <v>0</v>
          </cell>
        </row>
        <row r="594">
          <cell r="A594" t="str">
            <v>Cây hoa gạo đường kính thân 15 cm &lt; ĐK thân ≤25 cm</v>
          </cell>
          <cell r="F594">
            <v>0</v>
          </cell>
        </row>
        <row r="595">
          <cell r="A595" t="str">
            <v>Cây hoa gạo đường kính thân 25 cm &lt; ĐK thân ≤40 cm</v>
          </cell>
          <cell r="F595">
            <v>0</v>
          </cell>
        </row>
        <row r="596">
          <cell r="A596" t="str">
            <v>Cây hoa gạo ĐK thân &gt; 40 cm</v>
          </cell>
          <cell r="F596">
            <v>0</v>
          </cell>
        </row>
        <row r="597">
          <cell r="A597" t="str">
            <v>Cây hoa đại</v>
          </cell>
          <cell r="F597">
            <v>0</v>
          </cell>
        </row>
        <row r="598">
          <cell r="A598" t="str">
            <v>Cây hoa đại Cây giống mới trồng</v>
          </cell>
          <cell r="F598">
            <v>0</v>
          </cell>
        </row>
        <row r="599">
          <cell r="A599" t="str">
            <v>Cây hoa đại đường kính thân 2 cm &lt; ĐK thân ≤5 cm</v>
          </cell>
          <cell r="F599">
            <v>0</v>
          </cell>
        </row>
        <row r="600">
          <cell r="A600" t="str">
            <v>Cây hoa đại đường kính thân 5 cm &lt; ĐK thân ≤10 cm</v>
          </cell>
          <cell r="F600">
            <v>0</v>
          </cell>
        </row>
        <row r="601">
          <cell r="A601" t="str">
            <v>Cây hoa đại đường kính thân 10 cm &lt; ĐK thân ≤15 cm</v>
          </cell>
          <cell r="F601">
            <v>0</v>
          </cell>
        </row>
        <row r="602">
          <cell r="A602" t="str">
            <v>Cây hoa đại đường kính thân 15 cm &lt; ĐK thân ≤25 cm</v>
          </cell>
          <cell r="F602">
            <v>0</v>
          </cell>
        </row>
        <row r="603">
          <cell r="A603" t="str">
            <v>Cây hoa đại đường kính thân 25 cm &lt; ĐK thân ≤40 cm</v>
          </cell>
          <cell r="F603">
            <v>0</v>
          </cell>
        </row>
        <row r="604">
          <cell r="A604" t="str">
            <v>Cây hoa đại ĐK thân &gt; 40 cm</v>
          </cell>
          <cell r="F604">
            <v>0</v>
          </cell>
        </row>
        <row r="605">
          <cell r="A605" t="str">
            <v>Cây hoa ban</v>
          </cell>
          <cell r="F605">
            <v>0</v>
          </cell>
        </row>
        <row r="606">
          <cell r="A606" t="str">
            <v>Cây hoa ban Cây giống mới trồng</v>
          </cell>
          <cell r="F606">
            <v>0</v>
          </cell>
        </row>
        <row r="607">
          <cell r="A607" t="str">
            <v>Cây hoa ban đường kính thân 2 cm &lt; ĐK thân ≤5 cm</v>
          </cell>
          <cell r="F607">
            <v>0</v>
          </cell>
        </row>
        <row r="608">
          <cell r="A608" t="str">
            <v>Cây hoa ban đường kính thân 5 cm &lt; ĐK thân ≤10 cm</v>
          </cell>
          <cell r="F608">
            <v>0</v>
          </cell>
        </row>
        <row r="609">
          <cell r="A609" t="str">
            <v>Cây hoa ban đường kính thân 10 cm &lt; ĐK thân ≤15 cm</v>
          </cell>
          <cell r="F609">
            <v>0</v>
          </cell>
        </row>
        <row r="610">
          <cell r="A610" t="str">
            <v>Cây hoa ban đường kính thân 15 cm &lt; ĐK thân ≤25 cm</v>
          </cell>
          <cell r="F610">
            <v>0</v>
          </cell>
        </row>
        <row r="611">
          <cell r="A611" t="str">
            <v>Cây hoa ban đường kính thân 25 cm &lt; ĐK thân ≤40 cm</v>
          </cell>
          <cell r="F611">
            <v>0</v>
          </cell>
        </row>
        <row r="612">
          <cell r="A612" t="str">
            <v>Cây hoa ban ĐK thân &gt;40 cm</v>
          </cell>
          <cell r="F612">
            <v>0</v>
          </cell>
        </row>
        <row r="613">
          <cell r="A613" t="str">
            <v>Cây móng bò</v>
          </cell>
          <cell r="F613">
            <v>0</v>
          </cell>
        </row>
        <row r="614">
          <cell r="A614" t="str">
            <v>Cây móng bò Cây giống mới trồng</v>
          </cell>
          <cell r="F614">
            <v>0</v>
          </cell>
        </row>
        <row r="615">
          <cell r="A615" t="str">
            <v>Cây móng bò đường kính thân 2 cm &lt; ĐK thân ≤5 cm</v>
          </cell>
          <cell r="F615">
            <v>0</v>
          </cell>
        </row>
        <row r="616">
          <cell r="A616" t="str">
            <v>Cây móng bò đường kính thân 5 cm &lt; ĐK thân ≤10 cm</v>
          </cell>
          <cell r="F616">
            <v>0</v>
          </cell>
        </row>
        <row r="617">
          <cell r="A617" t="str">
            <v>Cây móng bò đường kính thân 10 cm &lt; ĐK thân ≤15 cm</v>
          </cell>
          <cell r="F617">
            <v>0</v>
          </cell>
        </row>
        <row r="618">
          <cell r="A618" t="str">
            <v>Cây móng bò đường kính thân 15 cm &lt; ĐK thân ≤25 cm</v>
          </cell>
          <cell r="F618">
            <v>0</v>
          </cell>
        </row>
        <row r="619">
          <cell r="A619" t="str">
            <v>Cây móng bò đường kính thân 25 cm &lt; ĐK thân ≤40 cm</v>
          </cell>
          <cell r="F619">
            <v>0</v>
          </cell>
        </row>
        <row r="620">
          <cell r="A620" t="str">
            <v>Cây móng bò ĐK thân &gt;40 cm</v>
          </cell>
          <cell r="F620">
            <v>0</v>
          </cell>
        </row>
        <row r="621">
          <cell r="A621" t="str">
            <v>Cây phượng vĩ (bằng lăng, muồng, lim xẹt)</v>
          </cell>
          <cell r="F621">
            <v>0</v>
          </cell>
        </row>
        <row r="622">
          <cell r="A622" t="str">
            <v>Cây phượng vĩ (bằng lăng, muồng, lim xẹt) Cây giống mới trồng</v>
          </cell>
          <cell r="F622">
            <v>0</v>
          </cell>
        </row>
        <row r="623">
          <cell r="A623" t="str">
            <v>Cây phượng vĩ (bằng lăng, muồng, lim xẹt) đường kính thân 2 cm &lt; ĐK thân ≤5 cm</v>
          </cell>
          <cell r="F623">
            <v>0</v>
          </cell>
        </row>
        <row r="624">
          <cell r="A624" t="str">
            <v>Cây phượng vĩ (bằng lăng, muồng, lim xẹt) đường kính thân 5 cm &lt; ĐK thân ≤10 cm</v>
          </cell>
          <cell r="F624">
            <v>0</v>
          </cell>
        </row>
        <row r="625">
          <cell r="A625" t="str">
            <v>Cây phượng vĩ (bằng lăng, muồng, lim xẹt) đường kính thân 10 cm &lt; ĐK thân ≤15 cm</v>
          </cell>
          <cell r="F625">
            <v>0</v>
          </cell>
        </row>
        <row r="626">
          <cell r="A626" t="str">
            <v>Cây phượng vĩ (bằng lăng, muồng, lim xẹt) đường kính thân 15 cm &lt; ĐK thân ≤25 cm</v>
          </cell>
          <cell r="F626">
            <v>0</v>
          </cell>
        </row>
        <row r="627">
          <cell r="A627" t="str">
            <v>Cây phượng vĩ (bằng lăng, muồng, lim xẹt) đường kính thân 25 cm &lt; ĐK thân ≤40 cm</v>
          </cell>
          <cell r="F627">
            <v>0</v>
          </cell>
        </row>
        <row r="628">
          <cell r="A628" t="str">
            <v>Cây phượng vĩ (bằng lăng, muồng, lim xẹt) đường kính thân 40 cm &lt; ĐK thân ≤60 cm</v>
          </cell>
          <cell r="F628">
            <v>0</v>
          </cell>
        </row>
        <row r="629">
          <cell r="A629" t="str">
            <v>Cây phượng vĩ (bằng lăng, muồng, lim xẹt) ĐK thân &gt; 60 cm</v>
          </cell>
          <cell r="F629">
            <v>0</v>
          </cell>
        </row>
        <row r="630">
          <cell r="A630" t="str">
            <v>Cây long não, bồ đề</v>
          </cell>
          <cell r="F630">
            <v>0</v>
          </cell>
        </row>
        <row r="631">
          <cell r="A631" t="str">
            <v>Cây long não, bồ đề Giống đủ tiêu chuẩn mới trồng, chiều cao cây H ≤40cm</v>
          </cell>
          <cell r="F631">
            <v>0</v>
          </cell>
        </row>
        <row r="632">
          <cell r="A632" t="str">
            <v>Cây long não, bồ đề đường kính gốc 1cm &lt; ĐK gốc &lt; 3cm</v>
          </cell>
          <cell r="F632">
            <v>0</v>
          </cell>
        </row>
        <row r="633">
          <cell r="A633" t="str">
            <v>Cây long não, bồ đề đường kính gốc 3 cm ≤ ĐK gốc &lt; 5 cm</v>
          </cell>
          <cell r="F633">
            <v>0</v>
          </cell>
        </row>
        <row r="634">
          <cell r="A634" t="str">
            <v>Cây long não, bồ đề đường kính gốc 5cm ≤ ĐK gốc &lt; 10cm</v>
          </cell>
          <cell r="F634">
            <v>0</v>
          </cell>
        </row>
        <row r="635">
          <cell r="A635" t="str">
            <v>Cây long não, bồ đề đường kính gốc 10cm ≤ ĐK gốc &lt; 15cm</v>
          </cell>
          <cell r="F635">
            <v>0</v>
          </cell>
        </row>
        <row r="636">
          <cell r="A636" t="str">
            <v>Cây long não, bồ đề đường kính gốc 15cm ≤ ĐK gôc &lt; 20cm</v>
          </cell>
          <cell r="F636">
            <v>0</v>
          </cell>
        </row>
        <row r="637">
          <cell r="A637" t="str">
            <v>Cây long não, bồ đề đường kính gốc 20cm ≤ ĐK gốc &lt; 30cm</v>
          </cell>
          <cell r="F637">
            <v>0</v>
          </cell>
        </row>
        <row r="638">
          <cell r="A638" t="str">
            <v>Cây long não, bồ đề đường kính gốc 30cm ≤ ĐK gốc &lt; 40cm</v>
          </cell>
          <cell r="F638">
            <v>0</v>
          </cell>
        </row>
        <row r="639">
          <cell r="A639" t="str">
            <v>Cây long não, bồ đề ĐK gốc ≥ 40cm</v>
          </cell>
          <cell r="F639">
            <v>0</v>
          </cell>
        </row>
        <row r="640">
          <cell r="A640" t="str">
            <v>Sao đen</v>
          </cell>
          <cell r="F640">
            <v>0</v>
          </cell>
        </row>
        <row r="641">
          <cell r="A641" t="str">
            <v>Sao đen đường kính gốc 1 cm ≤ ĐK gốc &lt; 3cm</v>
          </cell>
          <cell r="F641">
            <v>0</v>
          </cell>
        </row>
        <row r="642">
          <cell r="A642" t="str">
            <v>Sao đen đường kính gốc 3 cm ≤ ĐK gốc &lt; 5cm</v>
          </cell>
          <cell r="F642">
            <v>0</v>
          </cell>
        </row>
        <row r="643">
          <cell r="A643" t="str">
            <v>Sao đen đường kính gốc 5cm ≤ ĐK gốc &lt; 7cm</v>
          </cell>
          <cell r="F643">
            <v>0</v>
          </cell>
        </row>
        <row r="644">
          <cell r="A644" t="str">
            <v>Sao đen đường kính gốc 7cm ≤ ĐK gốc &lt; 9cm</v>
          </cell>
          <cell r="F644">
            <v>0</v>
          </cell>
        </row>
        <row r="645">
          <cell r="A645" t="str">
            <v>Sao đen ĐK gốc ≥ 9cm</v>
          </cell>
          <cell r="F645">
            <v>0</v>
          </cell>
        </row>
        <row r="646">
          <cell r="A646" t="str">
            <v>Cây sưa</v>
          </cell>
          <cell r="F646">
            <v>0</v>
          </cell>
        </row>
        <row r="647">
          <cell r="A647" t="str">
            <v>Cây sưa Cây giống đủ tiêu chuẩn, mới trồng, chiều cao cây H ≥ 30cm</v>
          </cell>
          <cell r="F647">
            <v>0</v>
          </cell>
        </row>
        <row r="648">
          <cell r="A648" t="str">
            <v>Cây sưa đường kính thân 2 cm &lt; ĐK thân ≤5 cm</v>
          </cell>
          <cell r="F648">
            <v>0</v>
          </cell>
        </row>
        <row r="649">
          <cell r="A649" t="str">
            <v>Cây sưa đường kính thân 5 cm &lt; ĐK thân ≤10 cm</v>
          </cell>
          <cell r="F649">
            <v>0</v>
          </cell>
        </row>
        <row r="650">
          <cell r="A650" t="str">
            <v>Cây sưa đường kính thân 10 cm &lt; ĐK thân ≤15 cm</v>
          </cell>
          <cell r="F650">
            <v>0</v>
          </cell>
        </row>
        <row r="651">
          <cell r="A651" t="str">
            <v>Cây sưa đường kính thân 15 cm &lt; ĐK thân ≤25 cm</v>
          </cell>
          <cell r="F651">
            <v>0</v>
          </cell>
        </row>
        <row r="652">
          <cell r="A652" t="str">
            <v>Cây sưa đường kính thân 25 cm &lt; ĐK thân ≤40 cm</v>
          </cell>
          <cell r="F652">
            <v>0</v>
          </cell>
        </row>
        <row r="653">
          <cell r="A653" t="str">
            <v>Cây sưa đường kính thân 40 cm &lt; ĐK thân ≤ 60 cm</v>
          </cell>
          <cell r="F653">
            <v>0</v>
          </cell>
        </row>
        <row r="654">
          <cell r="A654" t="str">
            <v>Cây sưa ĐK thân &gt; 60 cm</v>
          </cell>
          <cell r="F654">
            <v>0</v>
          </cell>
        </row>
        <row r="655">
          <cell r="A655" t="str">
            <v>Cây trám</v>
          </cell>
          <cell r="F655">
            <v>0</v>
          </cell>
        </row>
        <row r="656">
          <cell r="A656" t="str">
            <v>Cây trám Mới trồng, đường kính gốc &lt; 2cm</v>
          </cell>
          <cell r="F656">
            <v>0</v>
          </cell>
        </row>
        <row r="657">
          <cell r="A657" t="str">
            <v>Cây trám đường kính gốc 2 cm &lt; ĐK gốc ≤ 5 cm</v>
          </cell>
          <cell r="F657">
            <v>0</v>
          </cell>
        </row>
        <row r="658">
          <cell r="A658" t="str">
            <v>Cây trám đường kính gốc 5 cm &lt; ĐK gốc ≤ 10 cm</v>
          </cell>
          <cell r="F658">
            <v>0</v>
          </cell>
        </row>
        <row r="659">
          <cell r="A659" t="str">
            <v>Cây trám đường kính gốc 10 cm &lt; ĐK gôc ≤ 15 cm</v>
          </cell>
          <cell r="F659">
            <v>0</v>
          </cell>
        </row>
        <row r="660">
          <cell r="A660" t="str">
            <v>Cây trám đường kính gốc 15 cm &lt; ĐK gốc ≤ 20 cm</v>
          </cell>
          <cell r="F660">
            <v>0</v>
          </cell>
        </row>
        <row r="661">
          <cell r="A661" t="str">
            <v>Cây trám đường kính gốc 20 cm &lt; ĐK gốc ≤ 25 cm</v>
          </cell>
          <cell r="F661">
            <v>0</v>
          </cell>
        </row>
        <row r="662">
          <cell r="A662" t="str">
            <v>Cây trám đường kính gốc 25 cm &lt; ĐK gốc ≤ 30 cm</v>
          </cell>
          <cell r="F662">
            <v>0</v>
          </cell>
        </row>
        <row r="663">
          <cell r="A663" t="str">
            <v>Cây trám ĐK gốc &gt; 30cm</v>
          </cell>
          <cell r="F663">
            <v>0</v>
          </cell>
        </row>
        <row r="664">
          <cell r="A664" t="str">
            <v>Cây xoan</v>
          </cell>
          <cell r="F664">
            <v>0</v>
          </cell>
        </row>
        <row r="665">
          <cell r="A665" t="str">
            <v>Cây xoan Cây giống mới trồng</v>
          </cell>
          <cell r="F665">
            <v>0</v>
          </cell>
        </row>
        <row r="666">
          <cell r="A666" t="str">
            <v>Cây xoan đường kính thân 2 cm &lt; ĐK thân ≤5 cm</v>
          </cell>
          <cell r="F666">
            <v>0</v>
          </cell>
        </row>
        <row r="667">
          <cell r="A667" t="str">
            <v>Cây xoan đường kính thân 5 cm &lt; ĐK thân ≤10 cm</v>
          </cell>
          <cell r="F667">
            <v>0</v>
          </cell>
        </row>
        <row r="668">
          <cell r="A668" t="str">
            <v>Cây xoan đường kính thân 10 cm &lt; ĐK thân ≤15 cm</v>
          </cell>
          <cell r="F668">
            <v>0</v>
          </cell>
        </row>
        <row r="669">
          <cell r="A669" t="str">
            <v>Cây xoan đường kính thân 15 cm &lt; ĐK thân ≤20 cm</v>
          </cell>
          <cell r="F669">
            <v>0</v>
          </cell>
        </row>
        <row r="670">
          <cell r="A670" t="str">
            <v>Cây xoan đường kính thân 20 cm &lt; ĐK thân ≤30 cm</v>
          </cell>
          <cell r="F670">
            <v>0</v>
          </cell>
        </row>
        <row r="671">
          <cell r="A671" t="str">
            <v>Cây xoan ĐK thân &gt; 30 cm</v>
          </cell>
          <cell r="F671">
            <v>0</v>
          </cell>
        </row>
        <row r="672">
          <cell r="A672" t="str">
            <v>Cây xà cừ (lát, sồi, lim xanh)</v>
          </cell>
          <cell r="F672">
            <v>0</v>
          </cell>
        </row>
        <row r="673">
          <cell r="A673" t="str">
            <v>Cây xà cừ (lát, sồi, lim xanh) Cây giống mới trồng</v>
          </cell>
          <cell r="F673">
            <v>0</v>
          </cell>
        </row>
        <row r="674">
          <cell r="A674" t="str">
            <v>Cây xà cừ (lát, sồi, lim xanh) đường kính thân 2 cm &lt; ĐK thân ≤5 cm</v>
          </cell>
          <cell r="F674">
            <v>0</v>
          </cell>
        </row>
        <row r="675">
          <cell r="A675" t="str">
            <v>Cây xà cừ (lát, sồi, lim xanh) 5 cm &lt; ĐK thân ≤10 cm</v>
          </cell>
          <cell r="F675">
            <v>0</v>
          </cell>
        </row>
        <row r="676">
          <cell r="A676" t="str">
            <v>Cây xà cừ (lát, sồi, lim xanh) 10 cm &lt; ĐK thân ≤15 cm</v>
          </cell>
          <cell r="F676">
            <v>0</v>
          </cell>
        </row>
        <row r="677">
          <cell r="A677" t="str">
            <v>Cây xà cừ (lát, sồi, lim xanh) 15 cm &lt; ĐK thân ≤25 cm</v>
          </cell>
          <cell r="F677">
            <v>0</v>
          </cell>
        </row>
        <row r="678">
          <cell r="A678" t="str">
            <v>Cây xà cừ (lát, sồi, lim xanh) 25 &lt; ĐK thân ≤40 cm</v>
          </cell>
          <cell r="F678">
            <v>0</v>
          </cell>
        </row>
        <row r="679">
          <cell r="A679" t="str">
            <v>Cây xà cừ (lát, sồi, lim xanh) 40 cm &lt; ĐK thân ≤60 cm</v>
          </cell>
          <cell r="F679">
            <v>0</v>
          </cell>
        </row>
        <row r="680">
          <cell r="A680" t="str">
            <v>Cây xà cừ (lát, sồi, lim xanh) ĐK thân &gt; 60 cm</v>
          </cell>
          <cell r="F680">
            <v>0</v>
          </cell>
        </row>
        <row r="681">
          <cell r="A681" t="str">
            <v>Cây bàng</v>
          </cell>
          <cell r="F681">
            <v>0</v>
          </cell>
        </row>
        <row r="682">
          <cell r="A682" t="str">
            <v>Cây bàng giống mới trồng</v>
          </cell>
          <cell r="F682">
            <v>0</v>
          </cell>
        </row>
        <row r="683">
          <cell r="A683" t="str">
            <v>Cây bàng đường kính thân 2 cm &lt; ĐK thân ≤5 cm</v>
          </cell>
          <cell r="F683">
            <v>0</v>
          </cell>
        </row>
        <row r="684">
          <cell r="A684" t="str">
            <v>Cây bàng đường kính thân 5 cm &lt; ĐK thân ≤10 cm</v>
          </cell>
          <cell r="F684">
            <v>0</v>
          </cell>
        </row>
        <row r="685">
          <cell r="A685" t="str">
            <v>Cây bàng đường kính thân 10 cm &lt; ĐK thân ≤15 cm</v>
          </cell>
          <cell r="F685">
            <v>0</v>
          </cell>
        </row>
        <row r="686">
          <cell r="A686" t="str">
            <v>Cây bàng đường kính thân 15 cm &lt; ĐK thân ≤20 cm</v>
          </cell>
          <cell r="F686">
            <v>0</v>
          </cell>
        </row>
        <row r="687">
          <cell r="A687" t="str">
            <v>Cây bàng đường kính thân 20 cm &lt; ĐK thân ≤30 cm</v>
          </cell>
          <cell r="F687">
            <v>0</v>
          </cell>
        </row>
        <row r="688">
          <cell r="A688" t="str">
            <v>Cây bàng ĐK thân &gt; 30 cm</v>
          </cell>
          <cell r="F688">
            <v>0</v>
          </cell>
        </row>
        <row r="689">
          <cell r="A689" t="str">
            <v>Cây trứng cá</v>
          </cell>
          <cell r="F689">
            <v>0</v>
          </cell>
        </row>
        <row r="690">
          <cell r="A690" t="str">
            <v>Cây trứng cá giống mới trồng</v>
          </cell>
          <cell r="F690">
            <v>0</v>
          </cell>
        </row>
        <row r="691">
          <cell r="A691" t="str">
            <v>Cây trứng cá đường kính thân 2 cm &lt; ĐK thân ≤5 cm</v>
          </cell>
          <cell r="F691">
            <v>0</v>
          </cell>
        </row>
        <row r="692">
          <cell r="A692" t="str">
            <v>Cây trứng cá đường kính thân 5 cm &lt; ĐK thân ≤10 cm</v>
          </cell>
          <cell r="F692">
            <v>0</v>
          </cell>
        </row>
        <row r="693">
          <cell r="A693" t="str">
            <v>Cây trứng cá đường kính thân 10 cm &lt; ĐK thân ≤15 cm</v>
          </cell>
          <cell r="F693">
            <v>0</v>
          </cell>
        </row>
        <row r="694">
          <cell r="A694" t="str">
            <v>Cây trứng cá đường kính thân 15 cm &lt; ĐK thân ≤20 cm</v>
          </cell>
          <cell r="F694">
            <v>0</v>
          </cell>
        </row>
        <row r="695">
          <cell r="A695" t="str">
            <v>Cây trứng cá đường kính thân 20 cm &lt; ĐK thân ≤30 cm</v>
          </cell>
          <cell r="F695">
            <v>0</v>
          </cell>
        </row>
        <row r="696">
          <cell r="A696" t="str">
            <v>Cây trứng cá ĐK thân &gt; 30 cm</v>
          </cell>
          <cell r="F696">
            <v>0</v>
          </cell>
        </row>
        <row r="697">
          <cell r="A697" t="str">
            <v>Cây bạch đàn</v>
          </cell>
          <cell r="F697">
            <v>0</v>
          </cell>
        </row>
        <row r="698">
          <cell r="A698" t="str">
            <v>Cây bạch đàn Cây giống mới trồng</v>
          </cell>
          <cell r="F698">
            <v>0</v>
          </cell>
        </row>
        <row r="699">
          <cell r="A699" t="str">
            <v>Cây bạch đàn đường kính thân 2 cm &lt; ĐK thân ≤5 cm</v>
          </cell>
          <cell r="F699">
            <v>0</v>
          </cell>
        </row>
        <row r="700">
          <cell r="A700" t="str">
            <v>Cây bạch đàn đường kính thân 5 cm &lt; ĐK thân ≤10 cm</v>
          </cell>
          <cell r="F700">
            <v>0</v>
          </cell>
        </row>
        <row r="701">
          <cell r="A701" t="str">
            <v>Cây bạch đàn đường kính thân 10 cm &lt; ĐK thân ≤20 cm</v>
          </cell>
          <cell r="F701">
            <v>0</v>
          </cell>
        </row>
        <row r="702">
          <cell r="A702" t="str">
            <v>Cây bạch đàn đường kính thân 20 cm &lt; ĐK thân ≤30 cm</v>
          </cell>
          <cell r="F702">
            <v>0</v>
          </cell>
        </row>
        <row r="703">
          <cell r="A703" t="str">
            <v>Cây bạch đàn đường kính thân 30 cm &lt; ĐK thân ≤40 cm</v>
          </cell>
          <cell r="F703">
            <v>0</v>
          </cell>
        </row>
        <row r="704">
          <cell r="A704" t="str">
            <v>Cây bạch đàn ĐK thân &gt; 40 cm</v>
          </cell>
          <cell r="F704">
            <v>0</v>
          </cell>
        </row>
        <row r="705">
          <cell r="A705" t="str">
            <v>Cây phi lao, thông</v>
          </cell>
          <cell r="F705">
            <v>0</v>
          </cell>
        </row>
        <row r="706">
          <cell r="A706" t="str">
            <v>Cây phi lao giống mới trồng</v>
          </cell>
          <cell r="F706">
            <v>0</v>
          </cell>
        </row>
        <row r="707">
          <cell r="A707" t="str">
            <v>Cây phi lao đường kính thân 2 cm &lt; ĐK thân ≤5 cm</v>
          </cell>
          <cell r="F707">
            <v>0</v>
          </cell>
        </row>
        <row r="708">
          <cell r="A708" t="str">
            <v>Cây phi lao đường kính thân 5 cm &lt; ĐK thân ≤10 cm</v>
          </cell>
          <cell r="F708">
            <v>0</v>
          </cell>
        </row>
        <row r="709">
          <cell r="A709" t="str">
            <v>Cây phi lao đường kính thân 10 cm &lt; ĐK thân ≤20 cm</v>
          </cell>
          <cell r="F709">
            <v>0</v>
          </cell>
        </row>
        <row r="710">
          <cell r="A710" t="str">
            <v>Cây phi lao đường kính thân 20cm &lt; ĐK thân ≤30 cm</v>
          </cell>
          <cell r="F710">
            <v>0</v>
          </cell>
        </row>
        <row r="711">
          <cell r="A711" t="str">
            <v>Cây phi lao đường kính thân 30 cm &lt; ĐK thân ≤40 cm</v>
          </cell>
          <cell r="F711">
            <v>0</v>
          </cell>
        </row>
        <row r="712">
          <cell r="A712" t="str">
            <v>Cây phi lao ĐK thân &gt; 40 cm</v>
          </cell>
          <cell r="F712">
            <v>0</v>
          </cell>
        </row>
        <row r="713">
          <cell r="A713" t="str">
            <v>Cây keo tai tượng</v>
          </cell>
          <cell r="F713">
            <v>0</v>
          </cell>
        </row>
        <row r="714">
          <cell r="A714" t="str">
            <v>Cây keo tai tượng giống mới trồng</v>
          </cell>
          <cell r="F714">
            <v>0</v>
          </cell>
        </row>
        <row r="715">
          <cell r="A715" t="str">
            <v>Cây keo tai tượng đường kính thân 2 cm &lt; ĐK thân ≤5 cm</v>
          </cell>
          <cell r="F715">
            <v>0</v>
          </cell>
        </row>
        <row r="716">
          <cell r="A716" t="str">
            <v>Cây keo tai tượng đường kính thân 5 cm &lt; ĐK thân &lt;10 cm</v>
          </cell>
          <cell r="F716">
            <v>0</v>
          </cell>
        </row>
        <row r="717">
          <cell r="A717" t="str">
            <v>Cây keo tai tượng đường kính thân 10 cm &lt; ĐK thân ≤20 cm</v>
          </cell>
          <cell r="F717">
            <v>0</v>
          </cell>
        </row>
        <row r="718">
          <cell r="A718" t="str">
            <v>Cây keo tai tượng đường kính thân 20 cm &lt; ĐK thân ≤30 cm</v>
          </cell>
          <cell r="F718">
            <v>0</v>
          </cell>
        </row>
        <row r="719">
          <cell r="A719" t="str">
            <v>Cây keo tai tượng đường kính thân 30 cm &lt; ĐK thân ≤40 cm</v>
          </cell>
          <cell r="F719">
            <v>0</v>
          </cell>
        </row>
        <row r="720">
          <cell r="A720" t="str">
            <v>Cây keo tai tượng ĐK thân &gt; 40 cm</v>
          </cell>
          <cell r="F720">
            <v>0</v>
          </cell>
        </row>
        <row r="721">
          <cell r="A721" t="str">
            <v>Cây liễu</v>
          </cell>
          <cell r="F721">
            <v>0</v>
          </cell>
        </row>
        <row r="722">
          <cell r="A722" t="str">
            <v>Cây liễu giống mới trồng</v>
          </cell>
          <cell r="F722">
            <v>0</v>
          </cell>
        </row>
        <row r="723">
          <cell r="A723" t="str">
            <v>Cây liễu đường kính thân 2 cm &lt; ĐK thân ≤5 cm</v>
          </cell>
          <cell r="F723">
            <v>0</v>
          </cell>
        </row>
        <row r="724">
          <cell r="A724" t="str">
            <v>Cây liễu đường kính thân 5 cm &lt; ĐK thân ≤10 cm</v>
          </cell>
          <cell r="F724">
            <v>0</v>
          </cell>
        </row>
        <row r="725">
          <cell r="A725" t="str">
            <v>Cây liễu đường kính thân 10 cm &lt; ĐK thân ≤15 cm</v>
          </cell>
          <cell r="F725">
            <v>0</v>
          </cell>
        </row>
        <row r="726">
          <cell r="A726" t="str">
            <v>Cây liễu đường kính thân 15 cm &lt; ĐK thân ≤25 cm</v>
          </cell>
          <cell r="F726">
            <v>0</v>
          </cell>
        </row>
        <row r="727">
          <cell r="A727" t="str">
            <v>Cây liễu ĐK thân &gt; 25 cm</v>
          </cell>
          <cell r="F727">
            <v>0</v>
          </cell>
        </row>
        <row r="728">
          <cell r="A728" t="str">
            <v>Cây lộc vừng</v>
          </cell>
          <cell r="F728">
            <v>0</v>
          </cell>
        </row>
        <row r="729">
          <cell r="A729" t="str">
            <v>Cây lộc vừng giống mới trồng</v>
          </cell>
          <cell r="F729">
            <v>0</v>
          </cell>
        </row>
        <row r="730">
          <cell r="A730" t="str">
            <v>Cây lộc vừng đường kính thân 2 cm &lt; ĐK thân ≤5 cm</v>
          </cell>
          <cell r="F730">
            <v>0</v>
          </cell>
        </row>
        <row r="731">
          <cell r="A731" t="str">
            <v>Cây lộc vừng đường kính thân 5 cm &lt; ĐK thân ≤10 cm</v>
          </cell>
          <cell r="F731">
            <v>0</v>
          </cell>
        </row>
        <row r="732">
          <cell r="A732" t="str">
            <v>Cây lộc vừng đường kính thân 10 cm &lt; ĐK thân ≤15 cm</v>
          </cell>
        </row>
        <row r="733">
          <cell r="A733" t="str">
            <v>Cây lộc vừng đường kính thân 15 cm &lt; ĐK thân ≤20 cm</v>
          </cell>
          <cell r="F733">
            <v>0</v>
          </cell>
        </row>
        <row r="734">
          <cell r="A734" t="str">
            <v>Cây lộc vừng đường kính thân 20 cm &lt; ĐK thân ≤25 cm</v>
          </cell>
          <cell r="F734">
            <v>0</v>
          </cell>
        </row>
        <row r="735">
          <cell r="A735" t="str">
            <v>Cây lộc vừng đường kính thân 25 cm &lt; ĐK thân ≤30 cm</v>
          </cell>
          <cell r="F735">
            <v>0</v>
          </cell>
        </row>
        <row r="736">
          <cell r="A736" t="str">
            <v>Cây lộc vừng ĐK thân &gt;30 cm</v>
          </cell>
          <cell r="F736">
            <v>0</v>
          </cell>
        </row>
        <row r="737">
          <cell r="A737" t="str">
            <v>Cây móng rồng</v>
          </cell>
          <cell r="F737">
            <v>0</v>
          </cell>
        </row>
        <row r="738">
          <cell r="A738" t="str">
            <v>Cây móng rồng giống</v>
          </cell>
          <cell r="F738">
            <v>0</v>
          </cell>
        </row>
        <row r="739">
          <cell r="A739" t="str">
            <v>Cây móng rồng đường kính thân 1 cm &lt; ĐK thân ≤3 cm</v>
          </cell>
          <cell r="F739">
            <v>0</v>
          </cell>
        </row>
        <row r="740">
          <cell r="A740" t="str">
            <v>Cây móng rồng đường kính thân 3 cm &lt; ĐK thân ≤5 cm</v>
          </cell>
          <cell r="F740">
            <v>0</v>
          </cell>
        </row>
        <row r="741">
          <cell r="A741" t="str">
            <v>Cây móng rồng đường kính thân 5 cm &lt; ĐK thân ≤10 cm</v>
          </cell>
          <cell r="F741">
            <v>0</v>
          </cell>
        </row>
        <row r="742">
          <cell r="A742" t="str">
            <v>Cây móng rồng đường kính thân 10 cm &lt; ĐK thân ≤15 cm</v>
          </cell>
          <cell r="F742">
            <v>0</v>
          </cell>
        </row>
        <row r="743">
          <cell r="A743" t="str">
            <v>Cây móng rồng ĐK thân &gt; 15 cm</v>
          </cell>
          <cell r="F743">
            <v>0</v>
          </cell>
        </row>
        <row r="744">
          <cell r="A744" t="str">
            <v>Cây đa (sanh, si, duối, bồ đề)</v>
          </cell>
          <cell r="F744">
            <v>0</v>
          </cell>
        </row>
        <row r="745">
          <cell r="A745" t="str">
            <v>Cây đa (sanh, si, duối, bồ đề) Cây giống mới trồng</v>
          </cell>
          <cell r="F745">
            <v>0</v>
          </cell>
        </row>
        <row r="746">
          <cell r="A746" t="str">
            <v>Cây đa (sanh, si, duối, bồ đề) đường kính thân 2 cm &lt; ĐK thân ≤5 cm</v>
          </cell>
          <cell r="F746">
            <v>0</v>
          </cell>
        </row>
        <row r="747">
          <cell r="A747" t="str">
            <v>Cây đa (sanh, si, duối, bồ đề) đường kính thân 5 cm &lt; ĐK thân ≤10 cm</v>
          </cell>
          <cell r="F747">
            <v>0</v>
          </cell>
        </row>
        <row r="748">
          <cell r="A748" t="str">
            <v>Cây đa (sanh, si, duối, bồ đề) đường kính thân 10 cm &lt; ĐK thân ≤15 cm</v>
          </cell>
          <cell r="F748">
            <v>0</v>
          </cell>
        </row>
        <row r="749">
          <cell r="A749" t="str">
            <v>Cây đa (sanh, si, duối, bồ đề) đường kính thân 15 cm &lt; ĐK thân ≤25 cm</v>
          </cell>
          <cell r="F749">
            <v>0</v>
          </cell>
        </row>
        <row r="750">
          <cell r="A750" t="str">
            <v>Cây đa (sanh, si, duối, bồ đề) đường kính thân 25 cm &lt; ĐK thân ≤40 cm</v>
          </cell>
          <cell r="F750">
            <v>0</v>
          </cell>
        </row>
        <row r="751">
          <cell r="A751" t="str">
            <v>Cây đa (sanh, si, duối, bồ đề) đường kính thân 40 cm &lt; ĐK thân ≤60 cm</v>
          </cell>
          <cell r="F751">
            <v>0</v>
          </cell>
        </row>
        <row r="752">
          <cell r="A752" t="str">
            <v>Cây đa (sanh, si, duối, bồ đề) ĐK thân &gt; 60 cm</v>
          </cell>
          <cell r="F752">
            <v>0</v>
          </cell>
        </row>
        <row r="753">
          <cell r="A753" t="str">
            <v>Cây sộp (Túc)</v>
          </cell>
          <cell r="F753">
            <v>0</v>
          </cell>
        </row>
        <row r="754">
          <cell r="A754" t="str">
            <v>Cây sộp (Túc) Cây giống đủ tiêu chuẩn mới trồng, chiều cao cây H &lt; 40cm</v>
          </cell>
          <cell r="F754">
            <v>0</v>
          </cell>
        </row>
        <row r="755">
          <cell r="A755" t="str">
            <v>Cây sộp (Túc) đường kính thân 10 cm &lt; ĐK thân ≤15 cm</v>
          </cell>
          <cell r="F755">
            <v>0</v>
          </cell>
        </row>
        <row r="756">
          <cell r="A756" t="str">
            <v>Cây sộp (Túc) đường kính thân 15 cm &lt; ĐK thân ≤20 cm</v>
          </cell>
          <cell r="F756">
            <v>0</v>
          </cell>
        </row>
        <row r="757">
          <cell r="A757" t="str">
            <v>Cây sộp (Túc) đường kính thân 20 cm &lt; ĐK thân ≤30 cm</v>
          </cell>
          <cell r="F757">
            <v>0</v>
          </cell>
        </row>
        <row r="758">
          <cell r="A758" t="str">
            <v>Cây sộp (Túc) đường kính thân 30 cm&lt; ĐK thân ≤40cm</v>
          </cell>
          <cell r="F758">
            <v>0</v>
          </cell>
        </row>
        <row r="759">
          <cell r="A759" t="str">
            <v>Cây sộp (Túc) ĐK thân &gt; 40 cm</v>
          </cell>
          <cell r="F759">
            <v>0</v>
          </cell>
        </row>
        <row r="760">
          <cell r="A760" t="str">
            <v>Cây gáo</v>
          </cell>
          <cell r="F760">
            <v>0</v>
          </cell>
        </row>
        <row r="761">
          <cell r="A761" t="str">
            <v>Cây gáo Giống đủ tiêu chuẩn mới trồng, chiều cao cây H ≥ 40cm</v>
          </cell>
          <cell r="F761">
            <v>0</v>
          </cell>
        </row>
        <row r="762">
          <cell r="A762" t="str">
            <v>Cây gáo đường kính gốc 1cm ≤ ĐK gốc &lt; 3cm</v>
          </cell>
          <cell r="F762">
            <v>0</v>
          </cell>
        </row>
        <row r="763">
          <cell r="A763" t="str">
            <v>Cây gáo đường kính gốc 3 cm ≤ ĐK gốc &lt; 5 cm</v>
          </cell>
          <cell r="F763">
            <v>0</v>
          </cell>
        </row>
        <row r="764">
          <cell r="A764" t="str">
            <v>Cây gáo đường kính gốc 5cm ≤ ĐK gốc &lt; 10cm</v>
          </cell>
          <cell r="F764">
            <v>0</v>
          </cell>
        </row>
        <row r="765">
          <cell r="A765" t="str">
            <v>Cây gáo đường kính gốc 10cm ≤ ĐK gốc &lt; 15cm</v>
          </cell>
          <cell r="F765">
            <v>0</v>
          </cell>
        </row>
        <row r="766">
          <cell r="A766" t="str">
            <v>Cây gáo đường kính gốc 15cm ≤ ĐK gốc &lt; 20cm</v>
          </cell>
          <cell r="F766">
            <v>0</v>
          </cell>
        </row>
        <row r="767">
          <cell r="A767" t="str">
            <v>Cây gáo đường kính gốc 20cm ≤ ĐK gốc &lt; 30cm</v>
          </cell>
          <cell r="F767">
            <v>0</v>
          </cell>
        </row>
        <row r="768">
          <cell r="A768" t="str">
            <v>Cây gáo đường kính gốc 30cm ≤ ĐK gốc &lt; 40cm</v>
          </cell>
          <cell r="F768">
            <v>0</v>
          </cell>
        </row>
        <row r="769">
          <cell r="A769" t="str">
            <v>Cây gáo ĐK gốc ≥  40cm</v>
          </cell>
          <cell r="F769">
            <v>0</v>
          </cell>
        </row>
        <row r="770">
          <cell r="A770" t="str">
            <v>Cây vọng cách</v>
          </cell>
          <cell r="F770">
            <v>0</v>
          </cell>
        </row>
        <row r="771">
          <cell r="A771" t="str">
            <v>Cây vọng cách Cây giống mới trồng</v>
          </cell>
          <cell r="F771">
            <v>0</v>
          </cell>
        </row>
        <row r="772">
          <cell r="A772" t="str">
            <v>Cây vọng cách đường kính thân 2 cm &lt; ĐK thân ≤5 cm</v>
          </cell>
          <cell r="F772">
            <v>0</v>
          </cell>
        </row>
        <row r="773">
          <cell r="A773" t="str">
            <v>Cây vọng cách đường kính thân 5 cm &lt; ĐK thân ≤10 cm</v>
          </cell>
          <cell r="F773">
            <v>0</v>
          </cell>
        </row>
        <row r="774">
          <cell r="A774" t="str">
            <v>Cây vọng cách đường kính thân 10 cm &lt; ĐK thân ≤15 cm</v>
          </cell>
          <cell r="F774">
            <v>0</v>
          </cell>
        </row>
        <row r="775">
          <cell r="A775" t="str">
            <v>Cây vọng cách đường kính thân 15 cm &lt; ĐK thân ≤20 cm</v>
          </cell>
          <cell r="F775">
            <v>0</v>
          </cell>
        </row>
        <row r="776">
          <cell r="A776" t="str">
            <v>Cây vọng cách đường kính thân 20 cm &lt; ĐK thân ≤30 cm</v>
          </cell>
          <cell r="F776">
            <v>0</v>
          </cell>
        </row>
        <row r="777">
          <cell r="A777" t="str">
            <v>Cây vọng cách đường kính thân 30 cm &lt; ĐK thân ≤40 cm</v>
          </cell>
          <cell r="F777">
            <v>0</v>
          </cell>
        </row>
        <row r="778">
          <cell r="A778" t="str">
            <v>Cây vọng cách ĐK thân &gt; 40 cm</v>
          </cell>
          <cell r="F778">
            <v>0</v>
          </cell>
        </row>
        <row r="779">
          <cell r="A779" t="str">
            <v>Muồng Hoàng yến (Osaka vàng)</v>
          </cell>
          <cell r="F779">
            <v>0</v>
          </cell>
        </row>
        <row r="780">
          <cell r="A780" t="str">
            <v>Muồng Hoàng yến (Osaka vàng) Giống đủ tiêu chuẩn mới trồng, chiều cao cây H  ≤40cm</v>
          </cell>
          <cell r="F780">
            <v>0</v>
          </cell>
        </row>
        <row r="781">
          <cell r="A781" t="str">
            <v>Muồng Hoàng yến (Osaka vàng) đường kính gốc 1 cm  ≤ ĐK gốc &lt; 3 cm</v>
          </cell>
          <cell r="F781">
            <v>0</v>
          </cell>
        </row>
        <row r="782">
          <cell r="A782" t="str">
            <v>Muồng Hoàng yến (Osaka vàng) đường kính gốc 3 cm  ≤ ĐK gốc &lt; 5 cm</v>
          </cell>
          <cell r="F782">
            <v>0</v>
          </cell>
        </row>
        <row r="783">
          <cell r="A783" t="str">
            <v>Muồng Hoàng yến (Osaka vàng) đường kính gốc 5cm  ≤ ĐK gốc &lt; 10cm</v>
          </cell>
          <cell r="F783">
            <v>0</v>
          </cell>
        </row>
        <row r="784">
          <cell r="A784" t="str">
            <v>Muồng Hoàng yến (Osaka vàng) đường kính gốc 10cm  ≤ ĐK gốc &lt; 15cm</v>
          </cell>
          <cell r="F784">
            <v>0</v>
          </cell>
        </row>
        <row r="785">
          <cell r="A785" t="str">
            <v>Muồng Hoàng yến (Osaka vàng) đường kính gốc 15cm  ≤ ĐK gốc &lt; 20cm</v>
          </cell>
          <cell r="F785">
            <v>0</v>
          </cell>
        </row>
        <row r="786">
          <cell r="A786" t="str">
            <v>Muồng Hoàng yến (Osaka vàng) đường kính gốc 20cm  ≤ ĐK gốc &lt; 30cm</v>
          </cell>
          <cell r="F786">
            <v>0</v>
          </cell>
        </row>
        <row r="787">
          <cell r="A787" t="str">
            <v>Muồng Hoàng yến (Osaka vàng) đường kính gốc 30cm  ≤ ĐK gốc &lt; 40cm</v>
          </cell>
          <cell r="F787">
            <v>0</v>
          </cell>
        </row>
        <row r="788">
          <cell r="A788" t="str">
            <v>Muồng Hoàng yến (Osaka vàng) ĐK gốc ≥ 40cm</v>
          </cell>
          <cell r="F788">
            <v>0</v>
          </cell>
        </row>
        <row r="789">
          <cell r="A789" t="str">
            <v>Cây bồ kết</v>
          </cell>
          <cell r="F789">
            <v>0</v>
          </cell>
        </row>
        <row r="790">
          <cell r="A790" t="str">
            <v>Cây bồ kết Cây giống đủ tiêu chuẩn mới trồng, chiều cao cây H ≥ 40cm</v>
          </cell>
          <cell r="F790">
            <v>0</v>
          </cell>
        </row>
        <row r="791">
          <cell r="A791" t="str">
            <v>Cây bồ kết đường kính gốc 1 cm ≤ ĐK gốc &lt; 2cm</v>
          </cell>
          <cell r="F791">
            <v>0</v>
          </cell>
        </row>
        <row r="792">
          <cell r="A792" t="str">
            <v>Cây bồ kết đường kính gốc 2cm ≤ ĐK gốc &lt; 5cm</v>
          </cell>
          <cell r="F792">
            <v>0</v>
          </cell>
        </row>
        <row r="793">
          <cell r="A793" t="str">
            <v>Cây bồ kết đường kính gốc 5cm ≤ ĐK gốc &lt; 7cm</v>
          </cell>
          <cell r="F793">
            <v>0</v>
          </cell>
        </row>
        <row r="794">
          <cell r="A794" t="str">
            <v>Cây bồ kết đường kính gốc 7cm ≤ ĐK gốc &lt; 9cm</v>
          </cell>
          <cell r="F794">
            <v>0</v>
          </cell>
        </row>
        <row r="795">
          <cell r="A795" t="str">
            <v>Cây bồ kết đường kính gốc 9cm ≤ ĐK gốc &lt; 12cm</v>
          </cell>
          <cell r="F795">
            <v>0</v>
          </cell>
        </row>
        <row r="796">
          <cell r="A796" t="str">
            <v>Cây bồ kết đường kính gốc 12cm ≤ ĐK gốc &lt; 15cm</v>
          </cell>
          <cell r="F796">
            <v>0</v>
          </cell>
        </row>
        <row r="797">
          <cell r="A797" t="str">
            <v>Cây bồ kết đường kính gốc 15cm ≤ ĐK gốc &lt; 20cm</v>
          </cell>
          <cell r="F797">
            <v>0</v>
          </cell>
        </row>
        <row r="798">
          <cell r="A798" t="str">
            <v>Cây bồ kết đường kính gốc 20cm ≤ ĐK gốc &lt; 25cm</v>
          </cell>
          <cell r="F798">
            <v>0</v>
          </cell>
        </row>
        <row r="799">
          <cell r="A799" t="str">
            <v>Cây bồ kết đường kính gốc 25cm ≤ ĐK gốc &lt; 30cm</v>
          </cell>
          <cell r="F799">
            <v>0</v>
          </cell>
        </row>
        <row r="800">
          <cell r="A800" t="str">
            <v>Cây bồ kết đường kính gốc 30cm ≤ ĐK gốc &lt; 35cm</v>
          </cell>
          <cell r="F800">
            <v>0</v>
          </cell>
        </row>
        <row r="801">
          <cell r="A801" t="str">
            <v>Cây bồ kết đường kính gốc 35cm ≤ ĐK gốc &lt; 50cm</v>
          </cell>
          <cell r="F801">
            <v>0</v>
          </cell>
        </row>
        <row r="802">
          <cell r="A802" t="str">
            <v>Cây bồ kết ĐK gốc ≥ 50cm</v>
          </cell>
          <cell r="F802">
            <v>0</v>
          </cell>
        </row>
        <row r="803">
          <cell r="A803" t="str">
            <v>Cây vông</v>
          </cell>
          <cell r="F803">
            <v>0</v>
          </cell>
        </row>
        <row r="804">
          <cell r="A804" t="str">
            <v>Cây vông giống mới trồng</v>
          </cell>
          <cell r="F804">
            <v>0</v>
          </cell>
        </row>
        <row r="805">
          <cell r="A805" t="str">
            <v>Cây vông đường kính thân 2 cm &lt; ĐK thân ≤5 cm</v>
          </cell>
          <cell r="F805">
            <v>0</v>
          </cell>
        </row>
        <row r="806">
          <cell r="A806" t="str">
            <v>Cây vông đường kính thân 5 cm &lt; ĐK thân ≤10 cm</v>
          </cell>
          <cell r="F806">
            <v>0</v>
          </cell>
        </row>
        <row r="807">
          <cell r="A807" t="str">
            <v>Cây vông đường kính thân 10 cm &lt; ĐK thân ≤15 cm</v>
          </cell>
          <cell r="F807">
            <v>0</v>
          </cell>
        </row>
        <row r="808">
          <cell r="A808" t="str">
            <v>Cây vông đường kính thân 15 cm &lt; ĐK thân ≤25 cm</v>
          </cell>
          <cell r="F808">
            <v>0</v>
          </cell>
        </row>
        <row r="809">
          <cell r="A809" t="str">
            <v>Cây vông đường kính thân 25 cm &lt; ĐK thân ≤40 cm</v>
          </cell>
          <cell r="F809">
            <v>0</v>
          </cell>
        </row>
        <row r="810">
          <cell r="A810" t="str">
            <v>Cây vông đường kính thân 40 cm &lt; ĐK thân ≤60 cm</v>
          </cell>
          <cell r="F810">
            <v>0</v>
          </cell>
        </row>
        <row r="811">
          <cell r="A811" t="str">
            <v>Cây vông ĐK thân &gt; 60 cm</v>
          </cell>
          <cell r="F811">
            <v>0</v>
          </cell>
        </row>
        <row r="812">
          <cell r="A812" t="str">
            <v>Cây tre hóa</v>
          </cell>
          <cell r="F812">
            <v>0</v>
          </cell>
        </row>
        <row r="813">
          <cell r="A813" t="str">
            <v>Cây tre hóa Cây giống đủ tiêu chuẩn mới trồng</v>
          </cell>
          <cell r="F813">
            <v>0</v>
          </cell>
        </row>
        <row r="814">
          <cell r="A814" t="str">
            <v>Cây tre hóa đường kính thân 2 cm &lt; ĐK thân ≤5 cm</v>
          </cell>
          <cell r="F814">
            <v>0</v>
          </cell>
        </row>
        <row r="815">
          <cell r="A815" t="str">
            <v>Cây tre hóa đường kính thân 5 cm &lt; ĐK thân ≤10 cm</v>
          </cell>
          <cell r="F815">
            <v>0</v>
          </cell>
        </row>
        <row r="816">
          <cell r="A816" t="str">
            <v>Cây tre hóa ĐK thân &gt; 10 cm</v>
          </cell>
          <cell r="F816">
            <v>0</v>
          </cell>
        </row>
        <row r="817">
          <cell r="A817" t="str">
            <v>Cây cau bụng</v>
          </cell>
          <cell r="F817">
            <v>0</v>
          </cell>
        </row>
        <row r="818">
          <cell r="A818" t="str">
            <v>Cây cau bụng Cây giống mới trồng</v>
          </cell>
          <cell r="F818">
            <v>0</v>
          </cell>
        </row>
        <row r="819">
          <cell r="A819" t="str">
            <v>Cây cau bụng đường kính thân 2 cm&lt; ĐK thân ≤5 cm</v>
          </cell>
          <cell r="F819">
            <v>0</v>
          </cell>
        </row>
        <row r="820">
          <cell r="A820" t="str">
            <v>Cây cau bụng đường kính thân 5 cm &lt; ĐK thân ≤10 cm</v>
          </cell>
          <cell r="F820">
            <v>0</v>
          </cell>
        </row>
        <row r="821">
          <cell r="A821" t="str">
            <v>Cây cau bụng đường kính thân 10 cm &lt; ĐK thân ≤15 cm</v>
          </cell>
          <cell r="F821">
            <v>0</v>
          </cell>
        </row>
        <row r="822">
          <cell r="A822" t="str">
            <v>Cây cau bụng đường kính thân 15 cm &lt; ĐK thân ≤25 cm</v>
          </cell>
          <cell r="F822">
            <v>0</v>
          </cell>
        </row>
        <row r="823">
          <cell r="A823" t="str">
            <v>Cây cau bụng đường kính thân 25 cm &lt; ĐK thân ≤40 cm</v>
          </cell>
          <cell r="F823">
            <v>0</v>
          </cell>
        </row>
        <row r="824">
          <cell r="A824" t="str">
            <v>Cây cau bụng ĐK thân &gt; 40 cm</v>
          </cell>
          <cell r="F824">
            <v>0</v>
          </cell>
        </row>
        <row r="825">
          <cell r="A825" t="str">
            <v>Cây cau sâm panh</v>
          </cell>
          <cell r="F825">
            <v>0</v>
          </cell>
        </row>
        <row r="826">
          <cell r="A826" t="str">
            <v>Cây cau sâm panh Cây giống mới trồng</v>
          </cell>
          <cell r="F826">
            <v>0</v>
          </cell>
        </row>
        <row r="827">
          <cell r="A827" t="str">
            <v>Cây cau sâm panh đường kính thân 2 cm &lt; ĐK thân ≤5 cm</v>
          </cell>
          <cell r="F827">
            <v>0</v>
          </cell>
        </row>
        <row r="828">
          <cell r="A828" t="str">
            <v>Cây cau sâm panh đường kính thân 5 cm &lt; ĐK thân ≤10 cm</v>
          </cell>
          <cell r="F828">
            <v>0</v>
          </cell>
        </row>
        <row r="829">
          <cell r="A829" t="str">
            <v>Cây cau sâm panh đường kính thân 10 cm &lt; ĐK thân ≤15 cm</v>
          </cell>
          <cell r="F829">
            <v>0</v>
          </cell>
        </row>
        <row r="830">
          <cell r="A830" t="str">
            <v>Cây cau sâm panh đường kính thân 15 cm &lt; ĐK thân ≤25 cm</v>
          </cell>
          <cell r="F830">
            <v>0</v>
          </cell>
        </row>
        <row r="831">
          <cell r="A831" t="str">
            <v>Cây cau sâm panh đường kính thân 25 cm &lt; ĐK thân ≤40 cm</v>
          </cell>
          <cell r="F831">
            <v>0</v>
          </cell>
        </row>
        <row r="832">
          <cell r="A832" t="str">
            <v>Cây cau sâm panh đường kính thân 40 cm &lt; ĐK thân ≤60 cm</v>
          </cell>
          <cell r="F832">
            <v>0</v>
          </cell>
        </row>
        <row r="833">
          <cell r="A833" t="str">
            <v>Cây cau sâm panh ĐK thân &gt; 60 cm</v>
          </cell>
          <cell r="F833">
            <v>0</v>
          </cell>
        </row>
        <row r="834">
          <cell r="A834" t="str">
            <v>Cây cần thăng</v>
          </cell>
          <cell r="F834">
            <v>0</v>
          </cell>
        </row>
        <row r="835">
          <cell r="A835" t="str">
            <v>Cây cần thăng Cây giống mới trồng</v>
          </cell>
          <cell r="F835">
            <v>0</v>
          </cell>
        </row>
        <row r="836">
          <cell r="A836" t="str">
            <v>Cây cần thăng đường kính thân 2 cm &lt; ĐK thân ≤5 cm</v>
          </cell>
          <cell r="F836">
            <v>0</v>
          </cell>
        </row>
        <row r="837">
          <cell r="A837" t="str">
            <v>Cây cần thăng đường kính thân 5 cm &lt; ĐK thân ≤  10 cm</v>
          </cell>
          <cell r="F837">
            <v>0</v>
          </cell>
        </row>
        <row r="838">
          <cell r="A838" t="str">
            <v>Cây cần thăng đường kính thân 10 cm &lt; ĐK thân ≤ 15 cm</v>
          </cell>
          <cell r="F838">
            <v>0</v>
          </cell>
        </row>
        <row r="839">
          <cell r="A839" t="str">
            <v>Cây cần thăng ĐK thân &gt; 15 cm</v>
          </cell>
          <cell r="F839">
            <v>0</v>
          </cell>
        </row>
        <row r="840">
          <cell r="A840" t="str">
            <v>Cây hoa trà</v>
          </cell>
          <cell r="F840">
            <v>0</v>
          </cell>
        </row>
        <row r="841">
          <cell r="A841" t="str">
            <v>Cây hoa trà Cây giống mới trồng</v>
          </cell>
          <cell r="F841">
            <v>0</v>
          </cell>
        </row>
        <row r="842">
          <cell r="A842" t="str">
            <v>Cây hoa trà đường kính thân 0,5 cm &lt; ĐK thân ≤3 cm</v>
          </cell>
          <cell r="F842">
            <v>0</v>
          </cell>
        </row>
        <row r="843">
          <cell r="A843" t="str">
            <v>Cây hoa trà đường kính thân 3 cm &lt; ĐK thân ≤5 cm</v>
          </cell>
          <cell r="F843">
            <v>0</v>
          </cell>
        </row>
        <row r="844">
          <cell r="A844" t="str">
            <v>Cây hoa trà đường kính thân 5 cm &lt; ĐK thân ≤8 cm</v>
          </cell>
          <cell r="F844">
            <v>0</v>
          </cell>
        </row>
        <row r="845">
          <cell r="A845" t="str">
            <v>Cây hoa trà ĐK thân &gt; 8 cm</v>
          </cell>
          <cell r="F845">
            <v>0</v>
          </cell>
        </row>
        <row r="846">
          <cell r="A846" t="str">
            <v>Cây hải đường</v>
          </cell>
          <cell r="F846">
            <v>0</v>
          </cell>
        </row>
        <row r="847">
          <cell r="A847" t="str">
            <v>Cây hải đường Cây giống đủ tiêu chuẩn mới trồng</v>
          </cell>
          <cell r="F847">
            <v>0</v>
          </cell>
        </row>
        <row r="848">
          <cell r="A848" t="str">
            <v>Cây hải đường  đường kính thân 0,5 cm &lt; ĐK thân ≤3 cm</v>
          </cell>
          <cell r="F848">
            <v>0</v>
          </cell>
        </row>
        <row r="849">
          <cell r="A849" t="str">
            <v>Cây hải đường  đường kính thân 3 cm &lt; ĐK thân ≤5 cm</v>
          </cell>
          <cell r="F849">
            <v>0</v>
          </cell>
        </row>
        <row r="850">
          <cell r="A850" t="str">
            <v>Cây hải đường  đường kính thân 5 cm &lt; ĐK thân ≤8 cm</v>
          </cell>
          <cell r="F850">
            <v>0</v>
          </cell>
        </row>
        <row r="851">
          <cell r="A851" t="str">
            <v>Cây hải đường ĐK thân &gt; 8 cm</v>
          </cell>
          <cell r="F851">
            <v>0</v>
          </cell>
        </row>
        <row r="852">
          <cell r="A852" t="str">
            <v>Cây tường vi</v>
          </cell>
          <cell r="F852">
            <v>0</v>
          </cell>
        </row>
        <row r="853">
          <cell r="A853" t="str">
            <v>Cây tường vi Cây giống mới trồng</v>
          </cell>
          <cell r="F853">
            <v>0</v>
          </cell>
        </row>
        <row r="854">
          <cell r="A854" t="str">
            <v>Cây tường vi đường kính thân 2 cm &lt; ĐK thân ≤5 cm</v>
          </cell>
          <cell r="F854">
            <v>0</v>
          </cell>
        </row>
        <row r="855">
          <cell r="A855" t="str">
            <v>Cây tường vi đường kính thân 5 cm &lt; ĐK thân ≤10 cm</v>
          </cell>
          <cell r="F855">
            <v>0</v>
          </cell>
        </row>
        <row r="856">
          <cell r="A856" t="str">
            <v>Cây tường vi ĐKthân&gt; 10 cm</v>
          </cell>
          <cell r="F856">
            <v>0</v>
          </cell>
        </row>
        <row r="857">
          <cell r="A857" t="str">
            <v>Cây mai tứ quý</v>
          </cell>
          <cell r="F857">
            <v>0</v>
          </cell>
        </row>
        <row r="858">
          <cell r="A858" t="str">
            <v>Cây mai tứ quý Cây giống mới trồng</v>
          </cell>
          <cell r="F858">
            <v>0</v>
          </cell>
        </row>
        <row r="859">
          <cell r="A859" t="str">
            <v>Cây mai tứ quý đường kính thân 2 cm &lt; ĐK thân ≤5 cm</v>
          </cell>
          <cell r="F859">
            <v>0</v>
          </cell>
        </row>
        <row r="860">
          <cell r="A860" t="str">
            <v>Cây mai tứ quý đường kính thân 5 cm &lt; ĐK thân ≤10 cm</v>
          </cell>
          <cell r="F860">
            <v>0</v>
          </cell>
        </row>
        <row r="861">
          <cell r="A861" t="str">
            <v>Cây mai tứ quý đường kính thân 10 cm &lt; ĐK thân ≤15 cm</v>
          </cell>
          <cell r="F861">
            <v>0</v>
          </cell>
        </row>
        <row r="862">
          <cell r="A862" t="str">
            <v>Cây mai tứ quý ĐKthân&gt; 15 cm</v>
          </cell>
          <cell r="F862">
            <v>0</v>
          </cell>
        </row>
        <row r="863">
          <cell r="A863" t="str">
            <v>Cây mai chiếu thủy</v>
          </cell>
          <cell r="F863">
            <v>0</v>
          </cell>
        </row>
        <row r="864">
          <cell r="A864" t="str">
            <v>Cây mai chiếu thủy Cây giống mới trồng</v>
          </cell>
          <cell r="F864">
            <v>0</v>
          </cell>
        </row>
        <row r="865">
          <cell r="A865" t="str">
            <v>Cây mai chiếu thủy đường kính thân 2 cm &lt; ĐK thân ≤5 cm</v>
          </cell>
          <cell r="F865">
            <v>0</v>
          </cell>
        </row>
        <row r="866">
          <cell r="A866" t="str">
            <v>Cây mai chiếu thủy đường kính thân 5 cm &lt; ĐK thân ≤10 cm</v>
          </cell>
          <cell r="F866">
            <v>0</v>
          </cell>
        </row>
        <row r="867">
          <cell r="A867" t="str">
            <v>Cây mai chiếu thủy đường kính thân 10 cm &lt; ĐK thân ≤15 cm</v>
          </cell>
          <cell r="F867">
            <v>0</v>
          </cell>
        </row>
        <row r="868">
          <cell r="A868" t="str">
            <v>Cây mai chiếu thủy ĐKthân&gt;15cm</v>
          </cell>
          <cell r="F868">
            <v>0</v>
          </cell>
        </row>
        <row r="869">
          <cell r="A869" t="str">
            <v>Cây mộc hương, cây hạnh phúc</v>
          </cell>
          <cell r="F869">
            <v>0</v>
          </cell>
        </row>
        <row r="870">
          <cell r="A870" t="str">
            <v>Cây mộc hương, cây hạnh phúc Cây giống mới trồng</v>
          </cell>
          <cell r="F870">
            <v>0</v>
          </cell>
        </row>
        <row r="871">
          <cell r="A871" t="str">
            <v>Cây mộc hương, cây hạnh phúc đường kính thân 2 cm &lt; ĐK thân ≤5 cm</v>
          </cell>
          <cell r="F871">
            <v>0</v>
          </cell>
        </row>
        <row r="872">
          <cell r="A872" t="str">
            <v>Cây mộc hương, cây hạnh phúc đường kính thân 5 cm &lt; ĐK thân ≤10 cm</v>
          </cell>
          <cell r="F872">
            <v>0</v>
          </cell>
        </row>
        <row r="873">
          <cell r="A873" t="str">
            <v>Cây mộc hương, cây hạnh phúc đường kính thân 10 cm &lt; ĐK thân ≤15 cm</v>
          </cell>
          <cell r="F873">
            <v>0</v>
          </cell>
        </row>
        <row r="874">
          <cell r="A874" t="str">
            <v>Cây mộc hương, cây hạnh phúc ĐK thân &gt; 15 cm</v>
          </cell>
          <cell r="F874">
            <v>0</v>
          </cell>
        </row>
        <row r="875">
          <cell r="A875" t="str">
            <v>Cây hoa giấy</v>
          </cell>
          <cell r="F875">
            <v>0</v>
          </cell>
        </row>
        <row r="876">
          <cell r="A876" t="str">
            <v>Cây hoa giấy Cây giống mới trồng</v>
          </cell>
          <cell r="F876">
            <v>0</v>
          </cell>
        </row>
        <row r="877">
          <cell r="A877" t="str">
            <v>Cây hoa giấy ĐK thân ≤2 cm</v>
          </cell>
          <cell r="F877">
            <v>0</v>
          </cell>
        </row>
        <row r="878">
          <cell r="A878" t="str">
            <v>Cây hoa giấy đường kính thân 2 cm &lt; ĐK thân ≤5 cm</v>
          </cell>
          <cell r="F878">
            <v>0</v>
          </cell>
        </row>
        <row r="879">
          <cell r="A879" t="str">
            <v>Cây hoa giấy đường kính thân 5 cm &lt; ĐK thân ≤10 cm</v>
          </cell>
          <cell r="F879">
            <v>0</v>
          </cell>
        </row>
        <row r="880">
          <cell r="A880" t="str">
            <v>Cây hoa giấy đường kính thân 10 cm &lt; ĐK thân ≤15 cm</v>
          </cell>
          <cell r="F880">
            <v>0</v>
          </cell>
        </row>
        <row r="881">
          <cell r="A881" t="str">
            <v>Cây hoa giấy đường kính thân 15 cm &lt; ĐK thân ≤20 cm</v>
          </cell>
          <cell r="F881">
            <v>0</v>
          </cell>
        </row>
        <row r="882">
          <cell r="A882" t="str">
            <v>Cây hoa giấy đường kính thân 20 cm&lt; ĐK thân ≤25 cm</v>
          </cell>
          <cell r="F882">
            <v>0</v>
          </cell>
        </row>
        <row r="883">
          <cell r="A883" t="str">
            <v>Cây hoa giấy ĐK thân &gt; 25 cm</v>
          </cell>
          <cell r="F883">
            <v>0</v>
          </cell>
        </row>
        <row r="884">
          <cell r="A884" t="str">
            <v>Cây lan bình rượu (náng đế)</v>
          </cell>
          <cell r="F884">
            <v>0</v>
          </cell>
        </row>
        <row r="885">
          <cell r="A885" t="str">
            <v>Cây lan bình rượu (náng đế) Cây giống mới trồng</v>
          </cell>
          <cell r="F885">
            <v>0</v>
          </cell>
        </row>
        <row r="886">
          <cell r="A886" t="str">
            <v>Cây lan bình rượu (náng đế) đường kính thân 2 cm &lt; ĐK thân ≤5 cm</v>
          </cell>
          <cell r="F886">
            <v>0</v>
          </cell>
        </row>
        <row r="887">
          <cell r="A887" t="str">
            <v>Cây lan bình rượu (náng đế) đường kính thân 5 cm &lt; ĐK thân ≤10 cm</v>
          </cell>
          <cell r="F887">
            <v>0</v>
          </cell>
        </row>
        <row r="888">
          <cell r="A888" t="str">
            <v>Cây lan bình rượu (náng đế) đường kính thân 10 cm &lt; ĐK thân ≤15 cm</v>
          </cell>
          <cell r="F888">
            <v>0</v>
          </cell>
        </row>
        <row r="889">
          <cell r="A889" t="str">
            <v>Cây lan bình rượu (náng đế) đường kính thân 15 cm &lt; ĐK thân ≤25 cm</v>
          </cell>
          <cell r="F889">
            <v>0</v>
          </cell>
        </row>
        <row r="890">
          <cell r="A890" t="str">
            <v>Cây lan bình rượu (náng đế) ĐK thân &gt; 25 cm</v>
          </cell>
          <cell r="F890">
            <v>0</v>
          </cell>
        </row>
        <row r="891">
          <cell r="A891" t="str">
            <v>Cây mắc mật (Móc mật)</v>
          </cell>
          <cell r="F891">
            <v>0</v>
          </cell>
        </row>
        <row r="892">
          <cell r="A892" t="str">
            <v>Cây mắc mật (Móc mật) Cây mới trồng, ĐK thân ≤2cm</v>
          </cell>
          <cell r="F892">
            <v>0</v>
          </cell>
        </row>
        <row r="893">
          <cell r="A893" t="str">
            <v>Cây mắc mật (Móc mật) đường kính gốc 2 cm &lt; ĐK gốc ≤ 5 cm</v>
          </cell>
          <cell r="F893">
            <v>0</v>
          </cell>
        </row>
        <row r="894">
          <cell r="A894" t="str">
            <v>Cây mắc mật (Móc mật) đường kính gốc 5 cm &lt; ĐK gốc ≤ 10 cm</v>
          </cell>
          <cell r="F894">
            <v>0</v>
          </cell>
        </row>
        <row r="895">
          <cell r="A895" t="str">
            <v>Cây mắc mật (Móc mật) đường kính gốc 10 cm &lt; ĐK gốc ≤ 150 cm</v>
          </cell>
          <cell r="F895">
            <v>0</v>
          </cell>
        </row>
        <row r="896">
          <cell r="A896" t="str">
            <v>Cây mắc mật (Móc mật) đường kính gốc 15 cm &lt; ĐK gốc ≤ 20 cm</v>
          </cell>
          <cell r="F896">
            <v>0</v>
          </cell>
        </row>
        <row r="897">
          <cell r="A897" t="str">
            <v>Cây mắc mật (Móc mật) ĐK gốc &gt; 20 cm</v>
          </cell>
          <cell r="F897">
            <v>0</v>
          </cell>
        </row>
        <row r="898">
          <cell r="A898" t="str">
            <v>Cây sim</v>
          </cell>
          <cell r="F898">
            <v>0</v>
          </cell>
        </row>
        <row r="899">
          <cell r="A899" t="str">
            <v>Cây sim Cây giống mới trồng</v>
          </cell>
          <cell r="F899">
            <v>0</v>
          </cell>
        </row>
        <row r="900">
          <cell r="A900" t="str">
            <v>Cây sim ĐK thân ≤5 cm</v>
          </cell>
          <cell r="F900">
            <v>0</v>
          </cell>
        </row>
        <row r="901">
          <cell r="A901" t="str">
            <v>Cây sim đường kính thân 5 cm &lt; ĐK thân ≤7 cm</v>
          </cell>
          <cell r="F901">
            <v>0</v>
          </cell>
        </row>
        <row r="902">
          <cell r="A902" t="str">
            <v>Cây sim đường kính thân 7 cm &lt; ĐK thân ≤10 cm</v>
          </cell>
          <cell r="F902">
            <v>0</v>
          </cell>
        </row>
        <row r="903">
          <cell r="A903" t="str">
            <v>Cây sim ĐK thân &gt; 10 cm</v>
          </cell>
          <cell r="F903">
            <v>0</v>
          </cell>
        </row>
        <row r="904">
          <cell r="A904" t="str">
            <v>Cây tùng bách tán</v>
          </cell>
          <cell r="F904">
            <v>0</v>
          </cell>
        </row>
        <row r="905">
          <cell r="A905" t="str">
            <v>Cây tùng bách tán Cây giống mới trồng</v>
          </cell>
          <cell r="F905">
            <v>0</v>
          </cell>
        </row>
        <row r="906">
          <cell r="A906" t="str">
            <v>Cây tùng bách tán ĐK thân ≤2 cm</v>
          </cell>
          <cell r="F906">
            <v>0</v>
          </cell>
        </row>
        <row r="907">
          <cell r="A907" t="str">
            <v>Cây tùng bách tán đường kính thân 2 cm &lt; ĐK thân ≤5 cm</v>
          </cell>
          <cell r="F907">
            <v>0</v>
          </cell>
        </row>
        <row r="908">
          <cell r="A908" t="str">
            <v>Cây tùng bách tán đường kính thân 5 cm &lt; ĐK thân ≤10 cm</v>
          </cell>
          <cell r="F908">
            <v>0</v>
          </cell>
        </row>
        <row r="909">
          <cell r="A909" t="str">
            <v>Cây tùng bách tán đường kính thân 10 cm &lt; ĐK thân ≤15 cm</v>
          </cell>
          <cell r="F909">
            <v>0</v>
          </cell>
        </row>
        <row r="910">
          <cell r="A910" t="str">
            <v>Cây tùng bách tán đường kính thân 15 cm &lt; ĐK thân ≤20 cm</v>
          </cell>
          <cell r="F910">
            <v>0</v>
          </cell>
        </row>
        <row r="911">
          <cell r="A911" t="str">
            <v>Cây tùng bách tán đường kính thân 20 cm &lt; ĐK thân ≤25 cm</v>
          </cell>
          <cell r="F911">
            <v>0</v>
          </cell>
        </row>
        <row r="912">
          <cell r="A912" t="str">
            <v>Cây tùng bách tán ĐK thân &gt; 25 cm</v>
          </cell>
          <cell r="F912">
            <v>0</v>
          </cell>
        </row>
        <row r="913">
          <cell r="A913" t="str">
            <v>Cây tùng la hán</v>
          </cell>
          <cell r="F913">
            <v>0</v>
          </cell>
        </row>
        <row r="914">
          <cell r="A914" t="str">
            <v>Cây tùng la hán Cây giống mới trồng</v>
          </cell>
          <cell r="F914">
            <v>0</v>
          </cell>
        </row>
        <row r="915">
          <cell r="A915" t="str">
            <v>Cây tùng la hán ĐK thân ≤2 cm</v>
          </cell>
          <cell r="F915">
            <v>0</v>
          </cell>
        </row>
        <row r="916">
          <cell r="A916" t="str">
            <v>Cây tùng la hán đường kính thân 2 cm &lt; ĐK thân ≤5 cm</v>
          </cell>
          <cell r="F916">
            <v>0</v>
          </cell>
        </row>
        <row r="917">
          <cell r="A917" t="str">
            <v>Cây tùng la hán đường kính thân 5 cm &lt; ĐK thân ≤10 cm</v>
          </cell>
          <cell r="F917">
            <v>0</v>
          </cell>
        </row>
        <row r="918">
          <cell r="A918" t="str">
            <v>Cây tùng la hán đường kính thân 10 cm &lt; ĐK thân ≤15 cm</v>
          </cell>
          <cell r="F918">
            <v>0</v>
          </cell>
        </row>
        <row r="919">
          <cell r="A919" t="str">
            <v>Cây tùng la hán đường kính thân 15 cm &lt; ĐK thân ≤20 cm</v>
          </cell>
          <cell r="F919">
            <v>0</v>
          </cell>
        </row>
        <row r="920">
          <cell r="A920" t="str">
            <v>Cây tùng la hán đường kính thân 20 cm &lt; ĐK thân ≤25 cm</v>
          </cell>
          <cell r="F920">
            <v>0</v>
          </cell>
        </row>
        <row r="921">
          <cell r="A921" t="str">
            <v>Cây tùng la hán ĐK thân &gt; 25 cm</v>
          </cell>
          <cell r="F921">
            <v>0</v>
          </cell>
        </row>
        <row r="922">
          <cell r="A922" t="str">
            <v>Cây tùng kim</v>
          </cell>
          <cell r="F922">
            <v>0</v>
          </cell>
        </row>
        <row r="923">
          <cell r="A923" t="str">
            <v>Cây tùng kim Cây giống mới trồng</v>
          </cell>
          <cell r="F923">
            <v>0</v>
          </cell>
        </row>
        <row r="924">
          <cell r="A924" t="str">
            <v>Cây tùng kim ĐK thân ≤2 cm</v>
          </cell>
          <cell r="F924">
            <v>0</v>
          </cell>
        </row>
        <row r="925">
          <cell r="A925" t="str">
            <v>Cây tùng kim đường kính thân 2 cm &lt; ĐK thân ≤5 cm</v>
          </cell>
          <cell r="F925">
            <v>0</v>
          </cell>
        </row>
        <row r="926">
          <cell r="A926" t="str">
            <v>Cây tùng kim đường kính thân 5 cm &lt; ĐK thân ≤10 cm</v>
          </cell>
          <cell r="F926">
            <v>0</v>
          </cell>
        </row>
        <row r="927">
          <cell r="A927" t="str">
            <v>Cây tùng kim đường kính thân 10 cm &lt; ĐK thân ≤15 cm</v>
          </cell>
          <cell r="F927">
            <v>0</v>
          </cell>
        </row>
        <row r="928">
          <cell r="A928" t="str">
            <v>Cây tùng kim đường kính thân 15 cm &lt; ĐK thân ≤20 cm</v>
          </cell>
          <cell r="F928">
            <v>0</v>
          </cell>
        </row>
        <row r="929">
          <cell r="A929" t="str">
            <v>Cây tùng kim đường kính thân 20 cm &lt; ĐK thân ≤25 cm</v>
          </cell>
          <cell r="F929">
            <v>0</v>
          </cell>
        </row>
        <row r="930">
          <cell r="A930" t="str">
            <v>Cây tùng kim ĐK thân &gt; 25 cm</v>
          </cell>
          <cell r="F930">
            <v>0</v>
          </cell>
        </row>
        <row r="931">
          <cell r="A931" t="str">
            <v>Bàng Đài Loan</v>
          </cell>
          <cell r="F931">
            <v>0</v>
          </cell>
        </row>
        <row r="932">
          <cell r="A932" t="str">
            <v>Bàng Đài Loan Giống đủ tiêu chuẩn mới trồng, chiều cao cây H  ≤ 40cm</v>
          </cell>
          <cell r="F932">
            <v>0</v>
          </cell>
        </row>
        <row r="933">
          <cell r="A933" t="str">
            <v>Bàng Đài Loan đường kính gốc 1cm  ≤ ĐK gốc &lt; 3cm</v>
          </cell>
          <cell r="F933">
            <v>0</v>
          </cell>
        </row>
        <row r="934">
          <cell r="A934" t="str">
            <v>Bàng Đài Loan đường kính gốc 3cm  ≤ ĐK gốc &lt; 5cm</v>
          </cell>
          <cell r="F934">
            <v>0</v>
          </cell>
        </row>
        <row r="935">
          <cell r="A935" t="str">
            <v>Bàng Đài Loan đường kính gốc 5cm  ≤ ĐK gốc &lt; 10cm</v>
          </cell>
          <cell r="F935">
            <v>0</v>
          </cell>
        </row>
        <row r="936">
          <cell r="A936" t="str">
            <v>Bàng Đài Loan đường kính gốc 10cm  ≤ ĐK gốc &lt; 15cm</v>
          </cell>
          <cell r="F936">
            <v>0</v>
          </cell>
        </row>
        <row r="937">
          <cell r="A937" t="str">
            <v>Bàng Đài Loan đường kính gốc 15cm  ≤ ĐK gốc &lt; 20cm</v>
          </cell>
          <cell r="F937">
            <v>0</v>
          </cell>
        </row>
        <row r="938">
          <cell r="A938" t="str">
            <v>Bàng Đài Loan đường kính gốc 20cm  ≤ ĐK gốc &lt; 25cm</v>
          </cell>
          <cell r="F938">
            <v>0</v>
          </cell>
        </row>
        <row r="939">
          <cell r="A939" t="str">
            <v>Bàng Đài Loan đường kính gốc 25cm  ≤ ĐK gốc &lt; 30cm</v>
          </cell>
          <cell r="F939">
            <v>0</v>
          </cell>
        </row>
        <row r="940">
          <cell r="A940" t="str">
            <v>Bàng Đài Loan ĐK gốc ≥ 30cm</v>
          </cell>
          <cell r="F940">
            <v>0</v>
          </cell>
        </row>
        <row r="941">
          <cell r="A941" t="str">
            <v>Tùng Ấn Độ</v>
          </cell>
          <cell r="F941">
            <v>0</v>
          </cell>
        </row>
        <row r="942">
          <cell r="A942" t="str">
            <v>Tùng Ấn Độ Cây giống đủ tiêu chuẩn mới trồng, chiều cao cây H &lt; 40cm</v>
          </cell>
          <cell r="F942">
            <v>0</v>
          </cell>
        </row>
        <row r="943">
          <cell r="A943" t="str">
            <v>Tùng Ấn Độ đường kính gốc 1 cm  ≤ ĐK gốc &lt; 3cm</v>
          </cell>
          <cell r="F943">
            <v>0</v>
          </cell>
        </row>
        <row r="944">
          <cell r="A944" t="str">
            <v>Tùng Ấn Độ đường kính gốc 3cm  ≤ ĐK gốc &lt; 5cm</v>
          </cell>
          <cell r="F944">
            <v>0</v>
          </cell>
        </row>
        <row r="945">
          <cell r="A945" t="str">
            <v>Tùng Ấn Độ đường kính gốc 5cm  ≤ ĐK gốc &lt; 10cm</v>
          </cell>
          <cell r="F945">
            <v>0</v>
          </cell>
        </row>
        <row r="946">
          <cell r="A946" t="str">
            <v>Tùng Ấn Độ đường kính gốc 10cm  ≤ ĐK gốc &lt; 15cm</v>
          </cell>
          <cell r="F946">
            <v>0</v>
          </cell>
        </row>
        <row r="947">
          <cell r="A947" t="str">
            <v>Tùng Ấn Độ ĐK gốc ≥ 15cm</v>
          </cell>
          <cell r="F947">
            <v>0</v>
          </cell>
        </row>
        <row r="948">
          <cell r="A948" t="str">
            <v>Sầu riêng</v>
          </cell>
          <cell r="F948">
            <v>0</v>
          </cell>
        </row>
        <row r="949">
          <cell r="A949" t="str">
            <v>Sầu riêng Cây mới trồng &lt;01 năm (cây từ hạt)</v>
          </cell>
          <cell r="F949">
            <v>0</v>
          </cell>
        </row>
        <row r="950">
          <cell r="A950" t="str">
            <v>Sầu riêng Cây mới trồng &lt; 01 năm (cây ghép)</v>
          </cell>
          <cell r="F950">
            <v>0</v>
          </cell>
        </row>
        <row r="951">
          <cell r="A951" t="str">
            <v>Sầu riêng Cây trồng ≥  01 năm, chiều cao thân cây &lt; 1m chưa có quả</v>
          </cell>
          <cell r="F951">
            <v>0</v>
          </cell>
        </row>
        <row r="952">
          <cell r="A952" t="str">
            <v>Sầu riêng Cây trồng có chiều cao thân cây từ ≥1 m chưa có quả</v>
          </cell>
          <cell r="F952">
            <v>0</v>
          </cell>
        </row>
        <row r="953">
          <cell r="A953" t="str">
            <v>Sầu riêng Cây có quả đường kính gốc &lt; 20cm</v>
          </cell>
          <cell r="F953">
            <v>0</v>
          </cell>
        </row>
        <row r="954">
          <cell r="A954" t="str">
            <v>Sầu riêng Cây có quả tốt đường kính thân ≥ 20cm đến &lt; 45cm</v>
          </cell>
          <cell r="F954">
            <v>0</v>
          </cell>
        </row>
        <row r="955">
          <cell r="A955" t="str">
            <v>Sầu riêng Cây có quả thu hoạch tốt đường kính gốc ≥ 45 cm</v>
          </cell>
          <cell r="F955">
            <v>0</v>
          </cell>
        </row>
        <row r="956">
          <cell r="A956" t="str">
            <v>Cây Dẻ lấy quả</v>
          </cell>
          <cell r="F956">
            <v>0</v>
          </cell>
        </row>
        <row r="957">
          <cell r="A957" t="str">
            <v>Cây Dẻ lấy quả Mới trồng, ĐK gốc &lt; 5 cm</v>
          </cell>
          <cell r="F957">
            <v>0</v>
          </cell>
        </row>
        <row r="958">
          <cell r="A958" t="str">
            <v>Cây Dẻ lấy quả đường kính gốc 5 cm ≤ ĐK gốc &lt;10cm</v>
          </cell>
          <cell r="F958">
            <v>0</v>
          </cell>
        </row>
        <row r="959">
          <cell r="A959" t="str">
            <v>Cây Dẻ lấy quả đường kính gốc 10cm ≤ ĐK gốc &lt; 20cm</v>
          </cell>
          <cell r="F959">
            <v>0</v>
          </cell>
        </row>
        <row r="960">
          <cell r="A960" t="str">
            <v>Cây Dẻ lấy quả đường kính gốc 20cm ≤ ĐK gốc &lt; 30cm</v>
          </cell>
          <cell r="F960">
            <v>0</v>
          </cell>
        </row>
        <row r="961">
          <cell r="A961" t="str">
            <v>Cây Dẻ lấy quả ĐK gốc &gt; 30cm</v>
          </cell>
          <cell r="F961">
            <v>0</v>
          </cell>
        </row>
        <row r="962">
          <cell r="A962" t="str">
            <v>Cây lựu</v>
          </cell>
          <cell r="F962">
            <v>0</v>
          </cell>
        </row>
        <row r="963">
          <cell r="A963" t="str">
            <v>Cây lựu Mới trồng, chiều cao cây H ≥ 40cm</v>
          </cell>
          <cell r="F963">
            <v>0</v>
          </cell>
        </row>
        <row r="964">
          <cell r="A964" t="str">
            <v>Cây lựu đường kính gốc 1 cm  ≤ ĐK gốc &lt; 2cm</v>
          </cell>
          <cell r="F964">
            <v>0</v>
          </cell>
        </row>
        <row r="965">
          <cell r="A965" t="str">
            <v>Cây lựu đường kính gốc 2cm  ≤ ĐK gốc &lt; 5cm</v>
          </cell>
          <cell r="F965">
            <v>0</v>
          </cell>
        </row>
        <row r="966">
          <cell r="A966" t="str">
            <v>Cây lựu đường kính gốc 5cm  ≤ ĐK gốc &lt; 7cm</v>
          </cell>
          <cell r="F966">
            <v>0</v>
          </cell>
        </row>
        <row r="967">
          <cell r="A967" t="str">
            <v>Cây lựu đường kính gốc 7cm  ≤ ĐK gốc &lt; 9cm</v>
          </cell>
          <cell r="F967">
            <v>0</v>
          </cell>
        </row>
        <row r="968">
          <cell r="A968" t="str">
            <v>Cây lựu đường kính gốc 9cm  ≤ ĐK gốc &lt; 12cm</v>
          </cell>
          <cell r="F968">
            <v>0</v>
          </cell>
        </row>
        <row r="969">
          <cell r="A969" t="str">
            <v>Cây lựu đường kính gốc 12cm  ≤ ĐK gốc &lt; 15cm</v>
          </cell>
          <cell r="F969">
            <v>0</v>
          </cell>
        </row>
        <row r="970">
          <cell r="A970" t="str">
            <v>Cây lựu đường kính gốc 15cm  ≤ ĐK gốc &lt; 20cm</v>
          </cell>
          <cell r="F970">
            <v>0</v>
          </cell>
        </row>
        <row r="971">
          <cell r="A971" t="str">
            <v>Cây lựu ĐK gốc ≥ 20cm</v>
          </cell>
          <cell r="F971">
            <v>0</v>
          </cell>
        </row>
        <row r="972">
          <cell r="A972" t="str">
            <v>Cây mai vàng</v>
          </cell>
          <cell r="F972">
            <v>0</v>
          </cell>
        </row>
        <row r="973">
          <cell r="A973" t="str">
            <v>Cây mai vàng đường kính gốc 0,5cm ≤ ĐK gốc &lt; 1cm</v>
          </cell>
          <cell r="F973">
            <v>0</v>
          </cell>
        </row>
        <row r="974">
          <cell r="A974" t="str">
            <v>Cây mai vàng đường kính gốc 1 cm ≤ ĐK gốc &lt; 2cm</v>
          </cell>
          <cell r="F974">
            <v>0</v>
          </cell>
        </row>
        <row r="975">
          <cell r="A975" t="str">
            <v>Cây mai vàng đường kính gốc 2cm ≤ ĐK gốc &lt; 4cm</v>
          </cell>
          <cell r="F975">
            <v>0</v>
          </cell>
        </row>
        <row r="976">
          <cell r="A976" t="str">
            <v>Cây mai vàng đường kính gốc 4cm ≤ ĐK gôc &lt; 6cm</v>
          </cell>
          <cell r="F976">
            <v>0</v>
          </cell>
        </row>
        <row r="977">
          <cell r="A977" t="str">
            <v>Cây mai vàng đường kính gốc 6cm ≤ ĐK gốc &lt; 10cm</v>
          </cell>
          <cell r="F977">
            <v>0</v>
          </cell>
        </row>
        <row r="978">
          <cell r="A978" t="str">
            <v>Cây mai vàng ĐK gốc ≥ 10cm</v>
          </cell>
          <cell r="F978">
            <v>0</v>
          </cell>
        </row>
        <row r="979">
          <cell r="A979" t="str">
            <v>Vạn Tuế</v>
          </cell>
          <cell r="F979">
            <v>0</v>
          </cell>
        </row>
        <row r="980">
          <cell r="A980" t="str">
            <v>Vạn Tuế ĐK gốc &lt; 10 cm</v>
          </cell>
          <cell r="F980">
            <v>0</v>
          </cell>
        </row>
        <row r="981">
          <cell r="A981" t="str">
            <v>Vạn Tuế đường kính gốc 10 cm ≤ ĐK gốc &lt; 20 cm</v>
          </cell>
          <cell r="F981">
            <v>0</v>
          </cell>
        </row>
        <row r="982">
          <cell r="A982" t="str">
            <v>Vạn Tuế đường kính gốc 20 cm ≤ ĐK gốc &lt; 30 cm</v>
          </cell>
          <cell r="F982">
            <v>0</v>
          </cell>
        </row>
        <row r="983">
          <cell r="A983" t="str">
            <v>Vạn Tuế ĐK gốc ≥ 30 cm</v>
          </cell>
          <cell r="F983">
            <v>0</v>
          </cell>
        </row>
        <row r="984">
          <cell r="A984" t="str">
            <v>NHÓM CÂY TÍNH THEO ĐƯỜNG KÍNH TÁN</v>
          </cell>
          <cell r="F984">
            <v>0</v>
          </cell>
        </row>
        <row r="985">
          <cell r="A985" t="str">
            <v>Cây hồng xiêm</v>
          </cell>
          <cell r="F985">
            <v>0</v>
          </cell>
        </row>
        <row r="986">
          <cell r="A986" t="str">
            <v>Cây hồng xiêm Cây giống đủ tiêu chuẩn mới trồng</v>
          </cell>
          <cell r="F986">
            <v>0</v>
          </cell>
        </row>
        <row r="987">
          <cell r="A987" t="str">
            <v>Cây hồng xiêm ĐK tán ≤ 1,5 m</v>
          </cell>
          <cell r="F987">
            <v>0</v>
          </cell>
        </row>
        <row r="988">
          <cell r="A988" t="str">
            <v>Cây hồng xiêm đường kính tán 1,5 m &lt; ĐK tán ≤2,5 m</v>
          </cell>
          <cell r="F988">
            <v>0</v>
          </cell>
        </row>
        <row r="989">
          <cell r="A989" t="str">
            <v>Cây hồng xiêm đường kính tán 2,5 m &lt; ĐK tán ≤ 3,5 m</v>
          </cell>
          <cell r="F989">
            <v>0</v>
          </cell>
        </row>
        <row r="990">
          <cell r="A990" t="str">
            <v>Cây hồng xiêm đường kính tán 3,5 m &lt; ĐK tán ≤ 4,5 m</v>
          </cell>
          <cell r="F990">
            <v>0</v>
          </cell>
        </row>
        <row r="991">
          <cell r="A991" t="str">
            <v>Cây hồng xiêm đường kính tán 4,5 m &lt; ĐK tán ≤ 5,5 m</v>
          </cell>
          <cell r="F991">
            <v>0</v>
          </cell>
        </row>
        <row r="992">
          <cell r="A992" t="str">
            <v>Cây hồng xiêm đường kính tán 5,5 m &lt; ĐK tán ≤ 8 m</v>
          </cell>
          <cell r="F992">
            <v>0</v>
          </cell>
        </row>
        <row r="993">
          <cell r="A993" t="str">
            <v>Cây hồng xiêm đường kính tán 8 m &lt; ĐK tán &lt; 10 m</v>
          </cell>
          <cell r="F993">
            <v>0</v>
          </cell>
        </row>
        <row r="994">
          <cell r="A994" t="str">
            <v>Cây hồng xiêm ĐKtán &gt; 10 m</v>
          </cell>
          <cell r="F994">
            <v>0</v>
          </cell>
        </row>
        <row r="995">
          <cell r="A995" t="str">
            <v>Cây roi</v>
          </cell>
          <cell r="F995">
            <v>0</v>
          </cell>
        </row>
        <row r="996">
          <cell r="A996" t="str">
            <v>Cây roi Cây giống đủ tiêu chuẩn mới trồng</v>
          </cell>
          <cell r="F996">
            <v>0</v>
          </cell>
        </row>
        <row r="997">
          <cell r="A997" t="str">
            <v>Cây roi đường kính tán 0,7m &lt; ĐK tán ≤ 1m</v>
          </cell>
          <cell r="F997">
            <v>0</v>
          </cell>
        </row>
        <row r="998">
          <cell r="A998" t="str">
            <v>Cây roi đường kính tán 1 m ≤ĐK tán &lt; l,5m</v>
          </cell>
          <cell r="F998">
            <v>0</v>
          </cell>
        </row>
        <row r="999">
          <cell r="A999" t="str">
            <v>Cây roi đường kính tán 1,5m ≤ ĐK tán ≤2m</v>
          </cell>
          <cell r="F999">
            <v>0</v>
          </cell>
        </row>
        <row r="1000">
          <cell r="A1000" t="str">
            <v>Cây roi đường kính tán 2m ≤ ĐK tán ≤3m</v>
          </cell>
          <cell r="F1000">
            <v>0</v>
          </cell>
        </row>
        <row r="1001">
          <cell r="A1001" t="str">
            <v>Cây roi đường kính tán 3m ≤ ĐK tán ≤4m</v>
          </cell>
          <cell r="F1001">
            <v>0</v>
          </cell>
        </row>
        <row r="1002">
          <cell r="A1002" t="str">
            <v>Cây roi đường kính tán 4m ≤ ĐK tán ≤5m</v>
          </cell>
          <cell r="F1002">
            <v>0</v>
          </cell>
        </row>
        <row r="1003">
          <cell r="A1003" t="str">
            <v>Cây roi đường kính tán 5m ≤ ĐK tán ≤6m</v>
          </cell>
          <cell r="F1003">
            <v>0</v>
          </cell>
        </row>
        <row r="1004">
          <cell r="A1004" t="str">
            <v>Cây roi đường kính tán 6m ≤ ĐK tán ≤7m</v>
          </cell>
          <cell r="F1004">
            <v>0</v>
          </cell>
        </row>
        <row r="1005">
          <cell r="A1005" t="str">
            <v>Cây roi đường kính tán 7m ≤ ĐK tán ≤8m</v>
          </cell>
          <cell r="F1005">
            <v>0</v>
          </cell>
        </row>
        <row r="1006">
          <cell r="A1006" t="str">
            <v>Cây roi đường kính tán 8m ≤  ĐK tán ≤9m</v>
          </cell>
          <cell r="F1006">
            <v>0</v>
          </cell>
        </row>
        <row r="1007">
          <cell r="A1007" t="str">
            <v>Cây roi đường kính tán 9m ≤ ĐK tán ≤12m</v>
          </cell>
          <cell r="F1007">
            <v>0</v>
          </cell>
        </row>
        <row r="1008">
          <cell r="A1008" t="str">
            <v>Cây roi ĐK tán ≥ 12m</v>
          </cell>
          <cell r="F1008">
            <v>0</v>
          </cell>
        </row>
        <row r="1009">
          <cell r="A1009" t="str">
            <v>Cây hồng, cây cậy</v>
          </cell>
          <cell r="F1009">
            <v>0</v>
          </cell>
        </row>
        <row r="1010">
          <cell r="A1010" t="str">
            <v>Cây hồng, cây cậy Cây giống đủ tiêu chuẩn mới trồng, chiều cao cây H ≥ 40cm</v>
          </cell>
          <cell r="F1010">
            <v>0</v>
          </cell>
        </row>
        <row r="1011">
          <cell r="A1011" t="str">
            <v>Cây hồng, cây cậy ĐK tán ≤ 1,5m</v>
          </cell>
          <cell r="F1011">
            <v>0</v>
          </cell>
        </row>
        <row r="1012">
          <cell r="A1012" t="str">
            <v>Cây hồng, cây cậy đường kính tán 1,5 m &lt; ĐK tán ≤2,5 m</v>
          </cell>
          <cell r="F1012">
            <v>0</v>
          </cell>
        </row>
        <row r="1013">
          <cell r="A1013" t="str">
            <v>Cây hồng, cây cậy đường kính tán 2,5 m &lt; ĐK tán ≤3,5 m</v>
          </cell>
          <cell r="F1013">
            <v>0</v>
          </cell>
        </row>
        <row r="1014">
          <cell r="A1014" t="str">
            <v>Cây hồng, cây cậy đường kính tán 3,5 m &lt; ĐK tán ≤4,5 m</v>
          </cell>
          <cell r="F1014">
            <v>0</v>
          </cell>
        </row>
        <row r="1015">
          <cell r="A1015" t="str">
            <v>Cây hồng, cây cậy đường kính tán 4,5 m &lt; ĐK tán ≤5,5 m</v>
          </cell>
          <cell r="F1015">
            <v>0</v>
          </cell>
        </row>
        <row r="1016">
          <cell r="A1016" t="str">
            <v>Cây hồng, cây cậy đường kính tán 5,5 m &lt; ĐK tán ≤8 m</v>
          </cell>
          <cell r="F1016">
            <v>0</v>
          </cell>
        </row>
        <row r="1017">
          <cell r="A1017" t="str">
            <v>Cây hồng, cây cậy đường kính tán 8 m &lt; ĐK tán ≤10 m</v>
          </cell>
          <cell r="F1017">
            <v>0</v>
          </cell>
        </row>
        <row r="1018">
          <cell r="A1018" t="str">
            <v>Cây hồng, cây cậy ĐKtán &gt; 10 m</v>
          </cell>
          <cell r="F1018">
            <v>0</v>
          </cell>
        </row>
        <row r="1019">
          <cell r="A1019" t="str">
            <v>Cây chanh</v>
          </cell>
          <cell r="F1019">
            <v>0</v>
          </cell>
        </row>
        <row r="1020">
          <cell r="A1020" t="str">
            <v>Cây chanh Cây giống đủ tiêu chuẩn mới trồng, chiều cao cây H ≥ 40cm</v>
          </cell>
          <cell r="F1020">
            <v>0</v>
          </cell>
        </row>
        <row r="1021">
          <cell r="A1021" t="str">
            <v>Cây chanh ĐK tán ≤1 m</v>
          </cell>
          <cell r="F1021">
            <v>0</v>
          </cell>
        </row>
        <row r="1022">
          <cell r="A1022" t="str">
            <v>Cây chanh đường kính tán 1 m &lt; ĐK tán ≤ 1,5 m</v>
          </cell>
          <cell r="F1022">
            <v>0</v>
          </cell>
        </row>
        <row r="1023">
          <cell r="A1023" t="str">
            <v>Cây chanh đường kính tán 1,5 m &lt; ĐK tán ≤ 2 m</v>
          </cell>
          <cell r="F1023">
            <v>0</v>
          </cell>
        </row>
        <row r="1024">
          <cell r="A1024" t="str">
            <v>Cây chanh đường kính tán 2 m &lt; ĐK tán ≤ 3 m</v>
          </cell>
          <cell r="F1024">
            <v>0</v>
          </cell>
        </row>
        <row r="1025">
          <cell r="A1025" t="str">
            <v>Cây chanh đường kính tán 3 m &lt; ĐK tán ≤ 4 m</v>
          </cell>
          <cell r="F1025">
            <v>0</v>
          </cell>
        </row>
        <row r="1026">
          <cell r="A1026" t="str">
            <v>Cây chanh ĐKtán &gt; 4m</v>
          </cell>
          <cell r="F1026">
            <v>0</v>
          </cell>
        </row>
        <row r="1027">
          <cell r="A1027" t="str">
            <v>Cây cam</v>
          </cell>
          <cell r="F1027">
            <v>0</v>
          </cell>
        </row>
        <row r="1028">
          <cell r="A1028" t="str">
            <v>Cây cam giống Loại cây ghép có chiều cao cây 40cm ≤ H &lt; 1m</v>
          </cell>
          <cell r="F1028">
            <v>0</v>
          </cell>
        </row>
        <row r="1029">
          <cell r="A1029" t="str">
            <v>Cây cam giống Loại cây ghép có chiều cao cây H ≥ 1 m</v>
          </cell>
          <cell r="F1029">
            <v>0</v>
          </cell>
        </row>
        <row r="1030">
          <cell r="A1030" t="str">
            <v>Cây cam giống Loại cây chiết cành có chiều cao 40cm ≤ H &lt; 1m</v>
          </cell>
          <cell r="F1030">
            <v>0</v>
          </cell>
        </row>
        <row r="1031">
          <cell r="A1031" t="str">
            <v>Cây cam giống Loại cây chiết cành có chiều cao cây H ≥ 1m</v>
          </cell>
          <cell r="F1031">
            <v>0</v>
          </cell>
        </row>
        <row r="1032">
          <cell r="A1032" t="str">
            <v>Cây cam ĐK tán ≤1 m</v>
          </cell>
          <cell r="F1032">
            <v>0</v>
          </cell>
        </row>
        <row r="1033">
          <cell r="A1033" t="str">
            <v>Cây cam đường kính tán 1 m &lt; ĐKtán ≤ 1,5 m</v>
          </cell>
          <cell r="F1033">
            <v>0</v>
          </cell>
        </row>
        <row r="1034">
          <cell r="A1034" t="str">
            <v>Cây cam đường kính tán 1,5 m &lt; ĐK tán ≤ 2 m</v>
          </cell>
          <cell r="F1034">
            <v>0</v>
          </cell>
        </row>
        <row r="1035">
          <cell r="A1035" t="str">
            <v>Cây cam đường kính tán 2 m &lt; ĐK tán ≤ 3 m</v>
          </cell>
          <cell r="F1035">
            <v>0</v>
          </cell>
        </row>
        <row r="1036">
          <cell r="A1036" t="str">
            <v>Cây cam đường kính tán 3 m &lt; ĐK tán ≤ 5 m</v>
          </cell>
          <cell r="F1036">
            <v>0</v>
          </cell>
        </row>
        <row r="1037">
          <cell r="A1037" t="str">
            <v>Cây cam ĐK tán &gt; 5 m</v>
          </cell>
          <cell r="F1037">
            <v>0</v>
          </cell>
        </row>
        <row r="1038">
          <cell r="A1038" t="str">
            <v>Cây quýt</v>
          </cell>
          <cell r="F1038">
            <v>0</v>
          </cell>
        </row>
        <row r="1039">
          <cell r="A1039" t="str">
            <v>Cây quýt ĐK tán ≤ 1,5 m</v>
          </cell>
          <cell r="F1039">
            <v>0</v>
          </cell>
        </row>
        <row r="1040">
          <cell r="A1040" t="str">
            <v>Cây quýt đường kính tán 1,5 m &lt; ĐK tán ≤ 2 m</v>
          </cell>
          <cell r="F1040">
            <v>0</v>
          </cell>
        </row>
        <row r="1041">
          <cell r="A1041" t="str">
            <v>Cây quýt đường kính tán 2 m &lt; ĐK tán ≤ 3 m</v>
          </cell>
          <cell r="F1041">
            <v>0</v>
          </cell>
        </row>
        <row r="1042">
          <cell r="A1042" t="str">
            <v>Cây quýt đường kính tán 3 m &lt; ĐK tán ≤ 5 m</v>
          </cell>
          <cell r="F1042">
            <v>0</v>
          </cell>
        </row>
        <row r="1043">
          <cell r="A1043" t="str">
            <v>Cây quýt ĐK tán &gt; 5 m</v>
          </cell>
          <cell r="F1043">
            <v>0</v>
          </cell>
        </row>
        <row r="1044">
          <cell r="A1044" t="str">
            <v>Cây quất</v>
          </cell>
          <cell r="F1044">
            <v>0</v>
          </cell>
        </row>
        <row r="1045">
          <cell r="A1045" t="str">
            <v>Cây quất Cây giống đủ tiêu chuẩn mới trồng</v>
          </cell>
          <cell r="F1045">
            <v>0</v>
          </cell>
        </row>
        <row r="1046">
          <cell r="A1046" t="str">
            <v>Cây quất ĐK tán ≤1 m</v>
          </cell>
          <cell r="F1046">
            <v>0</v>
          </cell>
        </row>
        <row r="1047">
          <cell r="A1047" t="str">
            <v>Cây quất đường kính tán 1 m &lt; ĐK tán ≤2 m</v>
          </cell>
          <cell r="F1047">
            <v>0</v>
          </cell>
        </row>
        <row r="1048">
          <cell r="A1048" t="str">
            <v>Cây quất ĐK tán &gt; 2 m</v>
          </cell>
          <cell r="F1048">
            <v>0</v>
          </cell>
        </row>
        <row r="1049">
          <cell r="A1049" t="str">
            <v>Cây đào (lấy quả), cây mận (lấy quả), cây mơ (lấy quả)</v>
          </cell>
          <cell r="F1049">
            <v>0</v>
          </cell>
        </row>
        <row r="1050">
          <cell r="A1050" t="str">
            <v>Cây đào (lấy quả), cây mận (lấy quả), cây mơ (lấy quả) ĐK tán ≤1 m</v>
          </cell>
          <cell r="F1050">
            <v>0</v>
          </cell>
        </row>
        <row r="1051">
          <cell r="A1051" t="str">
            <v>Cây đào (lấy quả), cây mận (lấy quả), cây mơ (lấy quả) đường kính tán 1 m &lt; ĐK tán ≤1,5 m</v>
          </cell>
          <cell r="F1051">
            <v>0</v>
          </cell>
        </row>
        <row r="1052">
          <cell r="A1052" t="str">
            <v>Cây đào (lấy quả), cây mận (lấy quả), cây mơ (lấy quả) đường kính tán  1,5 m &lt; ĐK tán ≤ 2 m</v>
          </cell>
          <cell r="F1052">
            <v>0</v>
          </cell>
        </row>
        <row r="1053">
          <cell r="A1053" t="str">
            <v>Cây đào (lấy quả), cây mận (lấy quả), cây mơ (lấy quả) đường kính tán 2 m &lt; ĐK tán ≤ 3 m</v>
          </cell>
          <cell r="F1053">
            <v>0</v>
          </cell>
        </row>
        <row r="1054">
          <cell r="A1054" t="str">
            <v>Cây đào (lấy quả), cây mận (lấy quả), cây mơ (lấy quả) đường kính tán  3 m &lt; ĐK tán ≤ 5 m</v>
          </cell>
          <cell r="F1054">
            <v>0</v>
          </cell>
        </row>
        <row r="1055">
          <cell r="A1055" t="str">
            <v>Cây đào (lấy quả), cây mận (lấy quả), cây mơ (lấy quả) ĐK tán &gt; 5 m</v>
          </cell>
          <cell r="F1055">
            <v>0</v>
          </cell>
        </row>
        <row r="1056">
          <cell r="A1056" t="str">
            <v>Cây thanh trà (chanh trà)</v>
          </cell>
          <cell r="F1056">
            <v>0</v>
          </cell>
        </row>
        <row r="1057">
          <cell r="A1057" t="str">
            <v>Cây thanh trà (chanh trà) Cây giống đủ tiêu chuẩn mới trồng, chiều cao cây H ≥ 40cm</v>
          </cell>
          <cell r="F1057">
            <v>0</v>
          </cell>
        </row>
        <row r="1058">
          <cell r="A1058" t="str">
            <v>Cây thanh trà (chanh trà) ĐK tán ≤1 m</v>
          </cell>
          <cell r="F1058">
            <v>0</v>
          </cell>
        </row>
        <row r="1059">
          <cell r="A1059" t="str">
            <v>Cây thanh trà (chanh trà) đường kính tán 1 m &lt; ĐK tán ≤ 1,5 m</v>
          </cell>
          <cell r="F1059">
            <v>0</v>
          </cell>
        </row>
        <row r="1060">
          <cell r="A1060" t="str">
            <v>Cây thanh trà (chanh trà) đường kính tán 1,5 m &lt; ĐK tán ≤ 2 m</v>
          </cell>
          <cell r="F1060">
            <v>0</v>
          </cell>
        </row>
        <row r="1061">
          <cell r="A1061" t="str">
            <v>Cây thanh trà (chanh trà) đường kính tán 2 m &lt; ĐK tán ≤ 3 m</v>
          </cell>
          <cell r="F1061">
            <v>0</v>
          </cell>
        </row>
        <row r="1062">
          <cell r="A1062" t="str">
            <v>Cây thanh trà (chanh trà) đường kính tán 3 m &lt; ĐK tán ≤ 5 m</v>
          </cell>
          <cell r="F1062">
            <v>0</v>
          </cell>
        </row>
        <row r="1063">
          <cell r="A1063" t="str">
            <v>Cây thanh trà (chanh trà) ĐK tán &gt; 5 m</v>
          </cell>
          <cell r="F1063">
            <v>0</v>
          </cell>
        </row>
        <row r="1064">
          <cell r="A1064" t="str">
            <v>Cây nhót</v>
          </cell>
          <cell r="F1064">
            <v>0</v>
          </cell>
        </row>
        <row r="1065">
          <cell r="A1065" t="str">
            <v>Cây nhót Cây giống mới trồng</v>
          </cell>
          <cell r="F1065">
            <v>0</v>
          </cell>
        </row>
        <row r="1066">
          <cell r="A1066" t="str">
            <v>Cây nhót ĐK tán ≤1,5 m</v>
          </cell>
          <cell r="F1066">
            <v>0</v>
          </cell>
        </row>
        <row r="1067">
          <cell r="A1067" t="str">
            <v>Cây nhót đường kính tán 1,5 m &lt; ĐK tán ≤2 m</v>
          </cell>
          <cell r="F1067">
            <v>0</v>
          </cell>
        </row>
        <row r="1068">
          <cell r="A1068" t="str">
            <v>Cây nhót đường kính tán 2 m &lt; ĐK tán ≤3 m</v>
          </cell>
          <cell r="F1068">
            <v>0</v>
          </cell>
        </row>
        <row r="1069">
          <cell r="A1069" t="str">
            <v>Cây nhót đường kính tán 3 m &lt; ĐK tán ≤5 m</v>
          </cell>
          <cell r="F1069">
            <v>0</v>
          </cell>
        </row>
        <row r="1070">
          <cell r="A1070" t="str">
            <v>Cây nhót ĐK tán &gt; 5 m</v>
          </cell>
          <cell r="F1070">
            <v>0</v>
          </cell>
        </row>
        <row r="1071">
          <cell r="A1071" t="str">
            <v>Cây Thanh long</v>
          </cell>
          <cell r="F1071">
            <v>0</v>
          </cell>
        </row>
        <row r="1072">
          <cell r="A1072" t="str">
            <v>Cây Thanh long ĐK tán ≤1 m</v>
          </cell>
          <cell r="F1072">
            <v>0</v>
          </cell>
        </row>
        <row r="1073">
          <cell r="A1073" t="str">
            <v>Cây Thanh long đường kính tán 1 m &lt; ĐK tán ≤2 m</v>
          </cell>
          <cell r="F1073">
            <v>0</v>
          </cell>
        </row>
        <row r="1074">
          <cell r="A1074" t="str">
            <v>Cây Thanh long đường kính tán 2 m &lt; ĐK tán ≤3 m</v>
          </cell>
          <cell r="F1074">
            <v>0</v>
          </cell>
        </row>
        <row r="1075">
          <cell r="A1075" t="str">
            <v>Cây Thanh long ĐK tán &gt; 3 m</v>
          </cell>
          <cell r="F1075">
            <v>0</v>
          </cell>
        </row>
        <row r="1076">
          <cell r="A1076" t="str">
            <v>Cây chè</v>
          </cell>
          <cell r="F1076">
            <v>0</v>
          </cell>
        </row>
        <row r="1077">
          <cell r="A1077" t="str">
            <v>Cây chè Cây giống đủ tiêu chuẩn mới trồng</v>
          </cell>
          <cell r="F1077">
            <v>0</v>
          </cell>
        </row>
        <row r="1078">
          <cell r="A1078" t="str">
            <v>Cây chè ĐK tán ≤0,8 m</v>
          </cell>
          <cell r="F1078">
            <v>0</v>
          </cell>
        </row>
        <row r="1079">
          <cell r="A1079" t="str">
            <v>Cây chè đường kính tán 0,8 m &lt; ĐK tán ≤1 m</v>
          </cell>
          <cell r="F1079">
            <v>0</v>
          </cell>
        </row>
        <row r="1080">
          <cell r="A1080" t="str">
            <v>Cây chè đường kính tán 1 m &lt; ĐK tán ≤1,2 m</v>
          </cell>
          <cell r="F1080">
            <v>0</v>
          </cell>
        </row>
        <row r="1081">
          <cell r="A1081" t="str">
            <v>Cây chè ĐK tán &gt; 1,2 m</v>
          </cell>
          <cell r="F1081">
            <v>0</v>
          </cell>
        </row>
        <row r="1082">
          <cell r="A1082" t="str">
            <v>Cây mẫu đơn ta</v>
          </cell>
          <cell r="F1082">
            <v>0</v>
          </cell>
        </row>
        <row r="1083">
          <cell r="A1083" t="str">
            <v>Cây mẫu đơn ta Cây giống đủ tiêu chuẩn mới trồng, chiều cao cây H &lt; 40cm</v>
          </cell>
          <cell r="F1083">
            <v>0</v>
          </cell>
        </row>
        <row r="1084">
          <cell r="A1084" t="str">
            <v>Cây mẫu đơn ta Cây giống đủ tiêu chuẩn mới trồng, chiều cao cây 40cm ≤ H &lt; 100cm</v>
          </cell>
          <cell r="F1084">
            <v>0</v>
          </cell>
        </row>
        <row r="1085">
          <cell r="A1085" t="str">
            <v>Cây mẫu đơn ta Cây giống đủ tiêu chuẩn mới trồng, chiều cao cây H ≥ 100cm</v>
          </cell>
          <cell r="F1085">
            <v>0</v>
          </cell>
        </row>
        <row r="1086">
          <cell r="A1086" t="str">
            <v>Cây mẫu đơn ta có ĐK tán &lt; 1m, gốc có 5-7 nhánh</v>
          </cell>
          <cell r="F1086">
            <v>0</v>
          </cell>
        </row>
        <row r="1087">
          <cell r="A1087" t="str">
            <v>Cây mẫu đơn ta có ĐK tán từ 1,0m đến 1,2m gốc có 5- 7 nhánh</v>
          </cell>
          <cell r="F1087">
            <v>0</v>
          </cell>
        </row>
        <row r="1088">
          <cell r="A1088" t="str">
            <v>Cây mẫu đơn ta có ĐK tán l,0m đến l,2m, gốc có 8-10 nhánh</v>
          </cell>
          <cell r="F1088">
            <v>0</v>
          </cell>
        </row>
        <row r="1089">
          <cell r="A1089" t="str">
            <v>Cây mẫu đơn ta có ĐK tán l,3m đến 1,5 m, gốc có 8- 10 nhánh</v>
          </cell>
          <cell r="F1089">
            <v>0</v>
          </cell>
        </row>
        <row r="1090">
          <cell r="A1090" t="str">
            <v>Cây mẫu đơn ta có ĐK tán l,6m đến 2m, gốc có trên 10 nhánh</v>
          </cell>
          <cell r="F1090">
            <v>0</v>
          </cell>
        </row>
        <row r="1091">
          <cell r="A1091" t="str">
            <v>Cây mẫu đơn ta có ĐK tán 2,0m đến 2,2 m, gốc có trên 10 nhánh</v>
          </cell>
          <cell r="F1091">
            <v>0</v>
          </cell>
        </row>
        <row r="1092">
          <cell r="A1092" t="str">
            <v>Cây mẫu đơn ta có ĐK tán &gt;2,2m đến 2,5m, gốc có trên 10 nhánh</v>
          </cell>
          <cell r="F1092">
            <v>0</v>
          </cell>
        </row>
        <row r="1093">
          <cell r="A1093" t="str">
            <v>Cây mẫu đơn ta có ĐK tán &gt;2,5 m, gôc có trên 10 nhánh</v>
          </cell>
          <cell r="F1093">
            <v>0</v>
          </cell>
        </row>
        <row r="1094">
          <cell r="A1094" t="str">
            <v>Cây thiên phúc (pháo hoa)</v>
          </cell>
          <cell r="F1094">
            <v>0</v>
          </cell>
        </row>
        <row r="1095">
          <cell r="A1095" t="str">
            <v>Cây thiên phúc (pháo hoa) Cây giống mới trồng</v>
          </cell>
          <cell r="F1095">
            <v>0</v>
          </cell>
        </row>
        <row r="1096">
          <cell r="A1096" t="str">
            <v>Cây thiên phúc (pháo hoa) đường kính tán 0,5 m &lt; ĐK tán ≤1 m</v>
          </cell>
          <cell r="F1096">
            <v>0</v>
          </cell>
        </row>
        <row r="1097">
          <cell r="A1097" t="str">
            <v>Cây thiên phúc (pháo hoa) đường kính tán 1 m &lt; ĐK tán ≤2,5 m</v>
          </cell>
          <cell r="F1097">
            <v>0</v>
          </cell>
        </row>
        <row r="1098">
          <cell r="A1098" t="str">
            <v>Cây thiên phúc (pháo hoa) ĐK tán &gt; 2,5 m</v>
          </cell>
          <cell r="F1098">
            <v>0</v>
          </cell>
        </row>
        <row r="1099">
          <cell r="A1099" t="str">
            <v>Cây mẫu đơn nhật</v>
          </cell>
          <cell r="F1099">
            <v>0</v>
          </cell>
        </row>
        <row r="1100">
          <cell r="A1100" t="str">
            <v>Cây mẫu đơn nhật Cây giống mới trồng</v>
          </cell>
          <cell r="F1100">
            <v>0</v>
          </cell>
        </row>
        <row r="1101">
          <cell r="A1101" t="str">
            <v>Cây mẫu đơn nhật đường kính tán 1 m &lt; ĐK tán ≤ 1,5 m</v>
          </cell>
          <cell r="F1101">
            <v>0</v>
          </cell>
        </row>
        <row r="1102">
          <cell r="A1102" t="str">
            <v>Cây mẫu đơn nhật đường kính tán 1,5 m &lt; ĐK tán ≤ 2m</v>
          </cell>
          <cell r="F1102">
            <v>0</v>
          </cell>
        </row>
        <row r="1103">
          <cell r="A1103" t="str">
            <v>Cây mẫu đơn nhật ĐK tán &gt; 2 m</v>
          </cell>
          <cell r="F1103">
            <v>0</v>
          </cell>
        </row>
        <row r="1104">
          <cell r="A1104" t="str">
            <v>Cây dâm bụt, cây ngũ sắc</v>
          </cell>
          <cell r="F1104">
            <v>0</v>
          </cell>
        </row>
        <row r="1105">
          <cell r="A1105" t="str">
            <v>Cây dâm bụt, cây ngũ sắc Cây giống mới trồng</v>
          </cell>
          <cell r="F1105">
            <v>0</v>
          </cell>
        </row>
        <row r="1106">
          <cell r="A1106" t="str">
            <v>Cây dâm bụt, cây ngũ sắc đường kính tán 0,5 m &lt; ĐK tán ≤ 1 m</v>
          </cell>
          <cell r="F1106">
            <v>0</v>
          </cell>
        </row>
        <row r="1107">
          <cell r="A1107" t="str">
            <v>Cây dâm bụt, cây ngũ sắc đường kính tán 1 m &lt; ĐK tán ≤ 1,5 m</v>
          </cell>
          <cell r="F1107">
            <v>0</v>
          </cell>
        </row>
        <row r="1108">
          <cell r="A1108" t="str">
            <v>Cây dâm bụt, cây ngũ sắc đường kính tán 1,5 m &lt; ĐK tán ≤ 2 m</v>
          </cell>
          <cell r="F1108">
            <v>0</v>
          </cell>
        </row>
        <row r="1109">
          <cell r="A1109" t="str">
            <v>Cây dâm bụt, cây ngũ sắc đường kính tán 2 m &lt; ĐK tán ≤ 3 m</v>
          </cell>
          <cell r="F1109">
            <v>0</v>
          </cell>
        </row>
        <row r="1110">
          <cell r="F1110">
            <v>0</v>
          </cell>
        </row>
        <row r="1111">
          <cell r="F1111">
            <v>0</v>
          </cell>
        </row>
        <row r="1112">
          <cell r="F1112">
            <v>0</v>
          </cell>
        </row>
        <row r="1113">
          <cell r="F1113">
            <v>0</v>
          </cell>
        </row>
        <row r="1114">
          <cell r="F1114">
            <v>0</v>
          </cell>
        </row>
        <row r="1115">
          <cell r="F1115">
            <v>0</v>
          </cell>
        </row>
        <row r="1116">
          <cell r="F1116">
            <v>0</v>
          </cell>
        </row>
        <row r="1117">
          <cell r="F1117">
            <v>0</v>
          </cell>
        </row>
        <row r="1118">
          <cell r="F1118">
            <v>0</v>
          </cell>
        </row>
        <row r="1119">
          <cell r="F1119">
            <v>0</v>
          </cell>
        </row>
        <row r="1120">
          <cell r="F1120">
            <v>0</v>
          </cell>
        </row>
        <row r="1121">
          <cell r="F1121">
            <v>0</v>
          </cell>
        </row>
        <row r="1122">
          <cell r="F1122">
            <v>0</v>
          </cell>
        </row>
        <row r="1123">
          <cell r="F1123">
            <v>0</v>
          </cell>
        </row>
        <row r="1124">
          <cell r="F1124">
            <v>0</v>
          </cell>
        </row>
        <row r="1125">
          <cell r="F1125">
            <v>0</v>
          </cell>
        </row>
        <row r="1126">
          <cell r="F1126">
            <v>0</v>
          </cell>
        </row>
        <row r="1127">
          <cell r="F1127">
            <v>0</v>
          </cell>
        </row>
        <row r="1128">
          <cell r="F1128">
            <v>0</v>
          </cell>
        </row>
        <row r="1129">
          <cell r="F1129">
            <v>0</v>
          </cell>
        </row>
        <row r="1130">
          <cell r="F1130">
            <v>0</v>
          </cell>
        </row>
        <row r="1131">
          <cell r="F1131">
            <v>0</v>
          </cell>
        </row>
        <row r="1132">
          <cell r="F1132">
            <v>0</v>
          </cell>
        </row>
        <row r="1133">
          <cell r="F1133">
            <v>0</v>
          </cell>
        </row>
        <row r="1134">
          <cell r="F1134">
            <v>0</v>
          </cell>
        </row>
        <row r="1135">
          <cell r="F1135">
            <v>0</v>
          </cell>
        </row>
        <row r="1136">
          <cell r="F1136">
            <v>0</v>
          </cell>
        </row>
        <row r="1137">
          <cell r="F1137">
            <v>0</v>
          </cell>
        </row>
        <row r="1138">
          <cell r="F1138">
            <v>0</v>
          </cell>
        </row>
        <row r="1139">
          <cell r="F1139">
            <v>0</v>
          </cell>
        </row>
        <row r="1140">
          <cell r="F1140">
            <v>0</v>
          </cell>
        </row>
        <row r="1141">
          <cell r="F1141">
            <v>0</v>
          </cell>
        </row>
        <row r="1142">
          <cell r="F1142">
            <v>0</v>
          </cell>
        </row>
        <row r="1143">
          <cell r="F1143">
            <v>0</v>
          </cell>
        </row>
        <row r="1144">
          <cell r="F1144">
            <v>0</v>
          </cell>
        </row>
        <row r="1145">
          <cell r="F1145">
            <v>0</v>
          </cell>
        </row>
        <row r="1146">
          <cell r="F1146">
            <v>0</v>
          </cell>
        </row>
        <row r="1147">
          <cell r="F1147">
            <v>0</v>
          </cell>
        </row>
        <row r="1148">
          <cell r="F1148">
            <v>0</v>
          </cell>
        </row>
        <row r="1149">
          <cell r="F1149">
            <v>0</v>
          </cell>
        </row>
        <row r="1150">
          <cell r="F1150">
            <v>0</v>
          </cell>
        </row>
        <row r="1151">
          <cell r="F1151">
            <v>0</v>
          </cell>
        </row>
        <row r="1152">
          <cell r="F1152">
            <v>0</v>
          </cell>
        </row>
        <row r="1153">
          <cell r="F1153">
            <v>0</v>
          </cell>
        </row>
        <row r="1154">
          <cell r="F1154">
            <v>0</v>
          </cell>
        </row>
        <row r="1155">
          <cell r="F1155">
            <v>0</v>
          </cell>
        </row>
        <row r="1156">
          <cell r="F1156">
            <v>0</v>
          </cell>
        </row>
        <row r="1157">
          <cell r="F1157">
            <v>0</v>
          </cell>
        </row>
        <row r="1158">
          <cell r="F1158">
            <v>0</v>
          </cell>
        </row>
        <row r="1159">
          <cell r="F1159">
            <v>0</v>
          </cell>
        </row>
        <row r="1160">
          <cell r="F1160">
            <v>0</v>
          </cell>
        </row>
        <row r="1161">
          <cell r="F1161">
            <v>0</v>
          </cell>
        </row>
        <row r="1162">
          <cell r="F1162">
            <v>0</v>
          </cell>
        </row>
        <row r="1163">
          <cell r="F1163">
            <v>0</v>
          </cell>
        </row>
        <row r="1164">
          <cell r="F1164">
            <v>0</v>
          </cell>
        </row>
        <row r="1165">
          <cell r="F1165">
            <v>0</v>
          </cell>
        </row>
        <row r="1166">
          <cell r="F1166">
            <v>0</v>
          </cell>
        </row>
        <row r="1167">
          <cell r="F1167">
            <v>0</v>
          </cell>
        </row>
        <row r="1168">
          <cell r="F1168">
            <v>0</v>
          </cell>
        </row>
        <row r="1169">
          <cell r="F1169">
            <v>0</v>
          </cell>
        </row>
        <row r="1170">
          <cell r="F1170">
            <v>0</v>
          </cell>
        </row>
        <row r="1171">
          <cell r="F1171">
            <v>0</v>
          </cell>
        </row>
        <row r="1172">
          <cell r="F1172">
            <v>0</v>
          </cell>
        </row>
        <row r="1173">
          <cell r="F1173">
            <v>0</v>
          </cell>
        </row>
        <row r="1174">
          <cell r="F1174">
            <v>0</v>
          </cell>
        </row>
        <row r="1175">
          <cell r="F1175">
            <v>0</v>
          </cell>
        </row>
        <row r="1176">
          <cell r="F1176">
            <v>0</v>
          </cell>
        </row>
        <row r="1177">
          <cell r="F1177">
            <v>0</v>
          </cell>
        </row>
        <row r="1178">
          <cell r="F1178">
            <v>0</v>
          </cell>
        </row>
        <row r="1179">
          <cell r="F1179">
            <v>0</v>
          </cell>
        </row>
        <row r="1180">
          <cell r="F1180">
            <v>0</v>
          </cell>
        </row>
        <row r="1181">
          <cell r="F1181">
            <v>0</v>
          </cell>
        </row>
        <row r="1182">
          <cell r="F1182">
            <v>0</v>
          </cell>
        </row>
        <row r="1183">
          <cell r="F1183">
            <v>0</v>
          </cell>
        </row>
        <row r="1184">
          <cell r="F1184">
            <v>0</v>
          </cell>
        </row>
        <row r="1185">
          <cell r="F1185">
            <v>0</v>
          </cell>
        </row>
        <row r="1186">
          <cell r="F1186">
            <v>0</v>
          </cell>
        </row>
        <row r="1187">
          <cell r="F1187">
            <v>0</v>
          </cell>
        </row>
        <row r="1188">
          <cell r="F1188">
            <v>0</v>
          </cell>
        </row>
        <row r="1189">
          <cell r="F1189">
            <v>0</v>
          </cell>
        </row>
        <row r="1190">
          <cell r="F1190">
            <v>0</v>
          </cell>
        </row>
        <row r="1191">
          <cell r="F1191">
            <v>0</v>
          </cell>
        </row>
        <row r="1192">
          <cell r="F1192">
            <v>0</v>
          </cell>
        </row>
        <row r="1193">
          <cell r="F1193">
            <v>0</v>
          </cell>
        </row>
        <row r="1194">
          <cell r="F1194">
            <v>0</v>
          </cell>
        </row>
        <row r="1195">
          <cell r="F1195">
            <v>0</v>
          </cell>
        </row>
        <row r="1196">
          <cell r="F1196">
            <v>0</v>
          </cell>
        </row>
        <row r="1197">
          <cell r="F1197">
            <v>0</v>
          </cell>
        </row>
        <row r="1198">
          <cell r="F1198">
            <v>0</v>
          </cell>
        </row>
        <row r="1199">
          <cell r="F1199">
            <v>0</v>
          </cell>
        </row>
        <row r="1200">
          <cell r="F1200">
            <v>0</v>
          </cell>
        </row>
        <row r="1201">
          <cell r="F1201">
            <v>0</v>
          </cell>
        </row>
        <row r="1202">
          <cell r="F1202">
            <v>0</v>
          </cell>
        </row>
        <row r="1203">
          <cell r="F1203">
            <v>0</v>
          </cell>
        </row>
        <row r="1204">
          <cell r="F1204">
            <v>0</v>
          </cell>
        </row>
        <row r="1205">
          <cell r="F1205">
            <v>0</v>
          </cell>
        </row>
        <row r="1206">
          <cell r="F1206">
            <v>0</v>
          </cell>
        </row>
        <row r="1207">
          <cell r="F1207">
            <v>0</v>
          </cell>
        </row>
        <row r="1208">
          <cell r="F1208">
            <v>0</v>
          </cell>
        </row>
        <row r="1209">
          <cell r="F1209">
            <v>0</v>
          </cell>
        </row>
        <row r="1210">
          <cell r="F1210">
            <v>0</v>
          </cell>
        </row>
        <row r="1211">
          <cell r="F1211">
            <v>0</v>
          </cell>
        </row>
        <row r="1212">
          <cell r="F1212">
            <v>0</v>
          </cell>
        </row>
        <row r="1213">
          <cell r="F1213">
            <v>0</v>
          </cell>
        </row>
        <row r="1214">
          <cell r="F1214">
            <v>0</v>
          </cell>
        </row>
        <row r="1215">
          <cell r="F1215">
            <v>0</v>
          </cell>
        </row>
        <row r="1216">
          <cell r="F1216">
            <v>0</v>
          </cell>
        </row>
        <row r="1217">
          <cell r="F1217">
            <v>0</v>
          </cell>
        </row>
        <row r="1218">
          <cell r="F1218">
            <v>0</v>
          </cell>
        </row>
        <row r="1219">
          <cell r="F1219">
            <v>0</v>
          </cell>
        </row>
        <row r="1220">
          <cell r="F1220">
            <v>0</v>
          </cell>
        </row>
        <row r="1221">
          <cell r="F1221">
            <v>0</v>
          </cell>
        </row>
        <row r="1222">
          <cell r="F1222">
            <v>0</v>
          </cell>
        </row>
        <row r="1223">
          <cell r="F1223">
            <v>0</v>
          </cell>
        </row>
        <row r="1224">
          <cell r="F1224">
            <v>0</v>
          </cell>
        </row>
        <row r="1225">
          <cell r="F1225">
            <v>0</v>
          </cell>
        </row>
        <row r="1226">
          <cell r="F1226">
            <v>0</v>
          </cell>
        </row>
        <row r="1227">
          <cell r="F1227">
            <v>0</v>
          </cell>
        </row>
        <row r="1228">
          <cell r="F1228">
            <v>0</v>
          </cell>
        </row>
        <row r="1229">
          <cell r="F1229">
            <v>0</v>
          </cell>
        </row>
        <row r="1230">
          <cell r="F1230">
            <v>0</v>
          </cell>
        </row>
        <row r="1231">
          <cell r="F1231">
            <v>0</v>
          </cell>
        </row>
        <row r="1232">
          <cell r="F1232">
            <v>0</v>
          </cell>
        </row>
        <row r="1233">
          <cell r="F1233">
            <v>0</v>
          </cell>
        </row>
        <row r="1234">
          <cell r="F1234">
            <v>0</v>
          </cell>
        </row>
        <row r="1235">
          <cell r="F1235">
            <v>0</v>
          </cell>
        </row>
        <row r="1236">
          <cell r="F1236">
            <v>0</v>
          </cell>
        </row>
        <row r="1237">
          <cell r="F1237">
            <v>0</v>
          </cell>
        </row>
        <row r="1238">
          <cell r="F1238">
            <v>0</v>
          </cell>
        </row>
        <row r="1239">
          <cell r="F1239">
            <v>0</v>
          </cell>
        </row>
        <row r="1240">
          <cell r="F1240">
            <v>0</v>
          </cell>
        </row>
        <row r="1241">
          <cell r="F1241">
            <v>0</v>
          </cell>
        </row>
        <row r="1242">
          <cell r="F1242">
            <v>0</v>
          </cell>
        </row>
        <row r="1243">
          <cell r="F1243">
            <v>0</v>
          </cell>
        </row>
        <row r="1244">
          <cell r="F1244">
            <v>0</v>
          </cell>
        </row>
        <row r="1245">
          <cell r="F1245">
            <v>0</v>
          </cell>
        </row>
        <row r="1246">
          <cell r="F1246">
            <v>0</v>
          </cell>
        </row>
        <row r="1247">
          <cell r="F1247">
            <v>0</v>
          </cell>
        </row>
        <row r="1248">
          <cell r="F1248">
            <v>0</v>
          </cell>
        </row>
        <row r="1249">
          <cell r="F1249">
            <v>0</v>
          </cell>
        </row>
        <row r="1250">
          <cell r="F1250">
            <v>0</v>
          </cell>
        </row>
        <row r="1251">
          <cell r="F1251">
            <v>0</v>
          </cell>
        </row>
        <row r="1252">
          <cell r="F1252">
            <v>0</v>
          </cell>
        </row>
        <row r="1253">
          <cell r="F1253">
            <v>0</v>
          </cell>
        </row>
        <row r="1254">
          <cell r="F1254">
            <v>0</v>
          </cell>
        </row>
        <row r="1255">
          <cell r="F1255">
            <v>0</v>
          </cell>
        </row>
        <row r="1256">
          <cell r="F1256">
            <v>0</v>
          </cell>
        </row>
        <row r="1257">
          <cell r="F1257">
            <v>0</v>
          </cell>
        </row>
        <row r="1258">
          <cell r="F1258">
            <v>0</v>
          </cell>
        </row>
        <row r="1259">
          <cell r="F1259">
            <v>0</v>
          </cell>
        </row>
        <row r="1260">
          <cell r="F1260">
            <v>0</v>
          </cell>
        </row>
        <row r="1261">
          <cell r="F1261">
            <v>0</v>
          </cell>
        </row>
        <row r="1262">
          <cell r="F1262">
            <v>0</v>
          </cell>
        </row>
        <row r="1263">
          <cell r="F1263">
            <v>0</v>
          </cell>
        </row>
        <row r="1264">
          <cell r="F1264">
            <v>0</v>
          </cell>
        </row>
        <row r="1265">
          <cell r="F1265">
            <v>0</v>
          </cell>
        </row>
        <row r="1266">
          <cell r="F1266">
            <v>0</v>
          </cell>
        </row>
        <row r="1267">
          <cell r="F1267">
            <v>0</v>
          </cell>
        </row>
        <row r="1268">
          <cell r="F1268">
            <v>0</v>
          </cell>
        </row>
        <row r="1269">
          <cell r="F1269">
            <v>0</v>
          </cell>
        </row>
        <row r="1270">
          <cell r="F1270">
            <v>0</v>
          </cell>
        </row>
        <row r="1271">
          <cell r="F1271">
            <v>0</v>
          </cell>
        </row>
        <row r="1272">
          <cell r="F1272">
            <v>0</v>
          </cell>
        </row>
        <row r="1273">
          <cell r="F1273">
            <v>0</v>
          </cell>
        </row>
        <row r="1274">
          <cell r="F1274">
            <v>0</v>
          </cell>
        </row>
        <row r="1275">
          <cell r="F1275">
            <v>0</v>
          </cell>
        </row>
        <row r="1276">
          <cell r="F1276">
            <v>0</v>
          </cell>
        </row>
        <row r="1277">
          <cell r="F1277">
            <v>0</v>
          </cell>
        </row>
        <row r="1278">
          <cell r="F1278">
            <v>0</v>
          </cell>
        </row>
        <row r="1279">
          <cell r="F1279">
            <v>0</v>
          </cell>
        </row>
        <row r="1280">
          <cell r="F1280">
            <v>0</v>
          </cell>
        </row>
        <row r="1281">
          <cell r="F1281">
            <v>0</v>
          </cell>
        </row>
        <row r="1282">
          <cell r="F1282">
            <v>0</v>
          </cell>
        </row>
        <row r="1283">
          <cell r="F1283">
            <v>0</v>
          </cell>
        </row>
        <row r="1284">
          <cell r="F1284">
            <v>0</v>
          </cell>
        </row>
        <row r="1285">
          <cell r="F1285">
            <v>0</v>
          </cell>
        </row>
        <row r="1286">
          <cell r="F1286">
            <v>0</v>
          </cell>
        </row>
        <row r="1287">
          <cell r="F1287">
            <v>0</v>
          </cell>
        </row>
        <row r="1288">
          <cell r="F1288">
            <v>0</v>
          </cell>
        </row>
        <row r="1289">
          <cell r="F1289">
            <v>0</v>
          </cell>
        </row>
        <row r="1290">
          <cell r="F1290">
            <v>0</v>
          </cell>
        </row>
        <row r="1291">
          <cell r="F1291">
            <v>0</v>
          </cell>
        </row>
        <row r="1292">
          <cell r="F1292">
            <v>0</v>
          </cell>
        </row>
        <row r="1293">
          <cell r="F1293">
            <v>0</v>
          </cell>
        </row>
        <row r="1294">
          <cell r="F1294">
            <v>0</v>
          </cell>
        </row>
        <row r="1295">
          <cell r="F1295">
            <v>0</v>
          </cell>
        </row>
        <row r="1296">
          <cell r="F1296">
            <v>0</v>
          </cell>
        </row>
        <row r="1297">
          <cell r="F1297">
            <v>0</v>
          </cell>
        </row>
        <row r="1298">
          <cell r="F1298">
            <v>0</v>
          </cell>
        </row>
        <row r="1299">
          <cell r="F1299">
            <v>0</v>
          </cell>
        </row>
        <row r="1300">
          <cell r="F1300">
            <v>0</v>
          </cell>
        </row>
        <row r="1301">
          <cell r="F1301">
            <v>0</v>
          </cell>
        </row>
        <row r="1302">
          <cell r="F1302">
            <v>0</v>
          </cell>
        </row>
        <row r="1303">
          <cell r="F1303">
            <v>0</v>
          </cell>
        </row>
        <row r="1304">
          <cell r="F1304">
            <v>0</v>
          </cell>
        </row>
        <row r="1305">
          <cell r="F1305">
            <v>0</v>
          </cell>
        </row>
        <row r="1306">
          <cell r="F1306">
            <v>0</v>
          </cell>
        </row>
        <row r="1307">
          <cell r="F1307">
            <v>0</v>
          </cell>
        </row>
        <row r="1308">
          <cell r="F1308">
            <v>0</v>
          </cell>
        </row>
        <row r="1309">
          <cell r="F1309">
            <v>0</v>
          </cell>
        </row>
        <row r="1310">
          <cell r="F1310">
            <v>0</v>
          </cell>
        </row>
        <row r="1311">
          <cell r="F1311">
            <v>0</v>
          </cell>
        </row>
        <row r="1312">
          <cell r="F1312">
            <v>0</v>
          </cell>
        </row>
        <row r="1313">
          <cell r="F1313">
            <v>0</v>
          </cell>
        </row>
        <row r="1314">
          <cell r="F1314">
            <v>0</v>
          </cell>
        </row>
        <row r="1315">
          <cell r="F1315">
            <v>0</v>
          </cell>
        </row>
        <row r="1316">
          <cell r="F1316">
            <v>0</v>
          </cell>
        </row>
        <row r="1317">
          <cell r="F1317">
            <v>0</v>
          </cell>
        </row>
        <row r="1318">
          <cell r="F1318">
            <v>0</v>
          </cell>
        </row>
        <row r="1319">
          <cell r="F1319">
            <v>0</v>
          </cell>
        </row>
        <row r="1320">
          <cell r="F1320">
            <v>0</v>
          </cell>
        </row>
        <row r="1321">
          <cell r="F1321">
            <v>0</v>
          </cell>
        </row>
        <row r="1322">
          <cell r="F1322">
            <v>0</v>
          </cell>
        </row>
        <row r="1323">
          <cell r="F1323">
            <v>0</v>
          </cell>
        </row>
        <row r="1324">
          <cell r="F1324">
            <v>0</v>
          </cell>
        </row>
        <row r="1325">
          <cell r="F1325">
            <v>0</v>
          </cell>
        </row>
        <row r="1326">
          <cell r="F1326">
            <v>0</v>
          </cell>
        </row>
        <row r="1327">
          <cell r="F1327">
            <v>0</v>
          </cell>
        </row>
        <row r="1328">
          <cell r="F1328">
            <v>0</v>
          </cell>
        </row>
        <row r="1329">
          <cell r="F1329">
            <v>0</v>
          </cell>
        </row>
        <row r="1330">
          <cell r="F1330">
            <v>0</v>
          </cell>
        </row>
        <row r="1331">
          <cell r="F1331">
            <v>0</v>
          </cell>
        </row>
        <row r="1332">
          <cell r="F1332">
            <v>0</v>
          </cell>
        </row>
        <row r="1333">
          <cell r="F1333">
            <v>0</v>
          </cell>
        </row>
        <row r="1334">
          <cell r="F1334">
            <v>0</v>
          </cell>
        </row>
        <row r="1335">
          <cell r="F1335">
            <v>0</v>
          </cell>
        </row>
        <row r="1336">
          <cell r="F1336">
            <v>0</v>
          </cell>
        </row>
        <row r="1337">
          <cell r="F1337">
            <v>0</v>
          </cell>
        </row>
        <row r="1338">
          <cell r="F1338">
            <v>0</v>
          </cell>
        </row>
        <row r="1339">
          <cell r="F1339">
            <v>0</v>
          </cell>
        </row>
        <row r="1340">
          <cell r="F1340">
            <v>0</v>
          </cell>
        </row>
        <row r="1341">
          <cell r="F1341">
            <v>0</v>
          </cell>
        </row>
        <row r="1342">
          <cell r="F1342">
            <v>0</v>
          </cell>
        </row>
        <row r="1343">
          <cell r="F1343">
            <v>0</v>
          </cell>
        </row>
        <row r="1344">
          <cell r="F1344">
            <v>0</v>
          </cell>
        </row>
        <row r="1345">
          <cell r="F1345">
            <v>0</v>
          </cell>
        </row>
        <row r="1346">
          <cell r="F1346">
            <v>0</v>
          </cell>
        </row>
        <row r="1347">
          <cell r="F1347">
            <v>0</v>
          </cell>
        </row>
        <row r="1348">
          <cell r="F1348">
            <v>0</v>
          </cell>
        </row>
        <row r="1349">
          <cell r="F1349">
            <v>0</v>
          </cell>
        </row>
        <row r="1350">
          <cell r="F1350">
            <v>0</v>
          </cell>
        </row>
        <row r="1351">
          <cell r="F1351">
            <v>0</v>
          </cell>
        </row>
        <row r="1352">
          <cell r="F1352">
            <v>0</v>
          </cell>
        </row>
        <row r="1353">
          <cell r="F1353">
            <v>0</v>
          </cell>
        </row>
        <row r="1354">
          <cell r="F1354">
            <v>0</v>
          </cell>
        </row>
        <row r="1355">
          <cell r="F1355">
            <v>0</v>
          </cell>
        </row>
        <row r="1356">
          <cell r="F1356">
            <v>0</v>
          </cell>
        </row>
        <row r="1357">
          <cell r="F1357">
            <v>0</v>
          </cell>
        </row>
        <row r="1358">
          <cell r="F1358">
            <v>0</v>
          </cell>
        </row>
        <row r="1359">
          <cell r="F1359">
            <v>0</v>
          </cell>
        </row>
        <row r="1360">
          <cell r="F1360">
            <v>0</v>
          </cell>
        </row>
        <row r="1361">
          <cell r="F1361">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foxz"/>
      <sheetName val="foxz_2"/>
      <sheetName val="Đơn giá cây cối"/>
      <sheetName val="THPA"/>
      <sheetName val="1. Quyên"/>
      <sheetName val="5. Thương Sen"/>
      <sheetName val="6. Tiến"/>
      <sheetName val="8. Quý"/>
      <sheetName val="9. Sáng"/>
      <sheetName val="11. Mạnh Huế"/>
      <sheetName val="12. Mão"/>
      <sheetName val="13. Minh"/>
      <sheetName val="16. Phí"/>
      <sheetName val="17. Tiêu"/>
      <sheetName val="18. Tuấn"/>
      <sheetName val="19,21. Hoàng"/>
      <sheetName val="20. Thiều"/>
      <sheetName val="23. Quang Xuân"/>
      <sheetName val="24. Quý"/>
      <sheetName val="25. Dung"/>
      <sheetName val="26. Tư"/>
      <sheetName val="27. Sáng"/>
      <sheetName val="28,30. Thuật"/>
      <sheetName val="29. Quyến"/>
      <sheetName val="31. Lự"/>
      <sheetName val="32. Quyết"/>
      <sheetName val="33,34. Xuân"/>
      <sheetName val="35. Tư"/>
      <sheetName val="36. Thủy"/>
      <sheetName val="37. Uyên"/>
      <sheetName val="38. Nhàn"/>
      <sheetName val="39. Lục"/>
      <sheetName val="40. Bộ Lan"/>
      <sheetName val="43. Lộc Đắp"/>
      <sheetName val="44. Lự"/>
      <sheetName val="45. Tông Hiền"/>
      <sheetName val="46. Ước"/>
      <sheetName val="47,58,60. Lam Tỉnh"/>
      <sheetName val="48. Ngọc Thúy"/>
      <sheetName val="49. Oanh"/>
      <sheetName val="50. Nam Doanh"/>
      <sheetName val="51. Ánh Doan"/>
      <sheetName val="53. Hà"/>
      <sheetName val="54. Hào"/>
      <sheetName val="55. Chỉnh"/>
      <sheetName val="56. Hiệp"/>
      <sheetName val="57. Hạnh Nghị"/>
      <sheetName val="59. Suyền"/>
      <sheetName val="XXXXXXXX"/>
    </sheetNames>
    <sheetDataSet>
      <sheetData sheetId="0"/>
      <sheetData sheetId="1"/>
      <sheetData sheetId="2"/>
      <sheetData sheetId="3">
        <row r="1">
          <cell r="F1" t="str">
            <v>KQ</v>
          </cell>
        </row>
        <row r="2">
          <cell r="A2" t="str">
            <v>Nhóm cây lương thực</v>
          </cell>
          <cell r="F2">
            <v>0</v>
          </cell>
        </row>
        <row r="3">
          <cell r="A3" t="str">
            <v>Lúa</v>
          </cell>
          <cell r="F3">
            <v>0</v>
          </cell>
        </row>
        <row r="4">
          <cell r="A4" t="str">
            <v>Ngô (bắp)</v>
          </cell>
          <cell r="F4">
            <v>0</v>
          </cell>
        </row>
        <row r="5">
          <cell r="A5" t="str">
            <v>Khoai lang</v>
          </cell>
          <cell r="F5">
            <v>0</v>
          </cell>
        </row>
        <row r="6">
          <cell r="A6" t="str">
            <v>Sắn (mỳ)</v>
          </cell>
          <cell r="F6">
            <v>0</v>
          </cell>
        </row>
        <row r="7">
          <cell r="A7" t="str">
            <v>Nhóm cây rau, màu</v>
          </cell>
          <cell r="F7">
            <v>0</v>
          </cell>
        </row>
        <row r="8">
          <cell r="A8" t="str">
            <v>Khoai sọ</v>
          </cell>
          <cell r="F8">
            <v>0</v>
          </cell>
        </row>
        <row r="9">
          <cell r="A9" t="str">
            <v>Khoai mỡ, củ canh</v>
          </cell>
          <cell r="F9">
            <v>0</v>
          </cell>
        </row>
        <row r="10">
          <cell r="A10" t="str">
            <v>Khoai môn</v>
          </cell>
          <cell r="F10">
            <v>0</v>
          </cell>
        </row>
        <row r="11">
          <cell r="A11" t="str">
            <v>Khoai tây</v>
          </cell>
          <cell r="F11">
            <v>0</v>
          </cell>
        </row>
        <row r="12">
          <cell r="A12" t="str">
            <v>Dong riềng</v>
          </cell>
          <cell r="F12">
            <v>0</v>
          </cell>
        </row>
        <row r="13">
          <cell r="A13" t="str">
            <v>Sắn dây</v>
          </cell>
          <cell r="F13">
            <v>0</v>
          </cell>
        </row>
        <row r="14">
          <cell r="A14" t="str">
            <v>Củ từ</v>
          </cell>
          <cell r="F14">
            <v>0</v>
          </cell>
        </row>
        <row r="15">
          <cell r="A15" t="str">
            <v>Mía</v>
          </cell>
          <cell r="F15">
            <v>0</v>
          </cell>
        </row>
        <row r="16">
          <cell r="A16" t="str">
            <v>Thuốc lào</v>
          </cell>
          <cell r="F16">
            <v>0</v>
          </cell>
        </row>
        <row r="17">
          <cell r="A17" t="str">
            <v>Cói</v>
          </cell>
          <cell r="F17">
            <v>0</v>
          </cell>
        </row>
        <row r="18">
          <cell r="A18" t="str">
            <v xml:space="preserve"> Đậu tương (đậu nành) lấy hạt</v>
          </cell>
          <cell r="F18">
            <v>0</v>
          </cell>
        </row>
        <row r="19">
          <cell r="A19" t="str">
            <v>Lạc (đậu phộng)</v>
          </cell>
          <cell r="F19">
            <v>0</v>
          </cell>
        </row>
        <row r="20">
          <cell r="A20" t="str">
            <v>Vừng (mè)</v>
          </cell>
          <cell r="F20">
            <v>0</v>
          </cell>
        </row>
        <row r="21">
          <cell r="A21" t="str">
            <v>Rau muống</v>
          </cell>
          <cell r="F21">
            <v>0</v>
          </cell>
        </row>
        <row r="22">
          <cell r="A22" t="str">
            <v>Cải canh</v>
          </cell>
          <cell r="F22">
            <v>0</v>
          </cell>
        </row>
        <row r="23">
          <cell r="A23" t="str">
            <v>Cải chíp</v>
          </cell>
          <cell r="F23">
            <v>0</v>
          </cell>
        </row>
        <row r="24">
          <cell r="A24" t="str">
            <v>Cải ngồng</v>
          </cell>
          <cell r="F24">
            <v>0</v>
          </cell>
        </row>
        <row r="25">
          <cell r="A25" t="str">
            <v>Cải bẹ</v>
          </cell>
          <cell r="F25">
            <v>0</v>
          </cell>
        </row>
        <row r="26">
          <cell r="A26" t="str">
            <v>Cải làn</v>
          </cell>
          <cell r="F26">
            <v>0</v>
          </cell>
        </row>
        <row r="27">
          <cell r="A27" t="str">
            <v>Cải bó xôi</v>
          </cell>
          <cell r="F27">
            <v>0</v>
          </cell>
        </row>
        <row r="28">
          <cell r="A28" t="str">
            <v>Cải ngọt</v>
          </cell>
          <cell r="F28">
            <v>0</v>
          </cell>
        </row>
        <row r="29">
          <cell r="A29" t="str">
            <v>Cải xoong</v>
          </cell>
          <cell r="F29">
            <v>0</v>
          </cell>
        </row>
        <row r="30">
          <cell r="A30" t="str">
            <v>Cải thảo</v>
          </cell>
          <cell r="F30">
            <v>0</v>
          </cell>
        </row>
        <row r="31">
          <cell r="A31" t="str">
            <v>Cải cúc</v>
          </cell>
          <cell r="F31">
            <v>0</v>
          </cell>
        </row>
        <row r="32">
          <cell r="A32" t="str">
            <v>Cải kale</v>
          </cell>
          <cell r="F32">
            <v>0</v>
          </cell>
        </row>
        <row r="33">
          <cell r="A33" t="str">
            <v>Cải bắp</v>
          </cell>
          <cell r="F33">
            <v>0</v>
          </cell>
        </row>
        <row r="34">
          <cell r="A34" t="str">
            <v>Rau mùng tơi</v>
          </cell>
          <cell r="F34">
            <v>0</v>
          </cell>
        </row>
        <row r="35">
          <cell r="A35" t="str">
            <v>Rau đay</v>
          </cell>
          <cell r="F35">
            <v>0</v>
          </cell>
        </row>
        <row r="36">
          <cell r="A36" t="str">
            <v>Rau ngót</v>
          </cell>
          <cell r="F36">
            <v>0</v>
          </cell>
        </row>
        <row r="37">
          <cell r="A37" t="str">
            <v>Rau má</v>
          </cell>
          <cell r="F37">
            <v>0</v>
          </cell>
        </row>
        <row r="38">
          <cell r="A38" t="str">
            <v>Rau diếp/xà lách</v>
          </cell>
          <cell r="F38">
            <v>0</v>
          </cell>
        </row>
        <row r="39">
          <cell r="A39" t="str">
            <v>Rau dền</v>
          </cell>
          <cell r="F39">
            <v>0</v>
          </cell>
        </row>
        <row r="40">
          <cell r="A40" t="str">
            <v>Súp lơ</v>
          </cell>
          <cell r="F40">
            <v>0</v>
          </cell>
        </row>
        <row r="41">
          <cell r="A41" t="str">
            <v>Su su (lấy ngọn)</v>
          </cell>
          <cell r="F41">
            <v>0</v>
          </cell>
        </row>
        <row r="42">
          <cell r="A42" t="str">
            <v>Ngô rau</v>
          </cell>
          <cell r="F42">
            <v>0</v>
          </cell>
        </row>
        <row r="43">
          <cell r="A43" t="str">
            <v>Dưa hấu</v>
          </cell>
          <cell r="F43">
            <v>0</v>
          </cell>
        </row>
        <row r="44">
          <cell r="A44" t="str">
            <v>Dưa lê</v>
          </cell>
          <cell r="F44">
            <v>0</v>
          </cell>
        </row>
        <row r="45">
          <cell r="A45" t="str">
            <v>Dưa vàng</v>
          </cell>
          <cell r="F45">
            <v>0</v>
          </cell>
        </row>
        <row r="46">
          <cell r="A46" t="str">
            <v>Dưa lưới</v>
          </cell>
          <cell r="F46">
            <v>0</v>
          </cell>
        </row>
        <row r="47">
          <cell r="A47" t="str">
            <v>Dưa bở</v>
          </cell>
          <cell r="F47">
            <v>0</v>
          </cell>
        </row>
        <row r="48">
          <cell r="A48" t="str">
            <v>Dưa gang</v>
          </cell>
          <cell r="F48">
            <v>0</v>
          </cell>
        </row>
        <row r="49">
          <cell r="A49" t="str">
            <v>Dưa chuột/ dưa leo</v>
          </cell>
          <cell r="F49">
            <v>0</v>
          </cell>
        </row>
        <row r="50">
          <cell r="A50" t="str">
            <v>Đậu tương rau</v>
          </cell>
          <cell r="F50">
            <v>0</v>
          </cell>
        </row>
        <row r="51">
          <cell r="A51" t="str">
            <v>Đậu/ đỗ đũa</v>
          </cell>
          <cell r="F51">
            <v>0</v>
          </cell>
        </row>
        <row r="52">
          <cell r="A52" t="str">
            <v>Đậu/ đỗ cove</v>
          </cell>
          <cell r="F52">
            <v>0</v>
          </cell>
        </row>
        <row r="53">
          <cell r="A53" t="str">
            <v>Đậu/ đỗ Hà Lan</v>
          </cell>
          <cell r="F53">
            <v>0</v>
          </cell>
        </row>
        <row r="54">
          <cell r="A54" t="str">
            <v>Đậu/ đỗ rồng</v>
          </cell>
          <cell r="F54">
            <v>0</v>
          </cell>
        </row>
        <row r="55">
          <cell r="A55" t="str">
            <v xml:space="preserve"> Đậu/ đỗ ván</v>
          </cell>
          <cell r="F55">
            <v>0</v>
          </cell>
        </row>
        <row r="56">
          <cell r="A56" t="str">
            <v>Đậu bắp</v>
          </cell>
          <cell r="F56">
            <v>0</v>
          </cell>
        </row>
        <row r="57">
          <cell r="A57" t="str">
            <v>Cà chua</v>
          </cell>
          <cell r="F57">
            <v>0</v>
          </cell>
        </row>
        <row r="58">
          <cell r="A58" t="str">
            <v>Cà tím</v>
          </cell>
          <cell r="F58">
            <v>0</v>
          </cell>
        </row>
        <row r="59">
          <cell r="A59" t="str">
            <v>Cà bát</v>
          </cell>
          <cell r="F59">
            <v>0</v>
          </cell>
        </row>
        <row r="60">
          <cell r="A60" t="str">
            <v>Cà pháo</v>
          </cell>
          <cell r="F60">
            <v>0</v>
          </cell>
        </row>
        <row r="61">
          <cell r="A61" t="str">
            <v>Bí ngô</v>
          </cell>
          <cell r="F61">
            <v>0</v>
          </cell>
        </row>
        <row r="62">
          <cell r="A62" t="str">
            <v>Bí xanh</v>
          </cell>
          <cell r="F62">
            <v>0</v>
          </cell>
        </row>
        <row r="63">
          <cell r="A63" t="str">
            <v>Bí ngòi</v>
          </cell>
          <cell r="F63">
            <v>0</v>
          </cell>
        </row>
        <row r="64">
          <cell r="A64" t="str">
            <v>Bầu</v>
          </cell>
          <cell r="F64">
            <v>0</v>
          </cell>
        </row>
        <row r="65">
          <cell r="A65" t="str">
            <v>Mướp</v>
          </cell>
          <cell r="F65">
            <v>0</v>
          </cell>
        </row>
        <row r="66">
          <cell r="A66" t="str">
            <v>Mướp đắng</v>
          </cell>
          <cell r="F66">
            <v>0</v>
          </cell>
        </row>
        <row r="67">
          <cell r="A67" t="str">
            <v>Su su (lấy quả)</v>
          </cell>
          <cell r="F67">
            <v>0</v>
          </cell>
        </row>
        <row r="68">
          <cell r="A68" t="str">
            <v>Ớt ngọt</v>
          </cell>
          <cell r="F68">
            <v>0</v>
          </cell>
        </row>
        <row r="69">
          <cell r="A69" t="str">
            <v>Su hào</v>
          </cell>
          <cell r="F69">
            <v>0</v>
          </cell>
        </row>
        <row r="70">
          <cell r="A70" t="str">
            <v>Cà rốt</v>
          </cell>
          <cell r="F70">
            <v>0</v>
          </cell>
        </row>
        <row r="71">
          <cell r="A71" t="str">
            <v xml:space="preserve"> Củ cải trắng</v>
          </cell>
          <cell r="F71">
            <v>0</v>
          </cell>
        </row>
        <row r="72">
          <cell r="A72" t="str">
            <v>Củ dền</v>
          </cell>
          <cell r="F72">
            <v>0</v>
          </cell>
        </row>
        <row r="73">
          <cell r="A73" t="str">
            <v>Củ đậu</v>
          </cell>
          <cell r="F73">
            <v>0</v>
          </cell>
        </row>
        <row r="74">
          <cell r="A74" t="str">
            <v>Tỏi lấy củ</v>
          </cell>
          <cell r="F74">
            <v>0</v>
          </cell>
        </row>
        <row r="75">
          <cell r="A75" t="str">
            <v>Tỏi tây</v>
          </cell>
          <cell r="F75">
            <v>0</v>
          </cell>
        </row>
        <row r="76">
          <cell r="A76" t="str">
            <v>Hành tây</v>
          </cell>
          <cell r="F76">
            <v>0</v>
          </cell>
        </row>
        <row r="77">
          <cell r="A77" t="str">
            <v>Hành hoa</v>
          </cell>
          <cell r="F77">
            <v>0</v>
          </cell>
        </row>
        <row r="78">
          <cell r="A78" t="str">
            <v>Hành củ</v>
          </cell>
          <cell r="F78">
            <v>0</v>
          </cell>
        </row>
        <row r="79">
          <cell r="A79" t="str">
            <v>Hành paro</v>
          </cell>
          <cell r="F79">
            <v>0</v>
          </cell>
        </row>
        <row r="80">
          <cell r="A80" t="str">
            <v>Sen lấy củ</v>
          </cell>
          <cell r="F80">
            <v>0</v>
          </cell>
        </row>
        <row r="81">
          <cell r="A81" t="str">
            <v>Sen lấy ngó</v>
          </cell>
          <cell r="F81">
            <v>0</v>
          </cell>
        </row>
        <row r="82">
          <cell r="A82" t="str">
            <v>Rau cần ta</v>
          </cell>
          <cell r="F82">
            <v>0</v>
          </cell>
        </row>
        <row r="83">
          <cell r="A83" t="str">
            <v>Rau cần tây</v>
          </cell>
          <cell r="F83">
            <v>0</v>
          </cell>
        </row>
        <row r="84">
          <cell r="A84" t="str">
            <v>Dọc mùng</v>
          </cell>
          <cell r="F84">
            <v>0</v>
          </cell>
        </row>
        <row r="85">
          <cell r="A85" t="str">
            <v>Rau rút</v>
          </cell>
          <cell r="F85">
            <v>0</v>
          </cell>
        </row>
        <row r="86">
          <cell r="A86" t="str">
            <v>Rau dớn</v>
          </cell>
          <cell r="F86">
            <v>0</v>
          </cell>
        </row>
        <row r="87">
          <cell r="A87" t="str">
            <v>Khoai nước (lấy mầm)</v>
          </cell>
          <cell r="F87">
            <v>0</v>
          </cell>
        </row>
        <row r="88">
          <cell r="A88" t="str">
            <v>Đậu/đỗ đen</v>
          </cell>
          <cell r="F88">
            <v>0</v>
          </cell>
        </row>
        <row r="89">
          <cell r="A89" t="str">
            <v>Đậu/đỗ xanh</v>
          </cell>
          <cell r="F89">
            <v>0</v>
          </cell>
        </row>
        <row r="90">
          <cell r="A90" t="str">
            <v xml:space="preserve"> Đậu/đỗ đỏ</v>
          </cell>
          <cell r="F90">
            <v>0</v>
          </cell>
        </row>
        <row r="91">
          <cell r="A91" t="str">
            <v>Nhóm cây hoa</v>
          </cell>
          <cell r="F91">
            <v>0</v>
          </cell>
        </row>
        <row r="92">
          <cell r="A92" t="str">
            <v>Hoa cúc</v>
          </cell>
          <cell r="F92">
            <v>0</v>
          </cell>
        </row>
        <row r="93">
          <cell r="A93" t="str">
            <v>Hoa lay ơn</v>
          </cell>
          <cell r="F93">
            <v>0</v>
          </cell>
        </row>
        <row r="94">
          <cell r="A94" t="str">
            <v>Hoa cẩm chướng</v>
          </cell>
          <cell r="F94">
            <v>0</v>
          </cell>
        </row>
        <row r="95">
          <cell r="A95" t="str">
            <v>Hoa lily</v>
          </cell>
          <cell r="F95">
            <v>0</v>
          </cell>
        </row>
        <row r="96">
          <cell r="A96" t="str">
            <v>Hoa loa kèn</v>
          </cell>
          <cell r="F96">
            <v>0</v>
          </cell>
        </row>
        <row r="97">
          <cell r="A97" t="str">
            <v>Hoa đồng tiền</v>
          </cell>
          <cell r="F97">
            <v>0</v>
          </cell>
        </row>
        <row r="98">
          <cell r="A98" t="str">
            <v>Hoa thạch thảo</v>
          </cell>
          <cell r="F98">
            <v>0</v>
          </cell>
        </row>
        <row r="99">
          <cell r="A99" t="str">
            <v>Hoa cát tường</v>
          </cell>
          <cell r="F99">
            <v>0</v>
          </cell>
        </row>
        <row r="100">
          <cell r="A100" t="str">
            <v>Hoa hướng dương</v>
          </cell>
          <cell r="F100">
            <v>0</v>
          </cell>
        </row>
        <row r="101">
          <cell r="A101" t="str">
            <v>Hoa huệ</v>
          </cell>
          <cell r="F101">
            <v>0</v>
          </cell>
        </row>
        <row r="102">
          <cell r="A102" t="str">
            <v>Hoa cánh bướm</v>
          </cell>
          <cell r="F102">
            <v>0</v>
          </cell>
        </row>
        <row r="103">
          <cell r="A103" t="str">
            <v>Hoa phi yến</v>
          </cell>
          <cell r="F103">
            <v>0</v>
          </cell>
        </row>
        <row r="104">
          <cell r="A104" t="str">
            <v>Hoa sen lấy hoa</v>
          </cell>
          <cell r="F104">
            <v>0</v>
          </cell>
        </row>
        <row r="105">
          <cell r="A105" t="str">
            <v>Hoa súng</v>
          </cell>
          <cell r="F105">
            <v>0</v>
          </cell>
        </row>
        <row r="106">
          <cell r="A106" t="str">
            <v>Violet, cosmot</v>
          </cell>
          <cell r="F106">
            <v>0</v>
          </cell>
        </row>
        <row r="107">
          <cell r="A107" t="str">
            <v>Violet, cosmot cây chưa có hoa</v>
          </cell>
          <cell r="F107">
            <v>0</v>
          </cell>
        </row>
        <row r="108">
          <cell r="A108" t="str">
            <v>Violet, cosmot cây có hoa</v>
          </cell>
          <cell r="F108">
            <v>0</v>
          </cell>
        </row>
        <row r="109">
          <cell r="A109" t="str">
            <v>Cây hoa mười giờ, cây hoa sam, tóc tiên</v>
          </cell>
          <cell r="F109">
            <v>0</v>
          </cell>
        </row>
        <row r="110">
          <cell r="A110" t="str">
            <v>Cây dạ yến thảo, cây ngọc thảo</v>
          </cell>
          <cell r="F110">
            <v>0</v>
          </cell>
        </row>
        <row r="111">
          <cell r="A111" t="str">
            <v>Cây salem</v>
          </cell>
          <cell r="F111">
            <v>0</v>
          </cell>
        </row>
        <row r="112">
          <cell r="A112" t="str">
            <v>Cây salem chưa có hoa</v>
          </cell>
          <cell r="F112">
            <v>0</v>
          </cell>
        </row>
        <row r="113">
          <cell r="A113" t="str">
            <v>Cây salem có hoa</v>
          </cell>
          <cell r="F113">
            <v>0</v>
          </cell>
        </row>
        <row r="114">
          <cell r="A114" t="str">
            <v>Nhóm cây gia vị</v>
          </cell>
          <cell r="F114">
            <v>0</v>
          </cell>
        </row>
        <row r="115">
          <cell r="A115" t="str">
            <v>Ớt cay</v>
          </cell>
          <cell r="F115">
            <v>0</v>
          </cell>
        </row>
        <row r="116">
          <cell r="A116" t="str">
            <v>Gừng</v>
          </cell>
          <cell r="F116">
            <v>0</v>
          </cell>
        </row>
        <row r="117">
          <cell r="A117" t="str">
            <v>Nghệ</v>
          </cell>
          <cell r="F117">
            <v>0</v>
          </cell>
        </row>
        <row r="118">
          <cell r="A118" t="str">
            <v>Riềng</v>
          </cell>
          <cell r="F118">
            <v>0</v>
          </cell>
        </row>
        <row r="119">
          <cell r="A119" t="str">
            <v>Sả</v>
          </cell>
          <cell r="F119">
            <v>0</v>
          </cell>
        </row>
        <row r="120">
          <cell r="A120" t="str">
            <v>Tía tô</v>
          </cell>
          <cell r="F120">
            <v>0</v>
          </cell>
        </row>
        <row r="121">
          <cell r="A121" t="str">
            <v>Kinh giới, húng tép</v>
          </cell>
          <cell r="F121">
            <v>0</v>
          </cell>
        </row>
        <row r="122">
          <cell r="A122" t="str">
            <v>Húng bąc hà, húng Hà Nội</v>
          </cell>
          <cell r="F122">
            <v>0</v>
          </cell>
        </row>
        <row r="123">
          <cell r="A123" t="str">
            <v>Húng quế (húng chó)</v>
          </cell>
          <cell r="F123">
            <v>0</v>
          </cell>
        </row>
        <row r="124">
          <cell r="A124" t="str">
            <v>Rau mùi</v>
          </cell>
          <cell r="F124">
            <v>0</v>
          </cell>
        </row>
        <row r="125">
          <cell r="A125" t="str">
            <v>Mùi tàu (răng cua, ngò gai)</v>
          </cell>
          <cell r="F125">
            <v>0</v>
          </cell>
        </row>
        <row r="126">
          <cell r="A126" t="str">
            <v>Ngải cứu</v>
          </cell>
          <cell r="F126">
            <v>0</v>
          </cell>
        </row>
        <row r="127">
          <cell r="A127" t="str">
            <v>Thì là</v>
          </cell>
          <cell r="F127">
            <v>0</v>
          </cell>
        </row>
        <row r="128">
          <cell r="A128" t="str">
            <v>Rau rám</v>
          </cell>
          <cell r="F128">
            <v>0</v>
          </cell>
        </row>
        <row r="129">
          <cell r="A129" t="str">
            <v>Lá nốt</v>
          </cell>
          <cell r="F129">
            <v>0</v>
          </cell>
        </row>
        <row r="130">
          <cell r="A130" t="str">
            <v>Nhóm cây dược liệu</v>
          </cell>
          <cell r="F130">
            <v>0</v>
          </cell>
        </row>
        <row r="131">
          <cell r="A131" t="str">
            <v>Hương nhu</v>
          </cell>
          <cell r="F131">
            <v>0</v>
          </cell>
        </row>
        <row r="132">
          <cell r="A132" t="str">
            <v>Cúc dược liệu (Cúc chi)</v>
          </cell>
          <cell r="F132">
            <v>0</v>
          </cell>
        </row>
        <row r="133">
          <cell r="A133" t="str">
            <v>Húng chanh</v>
          </cell>
          <cell r="F133">
            <v>0</v>
          </cell>
        </row>
        <row r="134">
          <cell r="A134" t="str">
            <v>Lá nếp</v>
          </cell>
          <cell r="F134">
            <v>0</v>
          </cell>
        </row>
        <row r="135">
          <cell r="A135" t="str">
            <v>Xương sông</v>
          </cell>
          <cell r="F135">
            <v>0</v>
          </cell>
        </row>
        <row r="136">
          <cell r="A136" t="str">
            <v>Hoàn ngọc (cây lá khỉ)</v>
          </cell>
          <cell r="F136">
            <v>0</v>
          </cell>
        </row>
        <row r="137">
          <cell r="A137" t="str">
            <v>Atiso đỏ</v>
          </cell>
          <cell r="F137">
            <v>0</v>
          </cell>
        </row>
        <row r="138">
          <cell r="A138" t="str">
            <v>Nhóm cây hàng năm khác</v>
          </cell>
          <cell r="F138">
            <v>0</v>
          </cell>
        </row>
        <row r="139">
          <cell r="A139" t="str">
            <v xml:space="preserve"> Ấu</v>
          </cell>
          <cell r="F139">
            <v>0</v>
          </cell>
        </row>
        <row r="140">
          <cell r="A140" t="str">
            <v>Thạch đen</v>
          </cell>
          <cell r="F140">
            <v>0</v>
          </cell>
        </row>
        <row r="141">
          <cell r="A141" t="str">
            <v>Hương bài</v>
          </cell>
          <cell r="F141">
            <v>0</v>
          </cell>
        </row>
        <row r="142">
          <cell r="A142" t="str">
            <v>Cỏ voi</v>
          </cell>
          <cell r="F142">
            <v>0</v>
          </cell>
        </row>
        <row r="143">
          <cell r="A143" t="str">
            <v>Cỏ nhung</v>
          </cell>
          <cell r="F143">
            <v>0</v>
          </cell>
        </row>
        <row r="144">
          <cell r="A144" t="str">
            <v>Ngô sinh khối</v>
          </cell>
          <cell r="F144">
            <v>0</v>
          </cell>
        </row>
        <row r="145">
          <cell r="A145" t="str">
            <v>Nấm rơm</v>
          </cell>
          <cell r="F145">
            <v>0</v>
          </cell>
        </row>
        <row r="146">
          <cell r="A146" t="str">
            <v>Nấm mỡ</v>
          </cell>
          <cell r="F146">
            <v>0</v>
          </cell>
        </row>
        <row r="147">
          <cell r="A147" t="str">
            <v>Đay</v>
          </cell>
          <cell r="F147">
            <v>0</v>
          </cell>
        </row>
        <row r="148">
          <cell r="A148" t="str">
            <v>Gai</v>
          </cell>
          <cell r="F148">
            <v>0</v>
          </cell>
        </row>
        <row r="149">
          <cell r="A149" t="str">
            <v>Dứa sợi</v>
          </cell>
          <cell r="F149">
            <v>0</v>
          </cell>
        </row>
        <row r="150">
          <cell r="A150" t="str">
            <v>NHÓM CÂY TÍNH THEO CHIỀU CAO THÂN</v>
          </cell>
          <cell r="F150">
            <v>0</v>
          </cell>
        </row>
        <row r="151">
          <cell r="A151" t="str">
            <v>Cây na xiêm</v>
          </cell>
          <cell r="F151">
            <v>0</v>
          </cell>
        </row>
        <row r="152">
          <cell r="A152" t="str">
            <v>Cây na xiêm chiều cao cây H ≤ 1,5 m</v>
          </cell>
          <cell r="F152">
            <v>0</v>
          </cell>
        </row>
        <row r="153">
          <cell r="A153" t="str">
            <v>Cây na xiêm chiều cao cây 1,5 m &lt; H ≤ 3 m</v>
          </cell>
          <cell r="F153">
            <v>0</v>
          </cell>
        </row>
        <row r="154">
          <cell r="A154" t="str">
            <v>Cây na xiêm chiều cao cây H &gt; 3 m</v>
          </cell>
          <cell r="F154">
            <v>0</v>
          </cell>
        </row>
        <row r="155">
          <cell r="A155" t="str">
            <v>Cây sắn thuyền</v>
          </cell>
          <cell r="F155">
            <v>0</v>
          </cell>
        </row>
        <row r="156">
          <cell r="A156" t="str">
            <v>Cây sắn thuyền chiều cao cây H ≤ 1,5 m</v>
          </cell>
          <cell r="F156">
            <v>0</v>
          </cell>
        </row>
        <row r="157">
          <cell r="A157" t="str">
            <v>Cây sắn thuyền chiều cao cây 1,5 m &lt; H ≤ 3 m</v>
          </cell>
          <cell r="F157">
            <v>0</v>
          </cell>
        </row>
        <row r="158">
          <cell r="A158" t="str">
            <v>Cây sắn thuyền chiều cao cây H &gt; 3 m</v>
          </cell>
          <cell r="F158">
            <v>0</v>
          </cell>
        </row>
        <row r="159">
          <cell r="A159" t="str">
            <v>Cau ta ăn quả</v>
          </cell>
          <cell r="F159">
            <v>0</v>
          </cell>
        </row>
        <row r="160">
          <cell r="A160" t="str">
            <v>Cau ta ăn quả giống đủ tiêu chuẩn mới trồng, chiều cao cây H ≥ 40cm</v>
          </cell>
          <cell r="F160">
            <v>0</v>
          </cell>
        </row>
        <row r="161">
          <cell r="A161" t="str">
            <v>Cau ta ăn quả chiều cao cây H &lt; 1,5 m</v>
          </cell>
          <cell r="F161">
            <v>0</v>
          </cell>
        </row>
        <row r="162">
          <cell r="A162" t="str">
            <v>Cau ta ăn quả chiều cao cây 1,5 m ≤  H &lt; 3 m</v>
          </cell>
          <cell r="F162">
            <v>0</v>
          </cell>
        </row>
        <row r="163">
          <cell r="A163" t="str">
            <v>Cau ta ăn quả chiều cao cây 3 m ≤  H &lt; 4 m</v>
          </cell>
          <cell r="F163">
            <v>0</v>
          </cell>
        </row>
        <row r="164">
          <cell r="A164" t="str">
            <v>Cau ta ăn quả chiều cao cây H ≥ 4 m</v>
          </cell>
          <cell r="F164">
            <v>0</v>
          </cell>
        </row>
        <row r="165">
          <cell r="A165" t="str">
            <v>Cây cau lợn cọ (độ cao bóc bẹ)</v>
          </cell>
          <cell r="F165">
            <v>0</v>
          </cell>
        </row>
        <row r="166">
          <cell r="A166" t="str">
            <v>Cây cau lợn cọ (độ cao bóc bẹ) Cây giống mới trồng</v>
          </cell>
          <cell r="F166">
            <v>0</v>
          </cell>
        </row>
        <row r="167">
          <cell r="A167" t="str">
            <v>Cây cau lợn cọ (độ cao bóc bẹ)  H &lt; 15 cm</v>
          </cell>
          <cell r="F167">
            <v>0</v>
          </cell>
        </row>
        <row r="168">
          <cell r="A168" t="str">
            <v>Cây cau lợn cọ (độ cao bóc bẹ) 15 cm &lt; H ≤ 30 cm</v>
          </cell>
          <cell r="F168">
            <v>0</v>
          </cell>
        </row>
        <row r="169">
          <cell r="A169" t="str">
            <v>Cây cau lợn cọ (độ cao bóc bẹ) 30 cm &lt; H ≤ 45 cm</v>
          </cell>
          <cell r="F169">
            <v>0</v>
          </cell>
        </row>
        <row r="170">
          <cell r="A170" t="str">
            <v>Cây cau lợn cọ (độ cao bóc bẹ)  45 cm &lt; H ≤ 60 cm</v>
          </cell>
          <cell r="F170">
            <v>0</v>
          </cell>
        </row>
        <row r="171">
          <cell r="A171" t="str">
            <v>Cây cau lợn cọ (độ cao bóc bẹ)  60 cm &lt; H ≤ 75 cm</v>
          </cell>
          <cell r="F171">
            <v>0</v>
          </cell>
        </row>
        <row r="172">
          <cell r="A172" t="str">
            <v>Cây cau lợn cọ (độ cao bóc bẹ) 75 cm &lt; H ≤ 90 cm</v>
          </cell>
          <cell r="F172">
            <v>0</v>
          </cell>
        </row>
        <row r="173">
          <cell r="A173" t="str">
            <v>Cây cau lợn cọ (độ cao bóc bẹ) H &gt; 90 cm</v>
          </cell>
          <cell r="F173">
            <v>0</v>
          </cell>
        </row>
        <row r="174">
          <cell r="A174" t="str">
            <v>Cây cau trắng (độ cao bóc bẹ)</v>
          </cell>
          <cell r="F174">
            <v>0</v>
          </cell>
        </row>
        <row r="175">
          <cell r="A175" t="str">
            <v>Cây cau trắng (độ cao bóc bẹ) Cây giống mới trồng</v>
          </cell>
          <cell r="F175">
            <v>0</v>
          </cell>
        </row>
        <row r="176">
          <cell r="A176" t="str">
            <v>Cây cau trắng (độ cao bóc bẹ) chiều cao cây H ≤ 15 cm</v>
          </cell>
          <cell r="F176">
            <v>0</v>
          </cell>
        </row>
        <row r="177">
          <cell r="A177" t="str">
            <v>Cây cau trắng (độ cao bóc bẹ) chiều cao cây 15 cm &lt; H ≤ 30 cm</v>
          </cell>
          <cell r="F177">
            <v>0</v>
          </cell>
        </row>
        <row r="178">
          <cell r="A178" t="str">
            <v>Cây cau trắng (độ cao bóc bẹ) chiều cao cây 30 cm &lt; H ≤ 45 cm</v>
          </cell>
          <cell r="F178">
            <v>0</v>
          </cell>
        </row>
        <row r="179">
          <cell r="A179" t="str">
            <v>Cây cau trắng (độ cao bóc bẹ) chiều cao cây 45 cm &lt; H ≤ 60 cm</v>
          </cell>
          <cell r="F179">
            <v>0</v>
          </cell>
        </row>
        <row r="180">
          <cell r="A180" t="str">
            <v>Cây cau trắng (độ cao bóc bẹ) chiều cao cây 60 cm &lt; H ≤ 75 cm</v>
          </cell>
          <cell r="F180">
            <v>0</v>
          </cell>
        </row>
        <row r="181">
          <cell r="A181" t="str">
            <v>Cây cau trắng (độ cao bóc bẹ) chiều cao cây 75 cm &lt; H ≤ 90 cm</v>
          </cell>
          <cell r="F181">
            <v>0</v>
          </cell>
        </row>
        <row r="182">
          <cell r="A182" t="str">
            <v>Cây cau trắng (độ cao bóc bẹ) chiều cao cây 90 cm &lt; H ≤ 150 cm</v>
          </cell>
          <cell r="F182">
            <v>0</v>
          </cell>
        </row>
        <row r="183">
          <cell r="A183" t="str">
            <v>Cây cau trắng (độ cao bóc bẹ) chiều cao cây 150 cm &lt; H ≤ 250 cm</v>
          </cell>
          <cell r="F183">
            <v>0</v>
          </cell>
        </row>
        <row r="184">
          <cell r="A184" t="str">
            <v>Cây cau trắng (độ cao bóc bẹ) chiều cao cây H &gt; 250 cm</v>
          </cell>
          <cell r="F184">
            <v>0</v>
          </cell>
        </row>
        <row r="185">
          <cell r="A185" t="str">
            <v>Cây cau đẻ (độ cao bóc bẹ)</v>
          </cell>
          <cell r="F185">
            <v>0</v>
          </cell>
        </row>
        <row r="186">
          <cell r="A186" t="str">
            <v>Cây cau đẻ (độ cao bóc bẹ) Cây giống mới trồng</v>
          </cell>
          <cell r="F186">
            <v>0</v>
          </cell>
        </row>
        <row r="187">
          <cell r="A187" t="str">
            <v>Cây cau đẻ (độ cao bóc bẹ) chiều cao cây H ≤ 15 cm</v>
          </cell>
          <cell r="F187">
            <v>0</v>
          </cell>
        </row>
        <row r="188">
          <cell r="A188" t="str">
            <v>Cây cau đẻ (độ cao bóc bẹ) chiều cao cây 15 cm &lt; H ≤ 30 cm</v>
          </cell>
          <cell r="F188">
            <v>0</v>
          </cell>
        </row>
        <row r="189">
          <cell r="A189" t="str">
            <v>Cây cau đẻ (độ cao bóc bẹ) chiều cao cây 30 cm &lt; H ≤ 45 cm</v>
          </cell>
          <cell r="F189">
            <v>0</v>
          </cell>
        </row>
        <row r="190">
          <cell r="A190" t="str">
            <v>Cây cau đẻ (độ cao bóc bẹ) chiều cao cây 45 cm &lt; H ≤ 60 cm</v>
          </cell>
          <cell r="F190">
            <v>0</v>
          </cell>
        </row>
        <row r="191">
          <cell r="A191" t="str">
            <v>Cây cau đẻ (độ cao bóc bẹ) chiều cao cây 60 cm &lt; H ≤ 75 cm</v>
          </cell>
          <cell r="F191">
            <v>0</v>
          </cell>
        </row>
        <row r="192">
          <cell r="A192" t="str">
            <v>Cây cau đẻ (độ cao bóc bẹ) chiều cao cây 75 cm &lt; H ≤ 90 cm</v>
          </cell>
          <cell r="F192">
            <v>0</v>
          </cell>
        </row>
        <row r="193">
          <cell r="A193" t="str">
            <v>Cây cau đẻ (độ cao bóc bẹ) chiều cao cây 90 cm &lt; H ≤ 150 cm</v>
          </cell>
          <cell r="F193">
            <v>0</v>
          </cell>
        </row>
        <row r="194">
          <cell r="A194" t="str">
            <v>Cây cau đẻ (độ cao bóc bẹ) chiều cao cây 150 cm &lt; H ≤ 250 cm</v>
          </cell>
          <cell r="F194">
            <v>0</v>
          </cell>
        </row>
        <row r="195">
          <cell r="A195" t="str">
            <v>Cây cau đẻ (độ cao bóc bẹ) chiều cao cây H &gt; 250 cm</v>
          </cell>
          <cell r="F195">
            <v>0</v>
          </cell>
        </row>
        <row r="196">
          <cell r="A196" t="str">
            <v>Cây thiên tuế</v>
          </cell>
          <cell r="F196">
            <v>0</v>
          </cell>
        </row>
        <row r="197">
          <cell r="A197" t="str">
            <v>Cây thiên tuế Cây giống mới trồng</v>
          </cell>
          <cell r="F197">
            <v>0</v>
          </cell>
        </row>
        <row r="198">
          <cell r="A198" t="str">
            <v>Cây thiên tuế chiều cao cây H &lt; 15 cm</v>
          </cell>
          <cell r="F198">
            <v>0</v>
          </cell>
        </row>
        <row r="199">
          <cell r="A199" t="str">
            <v>Cây thiên tuế chiều cao cây 15 cm &lt; H ≤ 30 cm</v>
          </cell>
          <cell r="F199">
            <v>0</v>
          </cell>
        </row>
        <row r="200">
          <cell r="A200" t="str">
            <v>Cây thiên tuế chiều cao cây 30 cm &lt; H ≤ 45 cm</v>
          </cell>
          <cell r="F200">
            <v>0</v>
          </cell>
        </row>
        <row r="201">
          <cell r="A201" t="str">
            <v>Cây thiên tuế chiều cao cây 45 cm &lt; H ≤ 60 cm</v>
          </cell>
          <cell r="F201">
            <v>0</v>
          </cell>
        </row>
        <row r="202">
          <cell r="A202" t="str">
            <v>Cây thiên tuế chiều cao cây 60 cm &lt; H ≤ 75 cm</v>
          </cell>
          <cell r="F202">
            <v>0</v>
          </cell>
        </row>
        <row r="203">
          <cell r="A203" t="str">
            <v>Cây thiên tuế chiều cao cây H &gt; 75 cm</v>
          </cell>
          <cell r="F203">
            <v>0</v>
          </cell>
        </row>
        <row r="204">
          <cell r="A204" t="str">
            <v>Cây thiết mộc lan</v>
          </cell>
          <cell r="F204">
            <v>0</v>
          </cell>
        </row>
        <row r="205">
          <cell r="A205" t="str">
            <v>Cây thiết mộc lan Cây giống mới trồng</v>
          </cell>
          <cell r="F205">
            <v>0</v>
          </cell>
        </row>
        <row r="206">
          <cell r="A206" t="str">
            <v>Cây thiết mộc lan chiều cao cây H ≤ 15 cm</v>
          </cell>
          <cell r="F206">
            <v>0</v>
          </cell>
        </row>
        <row r="207">
          <cell r="A207" t="str">
            <v>Cây thiết mộc lan chiều cao cây 15 cm &lt; H ≤ 70 cm</v>
          </cell>
          <cell r="F207">
            <v>0</v>
          </cell>
        </row>
        <row r="208">
          <cell r="A208" t="str">
            <v>Cây thiết mộc lan chiều cao cây 70 cm &lt; H ≤ 100 cm</v>
          </cell>
          <cell r="F208">
            <v>0</v>
          </cell>
        </row>
        <row r="209">
          <cell r="A209" t="str">
            <v>Cây thiết mộc lan chiều cao cây H &gt; 100 cm</v>
          </cell>
          <cell r="F209">
            <v>0</v>
          </cell>
        </row>
        <row r="210">
          <cell r="A210" t="str">
            <v>Cây trúc anh đào</v>
          </cell>
          <cell r="F210">
            <v>0</v>
          </cell>
        </row>
        <row r="211">
          <cell r="A211" t="str">
            <v>Cây trúc anh đào Cây giống mới trồng</v>
          </cell>
          <cell r="F211">
            <v>0</v>
          </cell>
        </row>
        <row r="212">
          <cell r="A212" t="str">
            <v>Cây trúc anh đào chiều cao cây H &lt; 15 cm</v>
          </cell>
          <cell r="F212">
            <v>0</v>
          </cell>
        </row>
        <row r="213">
          <cell r="A213" t="str">
            <v>Cây trúc anh đào chiều cao cây 15 cm ≤ H &lt;  30 cm</v>
          </cell>
          <cell r="F213">
            <v>0</v>
          </cell>
        </row>
        <row r="214">
          <cell r="A214" t="str">
            <v>Cây trúc anh đào chiều cao cây 30 cm ≤ H &lt; 70 cm</v>
          </cell>
          <cell r="F214">
            <v>0</v>
          </cell>
        </row>
        <row r="215">
          <cell r="A215" t="str">
            <v>Cây trúc anh đào chiều cao cây 70 cm ≤ H &lt; 100 cm</v>
          </cell>
          <cell r="F215">
            <v>0</v>
          </cell>
        </row>
        <row r="216">
          <cell r="A216" t="str">
            <v>Cây trúc anh đào chiều cao cây H ≥ 100 cm</v>
          </cell>
          <cell r="F216">
            <v>0</v>
          </cell>
        </row>
        <row r="217">
          <cell r="A217" t="str">
            <v>Cây lá màu</v>
          </cell>
          <cell r="F217">
            <v>0</v>
          </cell>
        </row>
        <row r="218">
          <cell r="A218" t="str">
            <v>Cây lá màu Cây giống mới trồng</v>
          </cell>
          <cell r="F218">
            <v>0</v>
          </cell>
        </row>
        <row r="219">
          <cell r="A219" t="str">
            <v>Cây lá màu chiều cao cây H &lt; 15 cm</v>
          </cell>
          <cell r="F219">
            <v>0</v>
          </cell>
        </row>
        <row r="220">
          <cell r="A220" t="str">
            <v>Cây lá màu chiều cao cây 15 cm &lt; H ≤ 30 cm</v>
          </cell>
          <cell r="F220">
            <v>0</v>
          </cell>
        </row>
        <row r="221">
          <cell r="A221" t="str">
            <v>Cây lá màu chiều cao cây 30 cm &lt; H ≤ 45 cm</v>
          </cell>
          <cell r="F221">
            <v>0</v>
          </cell>
        </row>
        <row r="222">
          <cell r="A222" t="str">
            <v>Cây lá màu chiều cao cây 45 cm &lt; H ≤ 60 cm</v>
          </cell>
          <cell r="F222">
            <v>0</v>
          </cell>
        </row>
        <row r="223">
          <cell r="A223" t="str">
            <v>Cây lá màu chiều cao cây 60 cm &lt; H ≤ 75 cm</v>
          </cell>
          <cell r="F223">
            <v>0</v>
          </cell>
        </row>
        <row r="224">
          <cell r="A224" t="str">
            <v>Cây lá màu chiều cao cây 75 cm &lt; H ≤ 90 cm</v>
          </cell>
          <cell r="F224">
            <v>0</v>
          </cell>
        </row>
        <row r="225">
          <cell r="A225" t="str">
            <v>Cây lá màu chiều cao cây 90 cm &lt; H ≤ 150 cm</v>
          </cell>
          <cell r="F225">
            <v>0</v>
          </cell>
        </row>
        <row r="226">
          <cell r="A226" t="str">
            <v>Cây lá màu chiều cao cây H &gt; 150 cm</v>
          </cell>
          <cell r="F226">
            <v>0</v>
          </cell>
        </row>
        <row r="227">
          <cell r="A227" t="str">
            <v>Cây đinh lăng</v>
          </cell>
          <cell r="F227">
            <v>0</v>
          </cell>
        </row>
        <row r="228">
          <cell r="A228" t="str">
            <v>Cây đinh lăng Cây giống mới trồng</v>
          </cell>
          <cell r="F228">
            <v>0</v>
          </cell>
        </row>
        <row r="229">
          <cell r="A229" t="str">
            <v>Cây đinh lăng chiều cao cây H ≤ 15 cm</v>
          </cell>
          <cell r="F229">
            <v>0</v>
          </cell>
        </row>
        <row r="230">
          <cell r="A230" t="str">
            <v>Cây đinh lăng chiều cao cây 15 cm &lt; H ≤ 30 cm</v>
          </cell>
          <cell r="F230">
            <v>0</v>
          </cell>
        </row>
        <row r="231">
          <cell r="A231" t="str">
            <v>Cây đinh lăng chiều cao cây 30 cm &lt; H ≤ 60 cm</v>
          </cell>
          <cell r="F231">
            <v>0</v>
          </cell>
        </row>
        <row r="232">
          <cell r="A232" t="str">
            <v>Cây đinh lăng chiều cao cây H &gt; 60 cm</v>
          </cell>
          <cell r="F232">
            <v>0</v>
          </cell>
        </row>
        <row r="233">
          <cell r="A233" t="str">
            <v>Cây đào cảnh</v>
          </cell>
          <cell r="F233">
            <v>0</v>
          </cell>
        </row>
        <row r="234">
          <cell r="A234" t="str">
            <v>Cây đào cảnh Cây giống mới trồng</v>
          </cell>
          <cell r="F234">
            <v>0</v>
          </cell>
        </row>
        <row r="235">
          <cell r="A235" t="str">
            <v>Cây đào cảnh chiều cao cây H ≤ 150 cm</v>
          </cell>
          <cell r="F235">
            <v>0</v>
          </cell>
        </row>
        <row r="236">
          <cell r="A236" t="str">
            <v>Cây đào cảnh chiều cao cây 150 cm &lt; H ≤ 200 cm</v>
          </cell>
          <cell r="F236">
            <v>0</v>
          </cell>
        </row>
        <row r="237">
          <cell r="A237" t="str">
            <v>Cây đào cảnh chiều cao cây H &gt; 200 cm</v>
          </cell>
          <cell r="F237">
            <v>0</v>
          </cell>
        </row>
        <row r="238">
          <cell r="A238" t="str">
            <v>Cây mai trắng</v>
          </cell>
          <cell r="F238">
            <v>0</v>
          </cell>
        </row>
        <row r="239">
          <cell r="A239" t="str">
            <v>Cây mai trắng chiều cao cây H ≤ 70 cm</v>
          </cell>
          <cell r="F239">
            <v>0</v>
          </cell>
        </row>
        <row r="240">
          <cell r="A240" t="str">
            <v>Cây mai trắng chiều cao cây 70 cm &lt; H ≤ 100 cm</v>
          </cell>
          <cell r="F240">
            <v>0</v>
          </cell>
        </row>
        <row r="241">
          <cell r="A241" t="str">
            <v>Cây mai trắng chiều cao cây 100 cm &lt; H ≤ 150 cm</v>
          </cell>
          <cell r="F241">
            <v>0</v>
          </cell>
        </row>
        <row r="242">
          <cell r="A242" t="str">
            <v>Cây mai trắng chiều cao cây H &gt; 150 cm</v>
          </cell>
          <cell r="F242">
            <v>0</v>
          </cell>
        </row>
        <row r="243">
          <cell r="A243" t="str">
            <v>Cây bạch thiên hương, bạch ngọc anh</v>
          </cell>
          <cell r="F243">
            <v>0</v>
          </cell>
        </row>
        <row r="244">
          <cell r="A244" t="str">
            <v>Cây bạch thiên hương, bạch ngọc anh chiều cao cây H ≤ 100 cm</v>
          </cell>
          <cell r="F244">
            <v>0</v>
          </cell>
        </row>
        <row r="245">
          <cell r="A245" t="str">
            <v>Cây bạch thiên hương, bạch ngọc anh chiều cao cây H &gt; 100 cm</v>
          </cell>
          <cell r="F245">
            <v>0</v>
          </cell>
        </row>
        <row r="246">
          <cell r="A246" t="str">
            <v>Cây trạng nguyên</v>
          </cell>
          <cell r="F246">
            <v>0</v>
          </cell>
        </row>
        <row r="247">
          <cell r="A247" t="str">
            <v>Cây trạng nguyên chiều cao cây H ≤ 100 cm</v>
          </cell>
          <cell r="F247">
            <v>0</v>
          </cell>
        </row>
        <row r="248">
          <cell r="A248" t="str">
            <v>Cây trạng nguyên chiều cao cây H &gt; 100 cm</v>
          </cell>
          <cell r="F248">
            <v>0</v>
          </cell>
        </row>
        <row r="249">
          <cell r="A249" t="str">
            <v>Cây ngô đồng cảnh</v>
          </cell>
          <cell r="F249">
            <v>0</v>
          </cell>
        </row>
        <row r="250">
          <cell r="A250" t="str">
            <v>Cây ngô đồng cảnh chiều cao cây H ≤ 50 cm</v>
          </cell>
          <cell r="F250">
            <v>0</v>
          </cell>
        </row>
        <row r="251">
          <cell r="A251" t="str">
            <v>Cây ngô đồng cảnh chiều cao cây H &gt; 50 cm</v>
          </cell>
          <cell r="F251">
            <v>0</v>
          </cell>
        </row>
        <row r="252">
          <cell r="A252" t="str">
            <v>Cây agao sọc</v>
          </cell>
          <cell r="F252">
            <v>0</v>
          </cell>
        </row>
        <row r="253">
          <cell r="A253" t="str">
            <v>Cây agao sọc chiều cao cây H ≤ 50 cm</v>
          </cell>
          <cell r="F253">
            <v>0</v>
          </cell>
        </row>
        <row r="254">
          <cell r="A254" t="str">
            <v>Cây agao sọc chiều cao cây H &gt; 50 cm</v>
          </cell>
          <cell r="F254">
            <v>0</v>
          </cell>
        </row>
        <row r="255">
          <cell r="A255" t="str">
            <v>Cây nguyệt quế</v>
          </cell>
          <cell r="F255">
            <v>0</v>
          </cell>
        </row>
        <row r="256">
          <cell r="A256" t="str">
            <v>Cây nguyệt quế chiều cao cây H ≤ 100 cm</v>
          </cell>
          <cell r="F256">
            <v>0</v>
          </cell>
        </row>
        <row r="257">
          <cell r="A257" t="str">
            <v>Cây nguyệt quế chiều cao cây 100 cm &lt; H ≤ 200 cm</v>
          </cell>
          <cell r="F257">
            <v>0</v>
          </cell>
        </row>
        <row r="258">
          <cell r="A258" t="str">
            <v>Cây nguyệt quế chiều cao cây H &gt; 200 cm</v>
          </cell>
          <cell r="F258">
            <v>0</v>
          </cell>
        </row>
        <row r="259">
          <cell r="A259" t="str">
            <v>Cây huyết dụ</v>
          </cell>
          <cell r="F259">
            <v>0</v>
          </cell>
        </row>
        <row r="260">
          <cell r="A260" t="str">
            <v>Cây huyết dụ Cây giống mới trồng</v>
          </cell>
          <cell r="F260">
            <v>0</v>
          </cell>
        </row>
        <row r="261">
          <cell r="A261" t="str">
            <v>Cây huyết dụ chiều cao cây H ≤ 60 cm</v>
          </cell>
          <cell r="F261">
            <v>0</v>
          </cell>
        </row>
        <row r="262">
          <cell r="A262" t="str">
            <v>Cây huyết dụ chiều cao cây H &gt; 60 cm</v>
          </cell>
          <cell r="F262">
            <v>0</v>
          </cell>
        </row>
        <row r="263">
          <cell r="A263" t="str">
            <v>Cây măng cảnh</v>
          </cell>
          <cell r="F263">
            <v>0</v>
          </cell>
        </row>
        <row r="264">
          <cell r="A264" t="str">
            <v>Cây măng cảnh chiều cao cây H ≤ 50 cm</v>
          </cell>
          <cell r="F264">
            <v>0</v>
          </cell>
        </row>
        <row r="265">
          <cell r="A265" t="str">
            <v>Cây măng cảnh chiều cao cây H &gt; 50 cm</v>
          </cell>
          <cell r="F265">
            <v>0</v>
          </cell>
        </row>
        <row r="266">
          <cell r="A266" t="str">
            <v>Cây chuối</v>
          </cell>
          <cell r="F266">
            <v>0</v>
          </cell>
        </row>
        <row r="267">
          <cell r="A267" t="str">
            <v>Cây chuối Cây giống mới trồng</v>
          </cell>
          <cell r="F267">
            <v>0</v>
          </cell>
        </row>
        <row r="268">
          <cell r="A268" t="str">
            <v>Cây chuối chiều cao cây H ≤ 120cm</v>
          </cell>
          <cell r="F268">
            <v>0</v>
          </cell>
        </row>
        <row r="269">
          <cell r="A269" t="str">
            <v>Cây chuối chiều cao cây H &gt; 120cm</v>
          </cell>
          <cell r="F269">
            <v>0</v>
          </cell>
        </row>
        <row r="270">
          <cell r="A270" t="str">
            <v>Cây chuối có quả</v>
          </cell>
          <cell r="F270">
            <v>0</v>
          </cell>
        </row>
        <row r="271">
          <cell r="A271" t="str">
            <v>Cây khổ sâm</v>
          </cell>
          <cell r="F271">
            <v>0</v>
          </cell>
        </row>
        <row r="272">
          <cell r="A272" t="str">
            <v>Cây khổ sâm Cây giống</v>
          </cell>
          <cell r="F272">
            <v>0</v>
          </cell>
        </row>
        <row r="273">
          <cell r="A273" t="str">
            <v>Cây khổ sâm chiều cao cây H ≤ 100 cm</v>
          </cell>
          <cell r="F273">
            <v>0</v>
          </cell>
        </row>
        <row r="274">
          <cell r="A274" t="str">
            <v>Cây khổ sâm chiều cao cây H &gt; 100 cm</v>
          </cell>
          <cell r="F274">
            <v>0</v>
          </cell>
        </row>
        <row r="275">
          <cell r="A275" t="str">
            <v>Cây hoa phù dung, dã quỳ</v>
          </cell>
          <cell r="F275">
            <v>0</v>
          </cell>
        </row>
        <row r="276">
          <cell r="A276" t="str">
            <v>Cây hoa phù dung, dã quỳ Cây giống mới trồng</v>
          </cell>
          <cell r="F276">
            <v>0</v>
          </cell>
        </row>
        <row r="277">
          <cell r="A277" t="str">
            <v>Cây hoa phù dung, dã quỳ chiều cao cây H ≤ 100 cm</v>
          </cell>
          <cell r="F277">
            <v>0</v>
          </cell>
        </row>
        <row r="278">
          <cell r="A278" t="str">
            <v>Cây hoa phù dung, dã quỳ chiều cao cây H &gt; 100 cm</v>
          </cell>
          <cell r="F278">
            <v>0</v>
          </cell>
        </row>
        <row r="279">
          <cell r="A279" t="str">
            <v>Cây lam tiền (lan tuyết)</v>
          </cell>
          <cell r="F279">
            <v>0</v>
          </cell>
        </row>
        <row r="280">
          <cell r="A280" t="str">
            <v>Cây lam tiền (lan tuyết) Cây giống mới trồng</v>
          </cell>
          <cell r="F280">
            <v>0</v>
          </cell>
        </row>
        <row r="281">
          <cell r="A281" t="str">
            <v>Cây lam tiền (lan tuyết) chiều cao cây H ≤ 50 cm</v>
          </cell>
          <cell r="F281">
            <v>0</v>
          </cell>
        </row>
        <row r="282">
          <cell r="A282" t="str">
            <v>Cây lam tiền (lan tuyết) chiều cao cây H &gt; 50 cm</v>
          </cell>
          <cell r="F282">
            <v>0</v>
          </cell>
        </row>
        <row r="283">
          <cell r="A283" t="str">
            <v>Cây ngọc lan</v>
          </cell>
          <cell r="F283">
            <v>0</v>
          </cell>
        </row>
        <row r="284">
          <cell r="A284" t="str">
            <v>Cây ngọc lan Cây giống mới trồng</v>
          </cell>
          <cell r="F284">
            <v>0</v>
          </cell>
        </row>
        <row r="285">
          <cell r="A285" t="str">
            <v>Cây ngọc lan chiều cao cây H &lt; 15 cm</v>
          </cell>
          <cell r="F285">
            <v>0</v>
          </cell>
        </row>
        <row r="286">
          <cell r="A286" t="str">
            <v>Cây ngọc lan chiều cao cây 15 cm ≤ H &lt; 30 cm</v>
          </cell>
          <cell r="F286">
            <v>0</v>
          </cell>
        </row>
        <row r="287">
          <cell r="A287" t="str">
            <v>Cây ngọc lan chiều cao cây 30 cm ≤ H &lt; 45 cm</v>
          </cell>
          <cell r="F287">
            <v>0</v>
          </cell>
        </row>
        <row r="288">
          <cell r="A288" t="str">
            <v>Cây ngọc lan chiều cao cây 45 cm ≤ H &lt; 60 cm</v>
          </cell>
          <cell r="F288">
            <v>0</v>
          </cell>
        </row>
        <row r="289">
          <cell r="A289" t="str">
            <v>Cây ngọc lan chiều cao cây 60 cm ≤ H &lt; 75 cm</v>
          </cell>
          <cell r="F289">
            <v>0</v>
          </cell>
        </row>
        <row r="290">
          <cell r="A290" t="str">
            <v>Cây ngọc lan chiều cao cây 75 cm ≤ H &lt; 90 cm</v>
          </cell>
          <cell r="F290">
            <v>0</v>
          </cell>
        </row>
        <row r="291">
          <cell r="A291" t="str">
            <v>Cây ngọc lan chiều cao cây 90 cm ≤ H &lt; 150 cm</v>
          </cell>
          <cell r="F291">
            <v>0</v>
          </cell>
        </row>
        <row r="292">
          <cell r="A292" t="str">
            <v>Cây ngọc lan chiều cao cây 150 cm ≤ H &lt; 250 cm</v>
          </cell>
          <cell r="F292">
            <v>0</v>
          </cell>
        </row>
        <row r="293">
          <cell r="A293" t="str">
            <v>Cây ngọc lan chiều cao cây H ≥ 250 cm</v>
          </cell>
          <cell r="F293">
            <v>0</v>
          </cell>
        </row>
        <row r="294">
          <cell r="A294" t="str">
            <v>Cây hoàng lan</v>
          </cell>
          <cell r="F294">
            <v>0</v>
          </cell>
        </row>
        <row r="295">
          <cell r="A295" t="str">
            <v>Cây hoàng lan Cây giống mới trồng</v>
          </cell>
          <cell r="F295">
            <v>0</v>
          </cell>
        </row>
        <row r="296">
          <cell r="A296" t="str">
            <v>Cây hoàng lan chiều cao cây H &lt; 15 cm</v>
          </cell>
          <cell r="F296">
            <v>0</v>
          </cell>
        </row>
        <row r="297">
          <cell r="A297" t="str">
            <v>Cây hoàng lan chiều cao cây 15 cm ≤ H &lt; 30 cm</v>
          </cell>
          <cell r="F297">
            <v>0</v>
          </cell>
        </row>
        <row r="298">
          <cell r="A298" t="str">
            <v>Cây hoàng lan chiều cao cây 30 cm ≤ H &lt; 45 cm</v>
          </cell>
          <cell r="F298">
            <v>0</v>
          </cell>
        </row>
        <row r="299">
          <cell r="A299" t="str">
            <v>Cây hoàng lan chiều cao cây 45 cm ≤ H &lt; 60 cm</v>
          </cell>
          <cell r="F299">
            <v>0</v>
          </cell>
        </row>
        <row r="300">
          <cell r="A300" t="str">
            <v>Cây hoàng lan chiều cao cây 60 cm ≤ H &lt; 75 cm</v>
          </cell>
          <cell r="F300">
            <v>0</v>
          </cell>
        </row>
        <row r="301">
          <cell r="A301" t="str">
            <v>Cây hoàng lan chiều cao cây 75 cm ≤ H &lt; 90 cm</v>
          </cell>
          <cell r="F301">
            <v>0</v>
          </cell>
        </row>
        <row r="302">
          <cell r="A302" t="str">
            <v>Cây hoàng lan chiều cao cây 90 cm ≤ H &lt; 150 cm</v>
          </cell>
          <cell r="F302">
            <v>0</v>
          </cell>
        </row>
        <row r="303">
          <cell r="A303" t="str">
            <v>Cây hoàng lan chiều cao cây 150 cm ≤ H &lt; 250 cm</v>
          </cell>
          <cell r="F303">
            <v>0</v>
          </cell>
        </row>
        <row r="304">
          <cell r="A304" t="str">
            <v>Cây hoàng lan chiều cao cây H ≥ 250 cm</v>
          </cell>
          <cell r="F304">
            <v>0</v>
          </cell>
        </row>
        <row r="305">
          <cell r="A305" t="str">
            <v>Cây Chùm ngây</v>
          </cell>
          <cell r="F305">
            <v>0</v>
          </cell>
        </row>
        <row r="306">
          <cell r="A306" t="str">
            <v>Cây Chùm ngây Cây giống mới trồng</v>
          </cell>
          <cell r="F306">
            <v>0</v>
          </cell>
        </row>
        <row r="307">
          <cell r="A307" t="str">
            <v>Cây Chùm ngây chiều cao cây H ≤ 100 cm</v>
          </cell>
          <cell r="F307">
            <v>0</v>
          </cell>
        </row>
        <row r="308">
          <cell r="A308" t="str">
            <v>Cây Chùm ngây chiều cao cây 100 &lt; H ≤ 150 cm</v>
          </cell>
          <cell r="F308">
            <v>0</v>
          </cell>
        </row>
        <row r="309">
          <cell r="A309" t="str">
            <v>Cây Chùm ngây chiều cao cây H &gt; 150 cm</v>
          </cell>
          <cell r="F309">
            <v>0</v>
          </cell>
        </row>
        <row r="310">
          <cell r="A310" t="str">
            <v>NHÓM CÂY TÍNH THEO ĐƯỜNG KÍNH THÂN, GÔC</v>
          </cell>
          <cell r="F310">
            <v>0</v>
          </cell>
        </row>
        <row r="311">
          <cell r="A311" t="str">
            <v>Cây bưởi, bòng</v>
          </cell>
          <cell r="F311">
            <v>0</v>
          </cell>
        </row>
        <row r="312">
          <cell r="A312" t="str">
            <v>Cây giống đủ tiêu chuẩn mới trồng</v>
          </cell>
          <cell r="F312">
            <v>0</v>
          </cell>
        </row>
        <row r="313">
          <cell r="A313" t="str">
            <v>Cây bưởi, bòng giống Loại cây ghép có chiều cao cây 40cm ≤ H &lt; 1m</v>
          </cell>
          <cell r="F313">
            <v>0</v>
          </cell>
        </row>
        <row r="314">
          <cell r="A314" t="str">
            <v>Cây bưởi, bòng giống Loại cây ghép có chiều cao cây H ≥ 1m</v>
          </cell>
          <cell r="F314">
            <v>0</v>
          </cell>
        </row>
        <row r="315">
          <cell r="A315" t="str">
            <v>Cây bưởi, bòng giống Loại cây chiết cành có chiều cao 40cm ≤ H &lt; 1m</v>
          </cell>
          <cell r="F315">
            <v>0</v>
          </cell>
        </row>
        <row r="316">
          <cell r="A316" t="str">
            <v>Cây bưởi, bòng giống Loại cây chiết cành có chiều cao cây H ≥ 1m</v>
          </cell>
          <cell r="F316">
            <v>0</v>
          </cell>
        </row>
        <row r="317">
          <cell r="A317" t="str">
            <v>Cây bưởi, bòng ĐK thân ≤ 5 cm</v>
          </cell>
          <cell r="F317">
            <v>0</v>
          </cell>
        </row>
        <row r="318">
          <cell r="A318" t="str">
            <v>Cây bưởi, bòng đường kính thân 5 cm &lt; ĐK thân ≤10 cm</v>
          </cell>
          <cell r="F318">
            <v>0</v>
          </cell>
        </row>
        <row r="319">
          <cell r="A319" t="str">
            <v>Cây bưởi, bòng đường kính thân 10 cm &lt; ĐK thân ≤ 15 cm</v>
          </cell>
          <cell r="F319">
            <v>0</v>
          </cell>
        </row>
        <row r="320">
          <cell r="A320" t="str">
            <v>Cây bưởi, bòng đường kính thân 15 cm &lt; ĐK thân ≤ 20 cm</v>
          </cell>
          <cell r="F320">
            <v>0</v>
          </cell>
        </row>
        <row r="321">
          <cell r="A321" t="str">
            <v>Cây bưởi, bòng đường kính thân 20 cm &lt; ĐK thân ≤25 cm</v>
          </cell>
          <cell r="F321">
            <v>0</v>
          </cell>
        </row>
        <row r="322">
          <cell r="A322" t="str">
            <v>Cây bưởi, bòng đường kính thân 25 cm &lt; ĐK thân ≤ 30 cm</v>
          </cell>
          <cell r="F322">
            <v>0</v>
          </cell>
        </row>
        <row r="323">
          <cell r="A323" t="str">
            <v>Cây bưởi, bòng đường kính thân 30 cm &lt; ĐK thân ≤ 40 cm</v>
          </cell>
          <cell r="F323">
            <v>0</v>
          </cell>
        </row>
        <row r="324">
          <cell r="A324" t="str">
            <v>Cây bưởi, bòng ĐK thân &gt; 40 cm</v>
          </cell>
          <cell r="F324">
            <v>0</v>
          </cell>
        </row>
        <row r="325">
          <cell r="A325" t="str">
            <v>Cây mít</v>
          </cell>
          <cell r="F325">
            <v>0</v>
          </cell>
        </row>
        <row r="326">
          <cell r="A326" t="str">
            <v>Cây mít giống đủ tiêu chuẩn mới trồng</v>
          </cell>
          <cell r="F326">
            <v>0</v>
          </cell>
        </row>
        <row r="327">
          <cell r="A327" t="str">
            <v>Cây mít ĐK thân ≤ 5 cm</v>
          </cell>
          <cell r="F327">
            <v>0</v>
          </cell>
        </row>
        <row r="328">
          <cell r="A328" t="str">
            <v>Cây mít đường kính thân 5 cm &lt; ĐK thân ≤ 10 cm</v>
          </cell>
          <cell r="F328">
            <v>0</v>
          </cell>
        </row>
        <row r="329">
          <cell r="A329" t="str">
            <v>Cây mít đường kính thân 10 cm &lt; ĐK thân ≤ 15 cm</v>
          </cell>
          <cell r="F329">
            <v>0</v>
          </cell>
        </row>
        <row r="330">
          <cell r="A330" t="str">
            <v>Cây mít đường kính thân 15 cm &lt; ĐK thân ≤ 20 cm</v>
          </cell>
          <cell r="F330">
            <v>0</v>
          </cell>
        </row>
        <row r="331">
          <cell r="A331" t="str">
            <v>Cây mít đường kính thân 20 cm &lt; ĐK thân ≤ 30 cm</v>
          </cell>
          <cell r="F331">
            <v>0</v>
          </cell>
        </row>
        <row r="332">
          <cell r="A332" t="str">
            <v>Cây mít đường kính thân 30 cm &lt; ĐK thân ≤ 40 cm</v>
          </cell>
          <cell r="F332">
            <v>0</v>
          </cell>
        </row>
        <row r="333">
          <cell r="A333" t="str">
            <v>Cây mít ĐK thân &gt; 40 cm</v>
          </cell>
          <cell r="F333">
            <v>0</v>
          </cell>
        </row>
        <row r="334">
          <cell r="A334" t="str">
            <v>Cây chay</v>
          </cell>
          <cell r="F334">
            <v>0</v>
          </cell>
        </row>
        <row r="335">
          <cell r="A335" t="str">
            <v>Cây chay giống đủ tiêu chuẩn mới trồng</v>
          </cell>
          <cell r="F335">
            <v>0</v>
          </cell>
        </row>
        <row r="336">
          <cell r="A336" t="str">
            <v>Cây chay ĐK thân ≤ 5 cm</v>
          </cell>
          <cell r="F336">
            <v>0</v>
          </cell>
        </row>
        <row r="337">
          <cell r="A337" t="str">
            <v>Cây chay đường kính thân 5 cm &lt; ĐK thân ≤ 10 cm</v>
          </cell>
          <cell r="F337">
            <v>0</v>
          </cell>
        </row>
        <row r="338">
          <cell r="A338" t="str">
            <v>Cây chay đường kính thân 10 cm &lt; ĐK thân ≤ 15 cm</v>
          </cell>
          <cell r="F338">
            <v>0</v>
          </cell>
        </row>
        <row r="339">
          <cell r="A339" t="str">
            <v>Cây chay đường kính thân 15 cm &lt; ĐK thân ≤ 20 cm</v>
          </cell>
          <cell r="F339">
            <v>0</v>
          </cell>
        </row>
        <row r="340">
          <cell r="A340" t="str">
            <v>Cây chay đường kính thân 20 cm &lt; ĐK thân ≤ 30 cm</v>
          </cell>
          <cell r="F340">
            <v>0</v>
          </cell>
        </row>
        <row r="341">
          <cell r="A341" t="str">
            <v>Cây chay đường kính thân 30 cm &lt; ĐK thân ≤ 40 cm</v>
          </cell>
          <cell r="F341">
            <v>0</v>
          </cell>
        </row>
        <row r="342">
          <cell r="A342" t="str">
            <v>Cây chay ĐK thân &gt; 40 cm</v>
          </cell>
          <cell r="F342">
            <v>0</v>
          </cell>
        </row>
        <row r="343">
          <cell r="A343" t="str">
            <v>Cây táo</v>
          </cell>
          <cell r="F343">
            <v>0</v>
          </cell>
        </row>
        <row r="344">
          <cell r="A344" t="str">
            <v>Cây táo giống đủ tiêu chuẩn mới trồng Loại cây ghép có chiều cao cây 40cm ≤ H &lt; 1m</v>
          </cell>
          <cell r="F344">
            <v>0</v>
          </cell>
        </row>
        <row r="345">
          <cell r="A345" t="str">
            <v>Cây táo loại cây ghép có chiều cao cây H ≥  1m</v>
          </cell>
          <cell r="F345">
            <v>0</v>
          </cell>
        </row>
        <row r="346">
          <cell r="A346" t="str">
            <v>Cây táo ĐK thân ≤ 5 cm</v>
          </cell>
          <cell r="F346">
            <v>0</v>
          </cell>
        </row>
        <row r="347">
          <cell r="A347" t="str">
            <v>Cây táo đường kính thân 5 cm &lt; ĐK thân ≤ 7 cm</v>
          </cell>
          <cell r="F347">
            <v>0</v>
          </cell>
        </row>
        <row r="348">
          <cell r="A348" t="str">
            <v>Cây táo đường kính thân 7 cm &lt; ĐK thân ≤ 11 cm</v>
          </cell>
          <cell r="F348">
            <v>0</v>
          </cell>
        </row>
        <row r="349">
          <cell r="A349" t="str">
            <v>Cây táo đường kính thân 11 cm &lt; ĐK thân ≤ 15 cm</v>
          </cell>
          <cell r="F349">
            <v>0</v>
          </cell>
        </row>
        <row r="350">
          <cell r="A350" t="str">
            <v>Cây táo đường kính thân 15 cm &lt; ĐK thân ≤ 20 cm</v>
          </cell>
          <cell r="F350">
            <v>0</v>
          </cell>
        </row>
        <row r="351">
          <cell r="A351" t="str">
            <v>Cây táo đường kính thân 20 cm &lt; ĐK thân ≤ 25 cm</v>
          </cell>
          <cell r="F351">
            <v>0</v>
          </cell>
        </row>
        <row r="352">
          <cell r="A352" t="str">
            <v>Cây táo ĐK thân &gt; 25 cm</v>
          </cell>
          <cell r="F352">
            <v>0</v>
          </cell>
        </row>
        <row r="353">
          <cell r="A353" t="str">
            <v>Cây xoài, cây quéo</v>
          </cell>
          <cell r="F353">
            <v>0</v>
          </cell>
        </row>
        <row r="354">
          <cell r="A354" t="str">
            <v>Cây xoài giống đủ tiêu chuẩn mới trồng, chiều cao cây H ≥ 40cm</v>
          </cell>
          <cell r="F354">
            <v>0</v>
          </cell>
        </row>
        <row r="355">
          <cell r="A355" t="str">
            <v>Cây xoài ĐK thân ≤ 5 cm</v>
          </cell>
          <cell r="F355">
            <v>0</v>
          </cell>
        </row>
        <row r="356">
          <cell r="A356" t="str">
            <v>Cây xoài đường kính thân 5 cm &lt; ĐK thân ≤ 10 cm</v>
          </cell>
          <cell r="F356">
            <v>0</v>
          </cell>
        </row>
        <row r="357">
          <cell r="A357" t="str">
            <v>Cây xoài đường kính thân 10 cm &lt;ĐK thân ≤ 15 cm</v>
          </cell>
          <cell r="F357">
            <v>0</v>
          </cell>
        </row>
        <row r="358">
          <cell r="A358" t="str">
            <v>Cây xoài đường kính thân 15 cm &lt; ĐK thân ≤ 20 cm</v>
          </cell>
          <cell r="F358">
            <v>0</v>
          </cell>
        </row>
        <row r="359">
          <cell r="A359" t="str">
            <v>Cây xoài đường kính thân 20 cm &lt; ĐK thân ≤ 30 cm</v>
          </cell>
          <cell r="F359">
            <v>0</v>
          </cell>
        </row>
        <row r="360">
          <cell r="A360" t="str">
            <v>Cây xoài đường kính thân 30 cm &lt; ĐK thân ≤ 40 cm</v>
          </cell>
          <cell r="F360">
            <v>0</v>
          </cell>
        </row>
        <row r="361">
          <cell r="A361" t="str">
            <v>Cây xoài ĐK thân &gt; 40 cm</v>
          </cell>
          <cell r="F361">
            <v>0</v>
          </cell>
        </row>
        <row r="362">
          <cell r="A362" t="str">
            <v>Cây vú sữa</v>
          </cell>
          <cell r="F362">
            <v>0</v>
          </cell>
        </row>
        <row r="363">
          <cell r="A363" t="str">
            <v>Cây vú sữa giống đủ tiêu chuẩn mới trồng, chiều cao cây H ≥ 40cm</v>
          </cell>
          <cell r="F363">
            <v>0</v>
          </cell>
        </row>
        <row r="364">
          <cell r="A364" t="str">
            <v>Cây vú sữa ĐK thân ≤5 cm</v>
          </cell>
          <cell r="F364">
            <v>0</v>
          </cell>
        </row>
        <row r="365">
          <cell r="A365" t="str">
            <v>Cây vú sữa đường kính thân 5 cm &lt; ĐK thân  ≤ 10 cm</v>
          </cell>
          <cell r="F365">
            <v>0</v>
          </cell>
        </row>
        <row r="366">
          <cell r="A366" t="str">
            <v>Cây vú sữa đường kính thân 10 cm &lt; ĐK thân  ≤ 15 cm</v>
          </cell>
          <cell r="F366">
            <v>0</v>
          </cell>
        </row>
        <row r="367">
          <cell r="A367" t="str">
            <v>Cây vú sữa đường kính thân 15 cm &lt; ĐK thân  ≤ 20 cm</v>
          </cell>
          <cell r="F367">
            <v>0</v>
          </cell>
        </row>
        <row r="368">
          <cell r="A368" t="str">
            <v>Cây vú sữa đường kính thân 20 cm &lt; ĐK thân  ≤ 30 cm</v>
          </cell>
          <cell r="F368">
            <v>0</v>
          </cell>
        </row>
        <row r="369">
          <cell r="A369" t="str">
            <v>Cây vú sữa ĐK thân &gt; 30 cm</v>
          </cell>
          <cell r="F369">
            <v>0</v>
          </cell>
        </row>
        <row r="370">
          <cell r="A370" t="str">
            <v>Cây vú sữa hoàng kim</v>
          </cell>
          <cell r="F370">
            <v>0</v>
          </cell>
        </row>
        <row r="371">
          <cell r="A371" t="str">
            <v>Cây vú sữa hoàng kim ĐK thân  ≤ 5 cm</v>
          </cell>
          <cell r="F371">
            <v>0</v>
          </cell>
        </row>
        <row r="372">
          <cell r="A372" t="str">
            <v>Cây vú sữa hoàng kim đường kính thân 5 cm &lt; ĐK thân  ≤ 10 cm</v>
          </cell>
          <cell r="F372">
            <v>0</v>
          </cell>
        </row>
        <row r="373">
          <cell r="A373" t="str">
            <v>Cây vú sữa hoàng kim đường kính thân 10 cm &lt; ĐK thân  ≤ 15 cm</v>
          </cell>
          <cell r="F373">
            <v>0</v>
          </cell>
        </row>
        <row r="374">
          <cell r="A374" t="str">
            <v>Cây vú sữa hoàng kim đường kính thân 15 cm &lt; ĐK thân  ≤ 20 cm</v>
          </cell>
          <cell r="F374">
            <v>0</v>
          </cell>
        </row>
        <row r="375">
          <cell r="A375" t="str">
            <v>Cây vú sữa hoàng kim đường kính thân 20 cm &lt; ĐK thân  ≤ 30 cm</v>
          </cell>
          <cell r="F375">
            <v>0</v>
          </cell>
        </row>
        <row r="376">
          <cell r="A376" t="str">
            <v>Cây vú sữa hoàng kim ĐK thân &gt;30 cm</v>
          </cell>
          <cell r="F376">
            <v>0</v>
          </cell>
        </row>
        <row r="377">
          <cell r="A377" t="str">
            <v>Cây na (na dai, na bở)</v>
          </cell>
          <cell r="F377">
            <v>0</v>
          </cell>
        </row>
        <row r="378">
          <cell r="A378" t="str">
            <v>Cây na giống đủ tiêu chuẩn mới trồng, chiều cao cây H ≥ 40cm</v>
          </cell>
          <cell r="F378">
            <v>0</v>
          </cell>
        </row>
        <row r="379">
          <cell r="A379" t="str">
            <v>Cây na ĐK thân ≤ 3 cm</v>
          </cell>
          <cell r="F379">
            <v>0</v>
          </cell>
        </row>
        <row r="380">
          <cell r="A380" t="str">
            <v>Cây na đường kính thân 3 cm &lt; ĐK thân ≤ 5 cm</v>
          </cell>
          <cell r="F380">
            <v>0</v>
          </cell>
        </row>
        <row r="381">
          <cell r="A381" t="str">
            <v>Cây na đường kính thân 5 cm &lt; ĐK thân ≤ 7 cm</v>
          </cell>
          <cell r="F381">
            <v>0</v>
          </cell>
        </row>
        <row r="382">
          <cell r="A382" t="str">
            <v>Cây na đường kính thân 7 cm &lt; ĐK thân ≤ 10 cm</v>
          </cell>
          <cell r="F382">
            <v>0</v>
          </cell>
        </row>
        <row r="383">
          <cell r="A383" t="str">
            <v>Cây na ĐK thân &gt; 10 cm</v>
          </cell>
          <cell r="F383">
            <v>0</v>
          </cell>
        </row>
        <row r="384">
          <cell r="A384" t="str">
            <v>Cây khế</v>
          </cell>
          <cell r="F384">
            <v>0</v>
          </cell>
        </row>
        <row r="385">
          <cell r="A385" t="str">
            <v>Cây khế giống Loại cây ghép có chiều cao cây 40cm ≤ H &lt; 1m</v>
          </cell>
          <cell r="F385">
            <v>0</v>
          </cell>
        </row>
        <row r="386">
          <cell r="A386" t="str">
            <v>Cây khế giống Loại cây ghép có chiều cao cây H ≥ 1m</v>
          </cell>
          <cell r="F386">
            <v>0</v>
          </cell>
        </row>
        <row r="387">
          <cell r="A387" t="str">
            <v>Cây khế ĐK thân ≤ 5 cm</v>
          </cell>
          <cell r="F387">
            <v>0</v>
          </cell>
        </row>
        <row r="388">
          <cell r="A388" t="str">
            <v>Cây khế đường kính thân 5 cm &lt; ĐK thân ≤ 10 cm</v>
          </cell>
          <cell r="F388">
            <v>0</v>
          </cell>
        </row>
        <row r="389">
          <cell r="A389" t="str">
            <v>Cây khế đường kính thân 10 cm &lt; ĐK thân ≤ 15 cm</v>
          </cell>
          <cell r="F389">
            <v>0</v>
          </cell>
        </row>
        <row r="390">
          <cell r="A390" t="str">
            <v>Cây khế đường kính thân 15 cm &lt; ĐK thân ≤ 20 cm</v>
          </cell>
          <cell r="F390">
            <v>0</v>
          </cell>
        </row>
        <row r="391">
          <cell r="A391" t="str">
            <v>Cây khế đường kính thân 20 cm &lt; ĐK thân ≤ 25 cm</v>
          </cell>
          <cell r="F391">
            <v>0</v>
          </cell>
        </row>
        <row r="392">
          <cell r="A392" t="str">
            <v>Cây khế ĐK thân &gt; 25 cm</v>
          </cell>
          <cell r="F392">
            <v>0</v>
          </cell>
        </row>
        <row r="393">
          <cell r="A393" t="str">
            <v>Cây ổi</v>
          </cell>
          <cell r="F393">
            <v>0</v>
          </cell>
        </row>
        <row r="394">
          <cell r="A394" t="str">
            <v>Cây ổi giống Loại cây ghép có chiều cao cây 40cm ≤ H &lt; 1m</v>
          </cell>
          <cell r="F394">
            <v>0</v>
          </cell>
        </row>
        <row r="395">
          <cell r="A395" t="str">
            <v>Cây ổi giống Loại cây ghép có chiều cao cây H ≥ 1m</v>
          </cell>
          <cell r="F395">
            <v>0</v>
          </cell>
        </row>
        <row r="396">
          <cell r="A396" t="str">
            <v>Cây ổi giống Loại cây chiết có chiều cao cây 40cm ≤ H &lt; 1 m</v>
          </cell>
          <cell r="F396">
            <v>0</v>
          </cell>
        </row>
        <row r="397">
          <cell r="A397" t="str">
            <v>Cây ổi ĐK thân ≤ 5 cm</v>
          </cell>
          <cell r="F397">
            <v>0</v>
          </cell>
        </row>
        <row r="398">
          <cell r="A398" t="str">
            <v>Cây ổi đường kính thân 5 cm &lt; ĐK thân ≤ 10 cm</v>
          </cell>
          <cell r="F398">
            <v>0</v>
          </cell>
        </row>
        <row r="399">
          <cell r="A399" t="str">
            <v>Cây ổi đường kính thân 10 cm &lt; ĐK thân ≤ 15 cm</v>
          </cell>
          <cell r="F399">
            <v>0</v>
          </cell>
        </row>
        <row r="400">
          <cell r="A400" t="str">
            <v>Cây ổi đường kính thân 15 cm &lt; ĐK thân ≤ 20 cm</v>
          </cell>
          <cell r="F400">
            <v>0</v>
          </cell>
        </row>
        <row r="401">
          <cell r="A401" t="str">
            <v>Cây ổi ĐK thân &gt; 20 cm</v>
          </cell>
          <cell r="F401">
            <v>0</v>
          </cell>
        </row>
        <row r="402">
          <cell r="A402" t="str">
            <v>Cây nhãn</v>
          </cell>
          <cell r="F402">
            <v>0</v>
          </cell>
        </row>
        <row r="403">
          <cell r="A403" t="str">
            <v>Cây nhãn giống Loại cây ghép có chiều cao cây 40cm ≤ H &lt; 1m</v>
          </cell>
          <cell r="F403">
            <v>0</v>
          </cell>
        </row>
        <row r="404">
          <cell r="A404" t="str">
            <v>Cây nhãn giống Loại cây ghép có chiều cao cây H ≥ 1m</v>
          </cell>
          <cell r="F404">
            <v>0</v>
          </cell>
        </row>
        <row r="405">
          <cell r="A405" t="str">
            <v>Cây nhãn giống Loại cây chiết cành có chiều cao 40cm  ≤ H &lt; 1m</v>
          </cell>
          <cell r="F405">
            <v>0</v>
          </cell>
        </row>
        <row r="406">
          <cell r="A406" t="str">
            <v>Cây nhãn giống Loại cây chiết cành có chiều cao cây H ≥ 1m</v>
          </cell>
          <cell r="F406">
            <v>0</v>
          </cell>
        </row>
        <row r="407">
          <cell r="A407" t="str">
            <v>Cây nhãn ĐK thân ≤ 5 cm</v>
          </cell>
          <cell r="F407">
            <v>0</v>
          </cell>
        </row>
        <row r="408">
          <cell r="A408" t="str">
            <v>Cây nhãn đường kính thân 5 cm &lt; ĐK thân ≤ 10cm</v>
          </cell>
          <cell r="F408">
            <v>0</v>
          </cell>
        </row>
        <row r="409">
          <cell r="A409" t="str">
            <v>Cây nhãn đường kính thân 10 cm &lt; ĐK thân ≤ 15 cm</v>
          </cell>
          <cell r="F409">
            <v>0</v>
          </cell>
        </row>
        <row r="410">
          <cell r="A410" t="str">
            <v>Cây nhãn đường kính thân 15 cm &lt; ĐK thân ≤ 20 cm</v>
          </cell>
          <cell r="F410">
            <v>0</v>
          </cell>
        </row>
        <row r="411">
          <cell r="A411" t="str">
            <v>Cây nhãn đường kính thân 20 cm &lt; ĐK thân ≤ 25 cm</v>
          </cell>
          <cell r="F411">
            <v>0</v>
          </cell>
        </row>
        <row r="412">
          <cell r="A412" t="str">
            <v>Cây nhãn đường kính thân 25 cm &lt; ĐK thân ≤ 30 cm</v>
          </cell>
          <cell r="F412">
            <v>0</v>
          </cell>
        </row>
        <row r="413">
          <cell r="A413" t="str">
            <v>Cây nhãn đường kính thân 30 cm &lt; ĐK thân ≤ 40 cm</v>
          </cell>
          <cell r="F413">
            <v>0</v>
          </cell>
        </row>
        <row r="414">
          <cell r="A414" t="str">
            <v>Cây nhãn ĐK thân &gt; 40 cm</v>
          </cell>
          <cell r="F414">
            <v>0</v>
          </cell>
        </row>
        <row r="415">
          <cell r="A415" t="str">
            <v>Cây vải</v>
          </cell>
          <cell r="F415">
            <v>0</v>
          </cell>
        </row>
        <row r="416">
          <cell r="A416" t="str">
            <v>Cây vải giống Loại cây ghép có chiều cao cây 40cm ≤ H &lt; 1m</v>
          </cell>
          <cell r="F416">
            <v>0</v>
          </cell>
        </row>
        <row r="417">
          <cell r="A417" t="str">
            <v>Cây vải giống Loại cây ghép có chiều cao cây H ≥ 1m</v>
          </cell>
          <cell r="F417">
            <v>0</v>
          </cell>
        </row>
        <row r="418">
          <cell r="A418" t="str">
            <v>Cây vải giống Loại cây chiết cành có chiều cao 40cm  ≤ H &lt; 1m</v>
          </cell>
          <cell r="F418">
            <v>0</v>
          </cell>
        </row>
        <row r="419">
          <cell r="A419" t="str">
            <v>Cây vải giống Loại cây chiết cành có chiều cao cây H ≥ 1m</v>
          </cell>
          <cell r="F419">
            <v>0</v>
          </cell>
        </row>
        <row r="420">
          <cell r="A420" t="str">
            <v>Cây vải ĐK thân ≤ 5 cm</v>
          </cell>
          <cell r="F420">
            <v>0</v>
          </cell>
        </row>
        <row r="421">
          <cell r="A421" t="str">
            <v>Cây vải đường kính thân 5 cm &lt; ĐK thân ≤ 10cm</v>
          </cell>
          <cell r="F421">
            <v>0</v>
          </cell>
        </row>
        <row r="422">
          <cell r="A422" t="str">
            <v>Cây vải đường kính thân 10 cm &lt; ĐK thân ≤ 15 cm</v>
          </cell>
          <cell r="F422">
            <v>0</v>
          </cell>
        </row>
        <row r="423">
          <cell r="A423" t="str">
            <v>Cây vải đường kính thân 15 cm &lt; ĐK thân ≤ 20 cm</v>
          </cell>
          <cell r="F423">
            <v>0</v>
          </cell>
        </row>
        <row r="424">
          <cell r="A424" t="str">
            <v>Cây vải đường kính thân 20 cm &lt; ĐK thân ≤ 25 cm</v>
          </cell>
          <cell r="F424">
            <v>0</v>
          </cell>
        </row>
        <row r="425">
          <cell r="A425" t="str">
            <v>Cây vải đường kính thân 25 cm &lt; ĐK thân ≤ 30 cm</v>
          </cell>
          <cell r="F425">
            <v>0</v>
          </cell>
        </row>
        <row r="426">
          <cell r="A426" t="str">
            <v>Cây vải đường kính thân 30 cm &lt; ĐK thân ≤ 40 cm</v>
          </cell>
          <cell r="F426">
            <v>0</v>
          </cell>
        </row>
        <row r="427">
          <cell r="A427" t="str">
            <v>Cây vải ĐK thân &gt; 40 cm</v>
          </cell>
          <cell r="F427">
            <v>0</v>
          </cell>
        </row>
        <row r="428">
          <cell r="A428" t="str">
            <v>Cây đu đủ</v>
          </cell>
          <cell r="F428">
            <v>0</v>
          </cell>
        </row>
        <row r="429">
          <cell r="A429" t="str">
            <v>Cây đu đủ giống đủ tiêu chuẩn mới trồng, chiều cao cây H ≥ 40cm</v>
          </cell>
          <cell r="F429">
            <v>0</v>
          </cell>
        </row>
        <row r="430">
          <cell r="A430" t="str">
            <v>Cây đu đủ ĐK thân ≤ 3 cm</v>
          </cell>
          <cell r="F430">
            <v>0</v>
          </cell>
        </row>
        <row r="431">
          <cell r="A431" t="str">
            <v>Cây đu đủ đường kính thân 3 cm &lt; ĐK thân ≤ 7 cm</v>
          </cell>
          <cell r="F431">
            <v>0</v>
          </cell>
        </row>
        <row r="432">
          <cell r="A432" t="str">
            <v>Cây đu đủ đường kính thân 7 cm &lt; ĐK thân ≤ 10 cm</v>
          </cell>
          <cell r="F432">
            <v>0</v>
          </cell>
        </row>
        <row r="433">
          <cell r="A433" t="str">
            <v>Cây đu đủ đường kính thân ĐK thân &gt; 10 cm</v>
          </cell>
          <cell r="F433">
            <v>0</v>
          </cell>
        </row>
        <row r="434">
          <cell r="A434" t="str">
            <v>Cây trứng gà</v>
          </cell>
          <cell r="F434">
            <v>0</v>
          </cell>
        </row>
        <row r="435">
          <cell r="A435" t="str">
            <v>Cây trứng gà giống đủ tiêu chuẩn mới trồng, chiều cao cây H  ≥ 40cm</v>
          </cell>
          <cell r="F435">
            <v>0</v>
          </cell>
        </row>
        <row r="436">
          <cell r="A436" t="str">
            <v>Cây trứng gà ĐK thân ≤5 cm</v>
          </cell>
          <cell r="F436">
            <v>0</v>
          </cell>
        </row>
        <row r="437">
          <cell r="A437" t="str">
            <v>Cây trứng gà đường kính thân 5 cm &lt; ĐK thân ≤ 10 cm</v>
          </cell>
          <cell r="F437">
            <v>0</v>
          </cell>
        </row>
        <row r="438">
          <cell r="A438" t="str">
            <v>Cây trứng gà đường kính thân 10 cm &lt; ĐK thân ≤ 15 cm</v>
          </cell>
          <cell r="F438">
            <v>0</v>
          </cell>
        </row>
        <row r="439">
          <cell r="A439" t="str">
            <v>Cây trứng gà đường kính thân 15 cm &lt; ĐK thân ≤ 20 cm</v>
          </cell>
          <cell r="F439">
            <v>0</v>
          </cell>
        </row>
        <row r="440">
          <cell r="A440" t="str">
            <v>Cây trứng gà đường kính thân 20 cm &lt; ĐK thân ≤ 25 cm</v>
          </cell>
          <cell r="F440">
            <v>0</v>
          </cell>
        </row>
        <row r="441">
          <cell r="A441" t="str">
            <v>Cây trứng gà ĐK thân &gt; 25 cm</v>
          </cell>
          <cell r="F441">
            <v>0</v>
          </cell>
        </row>
        <row r="442">
          <cell r="A442" t="str">
            <v>Cây dừa</v>
          </cell>
          <cell r="F442">
            <v>0</v>
          </cell>
        </row>
        <row r="443">
          <cell r="A443" t="str">
            <v>Cây dừa giống đủ tiêu chuẩn mới trồng</v>
          </cell>
          <cell r="F443">
            <v>0</v>
          </cell>
        </row>
        <row r="444">
          <cell r="A444" t="str">
            <v>Cây dừa ĐK thân ≤ 10 cm</v>
          </cell>
          <cell r="F444">
            <v>0</v>
          </cell>
        </row>
        <row r="445">
          <cell r="A445" t="str">
            <v>Cây dừa đường kính thân 10 cm &lt; ĐK thân ≤ 15 cm</v>
          </cell>
          <cell r="F445">
            <v>0</v>
          </cell>
        </row>
        <row r="446">
          <cell r="A446" t="str">
            <v>Cây dừa đường kính thân 15 cm &lt; ĐK thân ≤ 25 cm</v>
          </cell>
          <cell r="F446">
            <v>0</v>
          </cell>
        </row>
        <row r="447">
          <cell r="A447" t="str">
            <v>Cây dừa đường kính thân 25 cm &lt; ĐK thân ≤ 40 cm</v>
          </cell>
          <cell r="F447">
            <v>0</v>
          </cell>
        </row>
        <row r="448">
          <cell r="A448" t="str">
            <v>Cây dừa đường kính thân 40 cm &lt; ĐK thân ≤ 55 cm</v>
          </cell>
          <cell r="F448">
            <v>0</v>
          </cell>
        </row>
        <row r="449">
          <cell r="A449" t="str">
            <v>Cây dừa ĐK thân &gt; 55 cm</v>
          </cell>
          <cell r="F449">
            <v>0</v>
          </cell>
        </row>
        <row r="450">
          <cell r="A450" t="str">
            <v>Cây me</v>
          </cell>
          <cell r="F450">
            <v>0</v>
          </cell>
        </row>
        <row r="451">
          <cell r="A451" t="str">
            <v>Cây me giống đủ tiêu chuẩn mới trồng, chiều cao cây H  ≥ 40cm</v>
          </cell>
          <cell r="F451">
            <v>0</v>
          </cell>
        </row>
        <row r="452">
          <cell r="A452" t="str">
            <v>Cây me ĐK thân ≤ 5 cm</v>
          </cell>
          <cell r="F452">
            <v>0</v>
          </cell>
        </row>
        <row r="453">
          <cell r="A453" t="str">
            <v>Cây me đường kính thân 5 cm &lt; ĐK thân ≤ 10 cm</v>
          </cell>
          <cell r="F453">
            <v>0</v>
          </cell>
        </row>
        <row r="454">
          <cell r="A454" t="str">
            <v>Cây me đường kính thân 10 cm &lt; ĐK thân ≤ 20 cm</v>
          </cell>
          <cell r="F454">
            <v>0</v>
          </cell>
        </row>
        <row r="455">
          <cell r="A455" t="str">
            <v>Cây me đường kính thân 20 cm &lt; ĐK thân ≤ 30 cm</v>
          </cell>
          <cell r="F455">
            <v>0</v>
          </cell>
        </row>
        <row r="456">
          <cell r="A456" t="str">
            <v>Cây me ĐK thân &gt; 30 cm</v>
          </cell>
          <cell r="F456">
            <v>0</v>
          </cell>
        </row>
        <row r="457">
          <cell r="A457" t="str">
            <v>Cây sấu</v>
          </cell>
          <cell r="F457">
            <v>0</v>
          </cell>
        </row>
        <row r="458">
          <cell r="A458" t="str">
            <v>Cây sấu Giống đủ tiêu chuẩn mới trồng, chiều cao cây H ≥ 40cm</v>
          </cell>
          <cell r="F458">
            <v>0</v>
          </cell>
        </row>
        <row r="459">
          <cell r="A459" t="str">
            <v>Cây sấu ĐK thân ≤5 cm</v>
          </cell>
          <cell r="F459">
            <v>0</v>
          </cell>
        </row>
        <row r="460">
          <cell r="A460" t="str">
            <v>Cây sấu đường kính thân 5 cm &lt; ĐK thân ≤ 10 cm</v>
          </cell>
          <cell r="F460">
            <v>0</v>
          </cell>
        </row>
        <row r="461">
          <cell r="A461" t="str">
            <v>Cây sấu đường kính thân 10 cm &lt; ĐK thân ≤ 15 cm</v>
          </cell>
          <cell r="F461">
            <v>0</v>
          </cell>
        </row>
        <row r="462">
          <cell r="A462" t="str">
            <v>Cây sấu đường kính thân 15 cm &lt; ĐK thân ≤ 20 cm</v>
          </cell>
          <cell r="F462">
            <v>0</v>
          </cell>
        </row>
        <row r="463">
          <cell r="A463" t="str">
            <v>Cây sấu đường kính thân 20 cm &lt; ĐK thân ≤ 30 cm</v>
          </cell>
          <cell r="F463">
            <v>0</v>
          </cell>
        </row>
        <row r="464">
          <cell r="A464" t="str">
            <v>Cây sấu đường kính thân 30 cm &lt; ĐK thân ≤ 40 cm</v>
          </cell>
          <cell r="F464">
            <v>0</v>
          </cell>
        </row>
        <row r="465">
          <cell r="A465" t="str">
            <v>Cây sấu ĐK thân &gt; 40 cm</v>
          </cell>
          <cell r="F465">
            <v>0</v>
          </cell>
        </row>
        <row r="466">
          <cell r="A466" t="str">
            <v>Cây vối</v>
          </cell>
          <cell r="F466">
            <v>0</v>
          </cell>
        </row>
        <row r="467">
          <cell r="A467" t="str">
            <v>Cây vối Giống đủ tiêu chuẩn mới trồng, chiều cao cây H &gt; 40cm</v>
          </cell>
          <cell r="F467">
            <v>0</v>
          </cell>
        </row>
        <row r="468">
          <cell r="A468" t="str">
            <v>Cây vối ĐK thân ≤5 cm</v>
          </cell>
          <cell r="F468">
            <v>0</v>
          </cell>
        </row>
        <row r="469">
          <cell r="A469" t="str">
            <v>Cây vối đường kính thân 5 cm &lt; ĐK thân ≤10 cm</v>
          </cell>
          <cell r="F469">
            <v>0</v>
          </cell>
        </row>
        <row r="470">
          <cell r="A470" t="str">
            <v>Cây vối đường kính thân 10 cm &lt; ĐK thân ≤15 cm</v>
          </cell>
          <cell r="F470">
            <v>0</v>
          </cell>
        </row>
        <row r="471">
          <cell r="A471" t="str">
            <v>Cây vối đường kính thân 15 cm &lt; ĐK thân ≤25 cm</v>
          </cell>
          <cell r="F471">
            <v>0</v>
          </cell>
        </row>
        <row r="472">
          <cell r="A472" t="str">
            <v>Cây vối ĐK thân &gt; 25 cm</v>
          </cell>
          <cell r="F472">
            <v>0</v>
          </cell>
        </row>
        <row r="473">
          <cell r="A473" t="str">
            <v>Cây bơ</v>
          </cell>
          <cell r="F473">
            <v>0</v>
          </cell>
        </row>
        <row r="474">
          <cell r="A474" t="str">
            <v>Cây bơ mới trồng &lt; 01 năm (cây từ hạt)</v>
          </cell>
          <cell r="F474">
            <v>0</v>
          </cell>
        </row>
        <row r="475">
          <cell r="A475" t="str">
            <v>Cây bơ mới trồng &lt; 01 năm (cây ghép)</v>
          </cell>
          <cell r="F475">
            <v>0</v>
          </cell>
        </row>
        <row r="476">
          <cell r="A476" t="str">
            <v>Cây bơ ĐK thân ≤5 cm</v>
          </cell>
          <cell r="F476">
            <v>0</v>
          </cell>
        </row>
        <row r="477">
          <cell r="A477" t="str">
            <v>Cây bơ đường kính thân 5 cm &lt; ĐK thân ≤10 cm</v>
          </cell>
          <cell r="F477">
            <v>0</v>
          </cell>
        </row>
        <row r="478">
          <cell r="A478" t="str">
            <v>Cây bơ đường kính thân 10 cm &lt; ĐK thân ≤15 cm</v>
          </cell>
          <cell r="F478">
            <v>0</v>
          </cell>
        </row>
        <row r="479">
          <cell r="A479" t="str">
            <v>Cây bơ ĐK thân &gt; 15 cm</v>
          </cell>
          <cell r="F479">
            <v>0</v>
          </cell>
        </row>
        <row r="480">
          <cell r="A480" t="str">
            <v>Cây cóc</v>
          </cell>
          <cell r="F480">
            <v>0</v>
          </cell>
        </row>
        <row r="481">
          <cell r="A481" t="str">
            <v>Cây cóc ĐK thân ≤5 cm</v>
          </cell>
          <cell r="F481">
            <v>0</v>
          </cell>
        </row>
        <row r="482">
          <cell r="A482" t="str">
            <v>Cây cóc đường kính thân 5 cm &lt; ĐK thân ≤10 cm</v>
          </cell>
          <cell r="F482">
            <v>0</v>
          </cell>
        </row>
        <row r="483">
          <cell r="A483" t="str">
            <v>Cây cóc đường kính thân 10 cm &lt; ĐK thân ≤15 cm</v>
          </cell>
          <cell r="F483">
            <v>0</v>
          </cell>
        </row>
        <row r="484">
          <cell r="A484" t="str">
            <v>Cây cóc đường kính thân 15 cm &lt; ĐK thân ≤20 cm</v>
          </cell>
          <cell r="F484">
            <v>0</v>
          </cell>
        </row>
        <row r="485">
          <cell r="A485" t="str">
            <v>Cây cóc đường kính thân 20 cm &lt; ĐK thân ≤30 cm</v>
          </cell>
          <cell r="F485">
            <v>0</v>
          </cell>
        </row>
        <row r="486">
          <cell r="A486" t="str">
            <v>Cây cóc đường kính thân 30 cm &lt; ĐK thân ≤40 cm</v>
          </cell>
          <cell r="F486">
            <v>0</v>
          </cell>
        </row>
        <row r="487">
          <cell r="A487" t="str">
            <v>Cây cóc ĐK thân &gt; 40 cm</v>
          </cell>
          <cell r="F487">
            <v>0</v>
          </cell>
        </row>
        <row r="488">
          <cell r="A488" t="str">
            <v>Cây quất hồng bì</v>
          </cell>
          <cell r="F488">
            <v>0</v>
          </cell>
        </row>
        <row r="489">
          <cell r="A489" t="str">
            <v>Cây quất hồng bì ĐK thân ≤5 cm</v>
          </cell>
          <cell r="F489">
            <v>0</v>
          </cell>
        </row>
        <row r="490">
          <cell r="A490" t="str">
            <v>Cây quất hồng bì đường kính thân 5 cm &lt; ĐK thân ≤10 cm</v>
          </cell>
          <cell r="F490">
            <v>0</v>
          </cell>
        </row>
        <row r="491">
          <cell r="A491" t="str">
            <v>Cây quất hồng bì đường kính thân 10 cm &lt; ĐK thân ≤15 cm</v>
          </cell>
          <cell r="F491">
            <v>0</v>
          </cell>
        </row>
        <row r="492">
          <cell r="A492" t="str">
            <v>Cây quất hồng bì đường kính thân 15 cm &lt; ĐK thân ≤20 cm</v>
          </cell>
          <cell r="F492">
            <v>0</v>
          </cell>
        </row>
        <row r="493">
          <cell r="A493" t="str">
            <v>Cây quất hồng bì đường kính thân 20 cm &lt; ĐK thân ≤30 cm</v>
          </cell>
          <cell r="F493">
            <v>0</v>
          </cell>
        </row>
        <row r="494">
          <cell r="A494" t="str">
            <v>Cây quất hồng bì đường kính thân 30 cm &lt; ĐK thân ≤40 cm</v>
          </cell>
          <cell r="F494">
            <v>0</v>
          </cell>
        </row>
        <row r="495">
          <cell r="A495" t="str">
            <v>Cây quất hồng bì ĐK thân &gt; 40 cm</v>
          </cell>
          <cell r="F495">
            <v>0</v>
          </cell>
        </row>
        <row r="496">
          <cell r="A496" t="str">
            <v>Cây sung quả</v>
          </cell>
          <cell r="F496">
            <v>0</v>
          </cell>
        </row>
        <row r="497">
          <cell r="A497" t="str">
            <v>Cây sung quả Giống đủ tiêu chuẩn mới trồng, chiều cao cây H ≥ 40cm</v>
          </cell>
          <cell r="F497">
            <v>0</v>
          </cell>
        </row>
        <row r="498">
          <cell r="A498" t="str">
            <v>Cây sung quả ĐK thân ≤5 cm</v>
          </cell>
          <cell r="F498">
            <v>0</v>
          </cell>
        </row>
        <row r="499">
          <cell r="A499" t="str">
            <v>Cây sung quả đường kính thân 5 cm &lt; ĐK thân ≤10 cm</v>
          </cell>
          <cell r="F499">
            <v>0</v>
          </cell>
        </row>
        <row r="500">
          <cell r="A500" t="str">
            <v>Cây sung quả đường kính thân 10 cm &lt; ĐK thân ≤15 cm</v>
          </cell>
          <cell r="F500">
            <v>0</v>
          </cell>
        </row>
        <row r="501">
          <cell r="A501" t="str">
            <v>Cây sung quả đường kính thân 15 cm &lt; ĐK thân ≤25 cm</v>
          </cell>
          <cell r="F501">
            <v>0</v>
          </cell>
        </row>
        <row r="502">
          <cell r="A502" t="str">
            <v>Cây sung quả đường kính thân 25 cm &lt; ĐK thân ≤40 cm</v>
          </cell>
          <cell r="F502">
            <v>0</v>
          </cell>
        </row>
        <row r="503">
          <cell r="A503" t="str">
            <v>Cây sung quả ĐK thân &gt; 40 cm</v>
          </cell>
          <cell r="F503">
            <v>0</v>
          </cell>
        </row>
        <row r="504">
          <cell r="A504" t="str">
            <v>Cây thị</v>
          </cell>
          <cell r="F504">
            <v>0</v>
          </cell>
        </row>
        <row r="505">
          <cell r="A505" t="str">
            <v>Cây thị ĐK thân ≤5 cm</v>
          </cell>
          <cell r="F505">
            <v>0</v>
          </cell>
        </row>
        <row r="506">
          <cell r="A506" t="str">
            <v>Cây thị đường kính thân 5 cm &lt; ĐK thân ≤10 cm</v>
          </cell>
          <cell r="F506">
            <v>0</v>
          </cell>
        </row>
        <row r="507">
          <cell r="A507" t="str">
            <v>Cây thị đường kính thân 10 cm &lt; ĐK thân ≤15 cm</v>
          </cell>
          <cell r="F507">
            <v>0</v>
          </cell>
        </row>
        <row r="508">
          <cell r="A508" t="str">
            <v>Cây thị đường kính thân 15 cm &lt; ĐK thân ≤25 cm</v>
          </cell>
          <cell r="F508">
            <v>0</v>
          </cell>
        </row>
        <row r="509">
          <cell r="A509" t="str">
            <v>Cây thị đường kính thân 25 cm &lt; ĐK thân ≤35 cm</v>
          </cell>
          <cell r="F509">
            <v>0</v>
          </cell>
        </row>
        <row r="510">
          <cell r="A510" t="str">
            <v>Cây thị đường kính thân 35 cm &lt; ĐK thân ≤50 cm</v>
          </cell>
          <cell r="F510">
            <v>0</v>
          </cell>
        </row>
        <row r="511">
          <cell r="A511" t="str">
            <v>Cây thị ĐK thân &gt; 50 cm</v>
          </cell>
          <cell r="F511">
            <v>0</v>
          </cell>
        </row>
        <row r="512">
          <cell r="A512" t="str">
            <v>Cây dâu da xoan</v>
          </cell>
          <cell r="F512">
            <v>0</v>
          </cell>
        </row>
        <row r="513">
          <cell r="A513" t="str">
            <v>Cây dâu da xoan giống đủ tiêu chuẩn mới trồng, chiều cao cây H ≥ 40cm</v>
          </cell>
          <cell r="F513">
            <v>0</v>
          </cell>
        </row>
        <row r="514">
          <cell r="A514" t="str">
            <v>Cây dâu da xoan ĐK thân ≤5 cm</v>
          </cell>
          <cell r="F514">
            <v>0</v>
          </cell>
        </row>
        <row r="515">
          <cell r="A515" t="str">
            <v>Cây dâu da xoan đường kính thân 5 cm &lt; ĐK thân ≤10 cm</v>
          </cell>
          <cell r="F515">
            <v>0</v>
          </cell>
        </row>
        <row r="516">
          <cell r="A516" t="str">
            <v>Cây dâu da xoan đường kính thân 10 cm &lt; ĐK thân ≤15 cm</v>
          </cell>
          <cell r="F516">
            <v>0</v>
          </cell>
        </row>
        <row r="517">
          <cell r="A517" t="str">
            <v>Cây dâu da xoan đường kính thân 15 cm &lt; ĐK thân ≤25 cm</v>
          </cell>
          <cell r="F517">
            <v>0</v>
          </cell>
        </row>
        <row r="518">
          <cell r="A518" t="str">
            <v>Cây dâu da xoan đường kính thân 25 cm &lt; ĐK thân ≤40 cm</v>
          </cell>
          <cell r="F518">
            <v>0</v>
          </cell>
        </row>
        <row r="519">
          <cell r="A519" t="str">
            <v>Cây dâu da xoan đường kính thân 40 cm &lt; ĐK thân ≤60 cm</v>
          </cell>
          <cell r="F519">
            <v>0</v>
          </cell>
        </row>
        <row r="520">
          <cell r="A520" t="str">
            <v>Cây dâu da xoan ĐK thân &gt; 60 cm</v>
          </cell>
          <cell r="F520">
            <v>0</v>
          </cell>
        </row>
        <row r="521">
          <cell r="A521" t="str">
            <v>Cây dâu tằm lấy quả</v>
          </cell>
          <cell r="F521">
            <v>0</v>
          </cell>
        </row>
        <row r="522">
          <cell r="A522" t="str">
            <v>Cây dâu tằm lấy quả Cây giống đủ tiêu chuẩn mới trồng</v>
          </cell>
          <cell r="F522">
            <v>0</v>
          </cell>
        </row>
        <row r="523">
          <cell r="A523" t="str">
            <v>Cây dâu tằm lấy quả ĐK thân &lt; 2 cm</v>
          </cell>
          <cell r="F523">
            <v>0</v>
          </cell>
        </row>
        <row r="524">
          <cell r="A524" t="str">
            <v>Cây dâu tằm lấy quả đường kính thân 2 cm ≤  ĐK thân &lt;4 cm</v>
          </cell>
          <cell r="F524">
            <v>0</v>
          </cell>
        </row>
        <row r="525">
          <cell r="A525" t="str">
            <v>Cây dâu tằm lấy quả đường kính thân 4 cm ≤ ĐK thân &lt;6 cm</v>
          </cell>
          <cell r="F525">
            <v>0</v>
          </cell>
        </row>
        <row r="526">
          <cell r="A526" t="str">
            <v>Cây dâu tằm lấy quả đường kính thân 6 cm ≤ ĐK thân ≤10 cm</v>
          </cell>
          <cell r="F526">
            <v>0</v>
          </cell>
        </row>
        <row r="527">
          <cell r="A527" t="str">
            <v>Cây dâu tằm lấy quả ĐK thân &gt; 10 cm</v>
          </cell>
          <cell r="F527">
            <v>0</v>
          </cell>
        </row>
        <row r="528">
          <cell r="A528" t="str">
            <v>Cây Hoa hồng trồng cắt cành</v>
          </cell>
          <cell r="F528">
            <v>0</v>
          </cell>
        </row>
        <row r="529">
          <cell r="A529" t="str">
            <v>Cây Hoa hồng trồng cắt cành ĐK thân ≤1 cm</v>
          </cell>
          <cell r="F529">
            <v>0</v>
          </cell>
        </row>
        <row r="530">
          <cell r="A530" t="str">
            <v>Cây Hoa hồng trồng cắt cành đường kính thân 1 cm &lt; ĐK thân ≤2 cm</v>
          </cell>
          <cell r="F530">
            <v>0</v>
          </cell>
        </row>
        <row r="531">
          <cell r="A531" t="str">
            <v>Cây Hoa hồng trồng cắt cành đường kính thân 2 cm &lt; ĐK thân ≤3 cm</v>
          </cell>
          <cell r="F531">
            <v>0</v>
          </cell>
        </row>
        <row r="532">
          <cell r="A532" t="str">
            <v>Cây Hoa hồng trồng cắt cành đường kính thân 3 cm &lt; ĐK thân ≤5 cm</v>
          </cell>
          <cell r="F532">
            <v>0</v>
          </cell>
        </row>
        <row r="533">
          <cell r="A533" t="str">
            <v>Cây Hoa hồng trồng cắt cành ĐK thân &gt; 5 cm</v>
          </cell>
          <cell r="F533">
            <v>0</v>
          </cell>
        </row>
        <row r="534">
          <cell r="A534" t="str">
            <v>Cây lê</v>
          </cell>
          <cell r="F534">
            <v>0</v>
          </cell>
        </row>
        <row r="535">
          <cell r="A535" t="str">
            <v>Cây lê giống mới trồng</v>
          </cell>
          <cell r="F535">
            <v>0</v>
          </cell>
        </row>
        <row r="536">
          <cell r="A536" t="str">
            <v>Cây lê ĐK thân ≤5 cm</v>
          </cell>
          <cell r="F536">
            <v>0</v>
          </cell>
        </row>
        <row r="537">
          <cell r="A537" t="str">
            <v>Cây lê đường kính thân 5 cm &lt; ĐK thân ≤7 cm</v>
          </cell>
          <cell r="F537">
            <v>0</v>
          </cell>
        </row>
        <row r="538">
          <cell r="A538" t="str">
            <v>Cây lê đường kính thân 7 cm &lt; ĐK thân ≤11 cm</v>
          </cell>
          <cell r="F538">
            <v>0</v>
          </cell>
        </row>
        <row r="539">
          <cell r="A539" t="str">
            <v>Cây lê đường kính thân 11 cm &lt; ĐK thân ≤15 cm</v>
          </cell>
          <cell r="F539">
            <v>0</v>
          </cell>
        </row>
        <row r="540">
          <cell r="A540" t="str">
            <v>Cây lê đường kính thân 15 cm &lt; ĐK thân ≤20 cm</v>
          </cell>
          <cell r="F540">
            <v>0</v>
          </cell>
        </row>
        <row r="541">
          <cell r="A541" t="str">
            <v>Cây lê đường kính thân 20 cm &lt; ĐK thân ≤25 cm</v>
          </cell>
          <cell r="F541">
            <v>0</v>
          </cell>
        </row>
        <row r="542">
          <cell r="A542" t="str">
            <v>Cây lê ĐK thân &gt; 25 cm</v>
          </cell>
          <cell r="F542">
            <v>0</v>
          </cell>
        </row>
        <row r="543">
          <cell r="A543" t="str">
            <v>Nho thân gỗ</v>
          </cell>
          <cell r="F543">
            <v>0</v>
          </cell>
        </row>
        <row r="544">
          <cell r="A544" t="str">
            <v>Nho thân gỗ ĐK thân ≤5 cm</v>
          </cell>
          <cell r="F544">
            <v>0</v>
          </cell>
        </row>
        <row r="545">
          <cell r="A545" t="str">
            <v>Nho thân gỗ đường kính thân 5 cm &lt; ĐK thân ≤10 cm</v>
          </cell>
          <cell r="F545">
            <v>0</v>
          </cell>
        </row>
        <row r="546">
          <cell r="A546" t="str">
            <v>Nho thân gỗ đường kính thân 10 cm &lt; ĐK thân  ≤15 cm</v>
          </cell>
          <cell r="F546">
            <v>0</v>
          </cell>
        </row>
        <row r="547">
          <cell r="A547" t="str">
            <v>Nho thân gỗ đường kính thân 15 cm &lt; ĐK thân ≤25 cm</v>
          </cell>
          <cell r="F547">
            <v>0</v>
          </cell>
        </row>
        <row r="548">
          <cell r="A548" t="str">
            <v>Nho thân gỗ ĐK thân &gt; 25 cm</v>
          </cell>
          <cell r="F548">
            <v>0</v>
          </cell>
        </row>
        <row r="549">
          <cell r="A549" t="str">
            <v>Cây mãng cầu</v>
          </cell>
          <cell r="F549">
            <v>0</v>
          </cell>
        </row>
        <row r="550">
          <cell r="A550" t="str">
            <v>Cây mãng cầu mới trồng &lt;01 năm (cây từ hạt)</v>
          </cell>
          <cell r="F550">
            <v>0</v>
          </cell>
        </row>
        <row r="551">
          <cell r="A551" t="str">
            <v>Cây mãng cầu mới trồng &lt; 01 năm (cây ghép)</v>
          </cell>
          <cell r="F551">
            <v>0</v>
          </cell>
        </row>
        <row r="552">
          <cell r="A552" t="str">
            <v>Cây mãng cầu ĐK thân ≤5 cm</v>
          </cell>
          <cell r="F552">
            <v>0</v>
          </cell>
        </row>
        <row r="553">
          <cell r="A553" t="str">
            <v>Cây mãng cầu đường kính thân 3 cm &lt; ĐK thân ≤5 cm</v>
          </cell>
          <cell r="F553">
            <v>0</v>
          </cell>
        </row>
        <row r="554">
          <cell r="A554" t="str">
            <v>Cây mãng cầu đường kính thân 5 cm &lt; ĐK thân ≤7 cm</v>
          </cell>
          <cell r="F554">
            <v>0</v>
          </cell>
        </row>
        <row r="555">
          <cell r="A555" t="str">
            <v>Cây mãng cầu đường kính thân 7 cm &lt; ĐK thân ≤10 cm</v>
          </cell>
          <cell r="F555">
            <v>0</v>
          </cell>
        </row>
        <row r="556">
          <cell r="A556" t="str">
            <v>Cây mãng cầu ĐK thân &gt; 10 cm</v>
          </cell>
          <cell r="F556">
            <v>0</v>
          </cell>
        </row>
        <row r="557">
          <cell r="A557" t="str">
            <v>Cây sa kê</v>
          </cell>
          <cell r="F557">
            <v>0</v>
          </cell>
        </row>
        <row r="558">
          <cell r="A558" t="str">
            <v>Cây sa kê mới trồng &lt;01 năm (cây từ hạt)</v>
          </cell>
          <cell r="F558">
            <v>0</v>
          </cell>
        </row>
        <row r="559">
          <cell r="A559" t="str">
            <v>Cây sa kê mới trồng &lt; 01 năm (cây ghép)</v>
          </cell>
          <cell r="F559">
            <v>0</v>
          </cell>
        </row>
        <row r="560">
          <cell r="A560" t="str">
            <v>Cây sa kê ĐK thân ≤5 cm</v>
          </cell>
          <cell r="F560">
            <v>0</v>
          </cell>
        </row>
        <row r="561">
          <cell r="A561" t="str">
            <v>Cây sa kê đường kính thân 3 cm &lt; ĐK thân ≤5 cm</v>
          </cell>
          <cell r="F561">
            <v>0</v>
          </cell>
        </row>
        <row r="562">
          <cell r="A562" t="str">
            <v>Cây sa kê đường kính thân 5 cm &lt; ĐK thân ≤7 cm</v>
          </cell>
          <cell r="F562">
            <v>0</v>
          </cell>
        </row>
        <row r="563">
          <cell r="A563" t="str">
            <v>Cây sa kê đường kính thân 7 cm &lt; ĐK thân ≤10 cm</v>
          </cell>
          <cell r="F563">
            <v>0</v>
          </cell>
        </row>
        <row r="564">
          <cell r="A564" t="str">
            <v>Cây sa kê ĐK thân &gt; 10 cm</v>
          </cell>
          <cell r="F564">
            <v>0</v>
          </cell>
        </row>
        <row r="565">
          <cell r="A565" t="str">
            <v>Cây phật thủ</v>
          </cell>
          <cell r="F565">
            <v>0</v>
          </cell>
        </row>
        <row r="566">
          <cell r="A566" t="str">
            <v>Cây phật thủ ĐK thân ≤5 cm</v>
          </cell>
          <cell r="F566">
            <v>0</v>
          </cell>
        </row>
        <row r="567">
          <cell r="A567" t="str">
            <v>Cây phật thủ đường kính thân 5 cm &lt; ĐK thân ≤10 cm</v>
          </cell>
          <cell r="F567">
            <v>0</v>
          </cell>
        </row>
        <row r="568">
          <cell r="A568" t="str">
            <v>Cây phật thủ đường kính thân 10 cm &lt; ĐK thân ≤15 cm</v>
          </cell>
          <cell r="F568">
            <v>0</v>
          </cell>
        </row>
        <row r="569">
          <cell r="A569" t="str">
            <v>Cây phật thủ đường kính thân 15 cm &lt; ĐK thân ≤20 cm</v>
          </cell>
          <cell r="F569">
            <v>0</v>
          </cell>
        </row>
        <row r="570">
          <cell r="A570" t="str">
            <v>Cây phật thủ đường kính thân 20 cm &lt; ĐK thân ≤30 cm</v>
          </cell>
          <cell r="F570">
            <v>0</v>
          </cell>
        </row>
        <row r="571">
          <cell r="A571" t="str">
            <v>Cây phật thủ ĐK thân &gt;30 cm</v>
          </cell>
          <cell r="F571">
            <v>0</v>
          </cell>
        </row>
        <row r="572">
          <cell r="A572" t="str">
            <v>Cây đào tiên</v>
          </cell>
          <cell r="F572">
            <v>0</v>
          </cell>
        </row>
        <row r="573">
          <cell r="A573" t="str">
            <v>Cây đào tiên giống Loại cây ghép có chiều cao cây 40cm &lt; H ≤ 1m</v>
          </cell>
          <cell r="F573">
            <v>0</v>
          </cell>
        </row>
        <row r="574">
          <cell r="A574" t="str">
            <v>Cây đào tiên giống Loại cây ghép có chiêu cao cây H ≥ 1m</v>
          </cell>
          <cell r="F574">
            <v>0</v>
          </cell>
        </row>
        <row r="575">
          <cell r="A575" t="str">
            <v>Cây đào tiên giống Loại cây chiết cành có chiều cao cây 40cm ≤ H&lt; 1m</v>
          </cell>
          <cell r="F575">
            <v>0</v>
          </cell>
        </row>
        <row r="576">
          <cell r="A576" t="str">
            <v>Cây đào tiên giống Loại cây chiết cành có chiều cao cây H ≥ 1m</v>
          </cell>
          <cell r="F576">
            <v>0</v>
          </cell>
        </row>
        <row r="577">
          <cell r="A577" t="str">
            <v>Cây đào tiên đường kính thân 2 cm &lt; ĐK thân ≤5 cm</v>
          </cell>
          <cell r="F577">
            <v>0</v>
          </cell>
        </row>
        <row r="578">
          <cell r="A578" t="str">
            <v>Cây đào tiên đường kính thân 5 cm &lt; ĐK thân ≤10 cm</v>
          </cell>
          <cell r="F578">
            <v>0</v>
          </cell>
        </row>
        <row r="579">
          <cell r="A579" t="str">
            <v>Cây đào tiên đường kính thân 10cm &lt;ĐKthân≤20 cm</v>
          </cell>
          <cell r="F579">
            <v>0</v>
          </cell>
        </row>
        <row r="580">
          <cell r="A580" t="str">
            <v>Cây đào tiên ĐK thân &gt;20 cm</v>
          </cell>
          <cell r="F580">
            <v>0</v>
          </cell>
        </row>
        <row r="581">
          <cell r="A581" t="str">
            <v>Cây hoa sữa</v>
          </cell>
          <cell r="F581">
            <v>0</v>
          </cell>
        </row>
        <row r="582">
          <cell r="A582" t="str">
            <v>Cây hoa sữa giống mới trồng</v>
          </cell>
          <cell r="F582">
            <v>0</v>
          </cell>
        </row>
        <row r="583">
          <cell r="A583" t="str">
            <v>Cây hoa sữa đường kính thân 2 cm &lt; ĐK thân ≤5 cm</v>
          </cell>
          <cell r="F583">
            <v>0</v>
          </cell>
        </row>
        <row r="584">
          <cell r="A584" t="str">
            <v>Cây hoa sữa đường kính thân 5 cm &lt; ĐK thân ≤10 cm</v>
          </cell>
          <cell r="F584">
            <v>0</v>
          </cell>
        </row>
        <row r="585">
          <cell r="A585" t="str">
            <v>Cây hoa sữa đường kính thân 10 cm &lt; ĐK thân ≤15 cm</v>
          </cell>
          <cell r="F585">
            <v>0</v>
          </cell>
        </row>
        <row r="586">
          <cell r="A586" t="str">
            <v>Cây hoa sữa đường kính thân 15 cm &lt; ĐK thân ≤25 cm</v>
          </cell>
          <cell r="F586">
            <v>0</v>
          </cell>
        </row>
        <row r="587">
          <cell r="A587" t="str">
            <v>Cây hoa sữa đường kính thân 25 cm &lt; ĐK thân ≤40 cm</v>
          </cell>
          <cell r="F587">
            <v>0</v>
          </cell>
        </row>
        <row r="588">
          <cell r="A588" t="str">
            <v>Cây hoa sữa ĐK thân &gt; 40 cm</v>
          </cell>
          <cell r="F588">
            <v>0</v>
          </cell>
        </row>
        <row r="589">
          <cell r="A589" t="str">
            <v>Cây hoa gạo</v>
          </cell>
          <cell r="F589">
            <v>0</v>
          </cell>
        </row>
        <row r="590">
          <cell r="A590" t="str">
            <v>Cây hoa gạo giống mới trồng</v>
          </cell>
          <cell r="F590">
            <v>0</v>
          </cell>
        </row>
        <row r="591">
          <cell r="A591" t="str">
            <v>Cây hoa gạo đường kính thân 2 cm &lt; ĐK thân ≤5 cm</v>
          </cell>
          <cell r="F591">
            <v>0</v>
          </cell>
        </row>
        <row r="592">
          <cell r="A592" t="str">
            <v>Cây hoa gạo đường kính thân 5 cm &lt; ĐK thân ≤10 cm</v>
          </cell>
          <cell r="F592">
            <v>0</v>
          </cell>
        </row>
        <row r="593">
          <cell r="A593" t="str">
            <v>Cây hoa gạo đường kính thân 10 cm &lt; ĐK thân ≤15 cm</v>
          </cell>
          <cell r="F593">
            <v>0</v>
          </cell>
        </row>
        <row r="594">
          <cell r="A594" t="str">
            <v>Cây hoa gạo đường kính thân 15 cm &lt; ĐK thân ≤25 cm</v>
          </cell>
          <cell r="F594">
            <v>0</v>
          </cell>
        </row>
        <row r="595">
          <cell r="A595" t="str">
            <v>Cây hoa gạo đường kính thân 25 cm &lt; ĐK thân ≤40 cm</v>
          </cell>
          <cell r="F595">
            <v>0</v>
          </cell>
        </row>
        <row r="596">
          <cell r="A596" t="str">
            <v>Cây hoa gạo ĐK thân &gt; 40 cm</v>
          </cell>
          <cell r="F596">
            <v>0</v>
          </cell>
        </row>
        <row r="597">
          <cell r="A597" t="str">
            <v>Cây hoa đại</v>
          </cell>
          <cell r="F597">
            <v>0</v>
          </cell>
        </row>
        <row r="598">
          <cell r="A598" t="str">
            <v>Cây hoa đại Cây giống mới trồng</v>
          </cell>
          <cell r="F598">
            <v>0</v>
          </cell>
        </row>
        <row r="599">
          <cell r="A599" t="str">
            <v>Cây hoa đại đường kính thân 2 cm &lt; ĐK thân ≤5 cm</v>
          </cell>
          <cell r="F599">
            <v>0</v>
          </cell>
        </row>
        <row r="600">
          <cell r="A600" t="str">
            <v>Cây hoa đại đường kính thân 5 cm &lt; ĐK thân ≤10 cm</v>
          </cell>
          <cell r="F600">
            <v>0</v>
          </cell>
        </row>
        <row r="601">
          <cell r="A601" t="str">
            <v>Cây hoa đại đường kính thân 10 cm &lt; ĐK thân ≤15 cm</v>
          </cell>
          <cell r="F601">
            <v>0</v>
          </cell>
        </row>
        <row r="602">
          <cell r="A602" t="str">
            <v>Cây hoa đại đường kính thân 15 cm &lt; ĐK thân ≤25 cm</v>
          </cell>
          <cell r="F602">
            <v>0</v>
          </cell>
        </row>
        <row r="603">
          <cell r="A603" t="str">
            <v>Cây hoa đại đường kính thân 25 cm &lt; ĐK thân ≤40 cm</v>
          </cell>
          <cell r="F603">
            <v>0</v>
          </cell>
        </row>
        <row r="604">
          <cell r="A604" t="str">
            <v>Cây hoa đại ĐK thân &gt; 40 cm</v>
          </cell>
          <cell r="F604">
            <v>0</v>
          </cell>
        </row>
        <row r="605">
          <cell r="A605" t="str">
            <v>Cây hoa ban</v>
          </cell>
          <cell r="F605">
            <v>0</v>
          </cell>
        </row>
        <row r="606">
          <cell r="A606" t="str">
            <v>Cây hoa ban Cây giống mới trồng</v>
          </cell>
          <cell r="F606">
            <v>0</v>
          </cell>
        </row>
        <row r="607">
          <cell r="A607" t="str">
            <v>Cây hoa ban đường kính thân 2 cm &lt; ĐK thân ≤5 cm</v>
          </cell>
          <cell r="F607">
            <v>0</v>
          </cell>
        </row>
        <row r="608">
          <cell r="A608" t="str">
            <v>Cây hoa ban đường kính thân 5 cm &lt; ĐK thân ≤10 cm</v>
          </cell>
          <cell r="F608">
            <v>0</v>
          </cell>
        </row>
        <row r="609">
          <cell r="A609" t="str">
            <v>Cây hoa ban đường kính thân 10 cm &lt; ĐK thân ≤15 cm</v>
          </cell>
          <cell r="F609">
            <v>0</v>
          </cell>
        </row>
        <row r="610">
          <cell r="A610" t="str">
            <v>Cây hoa ban đường kính thân 15 cm &lt; ĐK thân ≤25 cm</v>
          </cell>
          <cell r="F610">
            <v>0</v>
          </cell>
        </row>
        <row r="611">
          <cell r="A611" t="str">
            <v>Cây hoa ban đường kính thân 25 cm &lt; ĐK thân ≤40 cm</v>
          </cell>
          <cell r="F611">
            <v>0</v>
          </cell>
        </row>
        <row r="612">
          <cell r="A612" t="str">
            <v>Cây hoa ban ĐK thân &gt;40 cm</v>
          </cell>
          <cell r="F612">
            <v>0</v>
          </cell>
        </row>
        <row r="613">
          <cell r="A613" t="str">
            <v>Cây móng bò</v>
          </cell>
          <cell r="F613">
            <v>0</v>
          </cell>
        </row>
        <row r="614">
          <cell r="A614" t="str">
            <v>Cây móng bò Cây giống mới trồng</v>
          </cell>
          <cell r="F614">
            <v>0</v>
          </cell>
        </row>
        <row r="615">
          <cell r="A615" t="str">
            <v>Cây móng bò đường kính thân 2 cm &lt; ĐK thân ≤5 cm</v>
          </cell>
          <cell r="F615">
            <v>0</v>
          </cell>
        </row>
        <row r="616">
          <cell r="A616" t="str">
            <v>Cây móng bò đường kính thân 5 cm &lt; ĐK thân ≤10 cm</v>
          </cell>
          <cell r="F616">
            <v>0</v>
          </cell>
        </row>
        <row r="617">
          <cell r="A617" t="str">
            <v>Cây móng bò đường kính thân 10 cm &lt; ĐK thân ≤15 cm</v>
          </cell>
          <cell r="F617">
            <v>0</v>
          </cell>
        </row>
        <row r="618">
          <cell r="A618" t="str">
            <v>Cây móng bò đường kính thân 15 cm &lt; ĐK thân ≤25 cm</v>
          </cell>
          <cell r="F618">
            <v>0</v>
          </cell>
        </row>
        <row r="619">
          <cell r="A619" t="str">
            <v>Cây móng bò đường kính thân 25 cm &lt; ĐK thân ≤40 cm</v>
          </cell>
          <cell r="F619">
            <v>0</v>
          </cell>
        </row>
        <row r="620">
          <cell r="A620" t="str">
            <v>Cây móng bò ĐK thân &gt;40 cm</v>
          </cell>
          <cell r="F620">
            <v>0</v>
          </cell>
        </row>
        <row r="621">
          <cell r="A621" t="str">
            <v>Cây phượng vĩ (bằng lăng, muồng, lim xẹt)</v>
          </cell>
          <cell r="F621">
            <v>0</v>
          </cell>
        </row>
        <row r="622">
          <cell r="A622" t="str">
            <v>Cây phượng vĩ (bằng lăng, muồng, lim xẹt) Cây giống mới trồng</v>
          </cell>
          <cell r="F622">
            <v>0</v>
          </cell>
        </row>
        <row r="623">
          <cell r="A623" t="str">
            <v>Cây phượng vĩ (bằng lăng, muồng, lim xẹt) đường kính thân 2 cm &lt; ĐK thân ≤5 cm</v>
          </cell>
          <cell r="F623">
            <v>0</v>
          </cell>
        </row>
        <row r="624">
          <cell r="A624" t="str">
            <v>Cây phượng vĩ (bằng lăng, muồng, lim xẹt) đường kính thân 5 cm &lt; ĐK thân ≤10 cm</v>
          </cell>
          <cell r="F624">
            <v>0</v>
          </cell>
        </row>
        <row r="625">
          <cell r="A625" t="str">
            <v>Cây phượng vĩ (bằng lăng, muồng, lim xẹt) đường kính thân 10 cm &lt; ĐK thân ≤15 cm</v>
          </cell>
          <cell r="F625">
            <v>0</v>
          </cell>
        </row>
        <row r="626">
          <cell r="A626" t="str">
            <v>Cây phượng vĩ (bằng lăng, muồng, lim xẹt) đường kính thân 15 cm &lt; ĐK thân ≤25 cm</v>
          </cell>
          <cell r="F626">
            <v>0</v>
          </cell>
        </row>
        <row r="627">
          <cell r="A627" t="str">
            <v>Cây phượng vĩ (bằng lăng, muồng, lim xẹt) đường kính thân 25 cm &lt; ĐK thân ≤40 cm</v>
          </cell>
          <cell r="F627">
            <v>0</v>
          </cell>
        </row>
        <row r="628">
          <cell r="A628" t="str">
            <v>Cây phượng vĩ (bằng lăng, muồng, lim xẹt) đường kính thân 40 cm &lt; ĐK thân ≤60 cm</v>
          </cell>
          <cell r="F628">
            <v>0</v>
          </cell>
        </row>
        <row r="629">
          <cell r="A629" t="str">
            <v>Cây phượng vĩ (bằng lăng, muồng, lim xẹt) ĐK thân &gt; 60 cm</v>
          </cell>
          <cell r="F629">
            <v>0</v>
          </cell>
        </row>
        <row r="630">
          <cell r="A630" t="str">
            <v>Cây long não, bồ đề</v>
          </cell>
          <cell r="F630">
            <v>0</v>
          </cell>
        </row>
        <row r="631">
          <cell r="A631" t="str">
            <v>Cây long não, bồ đề Giống đủ tiêu chuẩn mới trồng, chiều cao cây H ≤40cm</v>
          </cell>
          <cell r="F631">
            <v>0</v>
          </cell>
        </row>
        <row r="632">
          <cell r="A632" t="str">
            <v>Cây long não, bồ đề đường kính gốc 1cm &lt; ĐK gốc &lt; 3cm</v>
          </cell>
          <cell r="F632">
            <v>0</v>
          </cell>
        </row>
        <row r="633">
          <cell r="A633" t="str">
            <v>Cây long não, bồ đề đường kính gốc 3 cm ≤ ĐK gốc &lt; 5 cm</v>
          </cell>
          <cell r="F633">
            <v>0</v>
          </cell>
        </row>
        <row r="634">
          <cell r="A634" t="str">
            <v>Cây long não, bồ đề đường kính gốc 5cm ≤ ĐK gốc &lt; 10cm</v>
          </cell>
          <cell r="F634">
            <v>0</v>
          </cell>
        </row>
        <row r="635">
          <cell r="A635" t="str">
            <v>Cây long não, bồ đề đường kính gốc 10cm ≤ ĐK gốc &lt; 15cm</v>
          </cell>
          <cell r="F635">
            <v>0</v>
          </cell>
        </row>
        <row r="636">
          <cell r="A636" t="str">
            <v>Cây long não, bồ đề đường kính gốc 15cm ≤ ĐK gôc &lt; 20cm</v>
          </cell>
          <cell r="F636">
            <v>0</v>
          </cell>
        </row>
        <row r="637">
          <cell r="A637" t="str">
            <v>Cây long não, bồ đề đường kính gốc 20cm ≤ ĐK gốc &lt; 30cm</v>
          </cell>
          <cell r="F637">
            <v>0</v>
          </cell>
        </row>
        <row r="638">
          <cell r="A638" t="str">
            <v>Cây long não, bồ đề đường kính gốc 30cm ≤ ĐK gốc &lt; 40cm</v>
          </cell>
          <cell r="F638">
            <v>0</v>
          </cell>
        </row>
        <row r="639">
          <cell r="A639" t="str">
            <v>Cây long não, bồ đề ĐK gốc ≥ 40cm</v>
          </cell>
          <cell r="F639">
            <v>0</v>
          </cell>
        </row>
        <row r="640">
          <cell r="A640" t="str">
            <v>Sao đen</v>
          </cell>
          <cell r="F640">
            <v>0</v>
          </cell>
        </row>
        <row r="641">
          <cell r="A641" t="str">
            <v>Sao đen đường kính gốc 1 cm ≤ ĐK gốc &lt; 3cm</v>
          </cell>
          <cell r="F641">
            <v>0</v>
          </cell>
        </row>
        <row r="642">
          <cell r="A642" t="str">
            <v>Sao đen đường kính gốc 3 cm ≤ ĐK gốc &lt; 5cm</v>
          </cell>
          <cell r="F642">
            <v>0</v>
          </cell>
        </row>
        <row r="643">
          <cell r="A643" t="str">
            <v>Sao đen đường kính gốc 5cm ≤ ĐK gốc &lt; 7cm</v>
          </cell>
          <cell r="F643">
            <v>0</v>
          </cell>
        </row>
        <row r="644">
          <cell r="A644" t="str">
            <v>Sao đen đường kính gốc 7cm ≤ ĐK gốc &lt; 9cm</v>
          </cell>
          <cell r="F644">
            <v>0</v>
          </cell>
        </row>
        <row r="645">
          <cell r="A645" t="str">
            <v>Sao đen ĐK gốc ≥ 9cm</v>
          </cell>
          <cell r="F645">
            <v>0</v>
          </cell>
        </row>
        <row r="646">
          <cell r="A646" t="str">
            <v>Cây sưa</v>
          </cell>
          <cell r="F646">
            <v>0</v>
          </cell>
        </row>
        <row r="647">
          <cell r="A647" t="str">
            <v>Cây sưa Cây giống đủ tiêu chuẩn, mới trồng, chiều cao cây H ≥ 30cm</v>
          </cell>
          <cell r="F647">
            <v>0</v>
          </cell>
        </row>
        <row r="648">
          <cell r="A648" t="str">
            <v>Cây sưa đường kính thân 2 cm &lt; ĐK thân ≤5 cm</v>
          </cell>
          <cell r="F648">
            <v>0</v>
          </cell>
        </row>
        <row r="649">
          <cell r="A649" t="str">
            <v>Cây sưa đường kính thân 5 cm &lt; ĐK thân ≤10 cm</v>
          </cell>
          <cell r="F649">
            <v>0</v>
          </cell>
        </row>
        <row r="650">
          <cell r="A650" t="str">
            <v>Cây sưa đường kính thân 10 cm &lt; ĐK thân ≤15 cm</v>
          </cell>
          <cell r="F650">
            <v>0</v>
          </cell>
        </row>
        <row r="651">
          <cell r="A651" t="str">
            <v>Cây sưa đường kính thân 15 cm &lt; ĐK thân ≤25 cm</v>
          </cell>
          <cell r="F651">
            <v>0</v>
          </cell>
        </row>
        <row r="652">
          <cell r="A652" t="str">
            <v>Cây sưa đường kính thân 25 cm &lt; ĐK thân ≤40 cm</v>
          </cell>
          <cell r="F652">
            <v>0</v>
          </cell>
        </row>
        <row r="653">
          <cell r="A653" t="str">
            <v>Cây sưa đường kính thân 40 cm &lt; ĐK thân ≤ 60 cm</v>
          </cell>
          <cell r="F653">
            <v>0</v>
          </cell>
        </row>
        <row r="654">
          <cell r="A654" t="str">
            <v>Cây sưa ĐK thân &gt; 60 cm</v>
          </cell>
          <cell r="F654">
            <v>0</v>
          </cell>
        </row>
        <row r="655">
          <cell r="A655" t="str">
            <v>Cây trám</v>
          </cell>
          <cell r="F655">
            <v>0</v>
          </cell>
        </row>
        <row r="656">
          <cell r="A656" t="str">
            <v>Cây trám Mới trồng, đường kính gốc &lt; 2cm</v>
          </cell>
          <cell r="F656">
            <v>0</v>
          </cell>
        </row>
        <row r="657">
          <cell r="A657" t="str">
            <v>Cây trám đường kính gốc 2 cm &lt; ĐK gốc ≤ 5 cm</v>
          </cell>
          <cell r="F657">
            <v>0</v>
          </cell>
        </row>
        <row r="658">
          <cell r="A658" t="str">
            <v>Cây trám đường kính gốc 5 cm &lt; ĐK gốc ≤ 10 cm</v>
          </cell>
          <cell r="F658">
            <v>0</v>
          </cell>
        </row>
        <row r="659">
          <cell r="A659" t="str">
            <v>Cây trám đường kính gốc 10 cm &lt; ĐK gôc ≤ 15 cm</v>
          </cell>
          <cell r="F659">
            <v>0</v>
          </cell>
        </row>
        <row r="660">
          <cell r="A660" t="str">
            <v>Cây trám đường kính gốc 15 cm &lt; ĐK gốc ≤ 20 cm</v>
          </cell>
          <cell r="F660">
            <v>0</v>
          </cell>
        </row>
        <row r="661">
          <cell r="A661" t="str">
            <v>Cây trám đường kính gốc 20 cm &lt; ĐK gốc ≤ 25 cm</v>
          </cell>
          <cell r="F661">
            <v>0</v>
          </cell>
        </row>
        <row r="662">
          <cell r="A662" t="str">
            <v>Cây trám đường kính gốc 25 cm &lt; ĐK gốc ≤ 30 cm</v>
          </cell>
          <cell r="F662">
            <v>0</v>
          </cell>
        </row>
        <row r="663">
          <cell r="A663" t="str">
            <v>Cây trám ĐK gốc &gt; 30cm</v>
          </cell>
          <cell r="F663">
            <v>0</v>
          </cell>
        </row>
        <row r="664">
          <cell r="A664" t="str">
            <v>Cây xoan</v>
          </cell>
          <cell r="F664">
            <v>0</v>
          </cell>
        </row>
        <row r="665">
          <cell r="A665" t="str">
            <v>Cây xoan Cây giống mới trồng</v>
          </cell>
          <cell r="F665">
            <v>0</v>
          </cell>
        </row>
        <row r="666">
          <cell r="A666" t="str">
            <v>Cây xoan đường kính thân 2 cm &lt; ĐK thân ≤5 cm</v>
          </cell>
          <cell r="F666">
            <v>0</v>
          </cell>
        </row>
        <row r="667">
          <cell r="A667" t="str">
            <v>Cây xoan đường kính thân 5 cm &lt; ĐK thân ≤10 cm</v>
          </cell>
          <cell r="F667">
            <v>0</v>
          </cell>
        </row>
        <row r="668">
          <cell r="A668" t="str">
            <v>Cây xoan đường kính thân 10 cm &lt; ĐK thân ≤15 cm</v>
          </cell>
          <cell r="F668">
            <v>0</v>
          </cell>
        </row>
        <row r="669">
          <cell r="A669" t="str">
            <v>Cây xoan đường kính thân 15 cm &lt; ĐK thân ≤20 cm</v>
          </cell>
          <cell r="F669">
            <v>0</v>
          </cell>
        </row>
        <row r="670">
          <cell r="A670" t="str">
            <v>Cây xoan đường kính thân 20 cm &lt; ĐK thân ≤30 cm</v>
          </cell>
          <cell r="F670">
            <v>0</v>
          </cell>
        </row>
        <row r="671">
          <cell r="A671" t="str">
            <v>Cây xoan ĐK thân &gt; 30 cm</v>
          </cell>
          <cell r="F671">
            <v>0</v>
          </cell>
        </row>
        <row r="672">
          <cell r="A672" t="str">
            <v>Cây xà cừ (lát, sồi, lim xanh)</v>
          </cell>
          <cell r="F672">
            <v>0</v>
          </cell>
        </row>
        <row r="673">
          <cell r="A673" t="str">
            <v>Cây xà cừ (lát, sồi, lim xanh) Cây giống mới trồng</v>
          </cell>
          <cell r="F673">
            <v>0</v>
          </cell>
        </row>
        <row r="674">
          <cell r="A674" t="str">
            <v>Cây xà cừ (lát, sồi, lim xanh) đường kính thân 2 cm &lt; ĐK thân ≤5 cm</v>
          </cell>
          <cell r="F674">
            <v>0</v>
          </cell>
        </row>
        <row r="675">
          <cell r="A675" t="str">
            <v>Cây xà cừ (lát, sồi, lim xanh) 5 cm &lt; ĐK thân ≤10 cm</v>
          </cell>
          <cell r="F675">
            <v>0</v>
          </cell>
        </row>
        <row r="676">
          <cell r="A676" t="str">
            <v>Cây xà cừ (lát, sồi, lim xanh) 10 cm &lt; ĐK thân ≤15 cm</v>
          </cell>
          <cell r="F676">
            <v>0</v>
          </cell>
        </row>
        <row r="677">
          <cell r="A677" t="str">
            <v>Cây xà cừ (lát, sồi, lim xanh) 15 cm &lt; ĐK thân ≤25 cm</v>
          </cell>
          <cell r="F677">
            <v>0</v>
          </cell>
        </row>
        <row r="678">
          <cell r="A678" t="str">
            <v>Cây xà cừ (lát, sồi, lim xanh) 25 &lt; ĐK thân ≤40 cm</v>
          </cell>
          <cell r="F678">
            <v>0</v>
          </cell>
        </row>
        <row r="679">
          <cell r="A679" t="str">
            <v>Cây xà cừ (lát, sồi, lim xanh) 40 cm &lt; ĐK thân ≤60 cm</v>
          </cell>
          <cell r="F679">
            <v>0</v>
          </cell>
        </row>
        <row r="680">
          <cell r="A680" t="str">
            <v>Cây xà cừ (lát, sồi, lim xanh) ĐK thân &gt; 60 cm</v>
          </cell>
          <cell r="F680">
            <v>0</v>
          </cell>
        </row>
        <row r="681">
          <cell r="A681" t="str">
            <v>Cây bàng</v>
          </cell>
          <cell r="F681">
            <v>0</v>
          </cell>
        </row>
        <row r="682">
          <cell r="A682" t="str">
            <v>Cây bàng giống mới trồng</v>
          </cell>
          <cell r="F682">
            <v>0</v>
          </cell>
        </row>
        <row r="683">
          <cell r="A683" t="str">
            <v>Cây bàng đường kính thân 2 cm &lt; ĐK thân ≤5 cm</v>
          </cell>
          <cell r="F683">
            <v>0</v>
          </cell>
        </row>
        <row r="684">
          <cell r="A684" t="str">
            <v>Cây bàng đường kính thân 5 cm &lt; ĐK thân ≤10 cm</v>
          </cell>
          <cell r="F684">
            <v>0</v>
          </cell>
        </row>
        <row r="685">
          <cell r="A685" t="str">
            <v>Cây bàng đường kính thân 10 cm &lt; ĐK thân ≤15 cm</v>
          </cell>
          <cell r="F685">
            <v>0</v>
          </cell>
        </row>
        <row r="686">
          <cell r="A686" t="str">
            <v>Cây bàng đường kính thân 15 cm &lt; ĐK thân ≤20 cm</v>
          </cell>
          <cell r="F686">
            <v>0</v>
          </cell>
        </row>
        <row r="687">
          <cell r="A687" t="str">
            <v>Cây bàng đường kính thân 20 cm &lt; ĐK thân ≤30 cm</v>
          </cell>
          <cell r="F687">
            <v>0</v>
          </cell>
        </row>
        <row r="688">
          <cell r="A688" t="str">
            <v>Cây bàng ĐK thân &gt; 30 cm</v>
          </cell>
          <cell r="F688">
            <v>0</v>
          </cell>
        </row>
        <row r="689">
          <cell r="A689" t="str">
            <v>Cây trứng cá</v>
          </cell>
          <cell r="F689">
            <v>0</v>
          </cell>
        </row>
        <row r="690">
          <cell r="A690" t="str">
            <v>Cây trứng cá giống mới trồng</v>
          </cell>
          <cell r="F690">
            <v>0</v>
          </cell>
        </row>
        <row r="691">
          <cell r="A691" t="str">
            <v>Cây trứng cá đường kính thân 2 cm &lt; ĐK thân ≤5 cm</v>
          </cell>
          <cell r="F691">
            <v>0</v>
          </cell>
        </row>
        <row r="692">
          <cell r="A692" t="str">
            <v>Cây trứng cá đường kính thân 5 cm &lt; ĐK thân ≤10 cm</v>
          </cell>
          <cell r="F692">
            <v>0</v>
          </cell>
        </row>
        <row r="693">
          <cell r="A693" t="str">
            <v>Cây trứng cá đường kính thân 10 cm &lt; ĐK thân ≤15 cm</v>
          </cell>
          <cell r="F693">
            <v>0</v>
          </cell>
        </row>
        <row r="694">
          <cell r="A694" t="str">
            <v>Cây trứng cá đường kính thân 15 cm &lt; ĐK thân ≤20 cm</v>
          </cell>
          <cell r="F694">
            <v>0</v>
          </cell>
        </row>
        <row r="695">
          <cell r="A695" t="str">
            <v>Cây trứng cá đường kính thân 20 cm &lt; ĐK thân ≤30 cm</v>
          </cell>
          <cell r="F695">
            <v>0</v>
          </cell>
        </row>
        <row r="696">
          <cell r="A696" t="str">
            <v>Cây trứng cá ĐK thân &gt; 30 cm</v>
          </cell>
          <cell r="F696">
            <v>0</v>
          </cell>
        </row>
        <row r="697">
          <cell r="A697" t="str">
            <v>Cây bạch đàn</v>
          </cell>
          <cell r="F697">
            <v>0</v>
          </cell>
        </row>
        <row r="698">
          <cell r="A698" t="str">
            <v>Cây bạch đàn Cây giống mới trồng</v>
          </cell>
          <cell r="F698">
            <v>0</v>
          </cell>
        </row>
        <row r="699">
          <cell r="A699" t="str">
            <v>Cây bạch đàn đường kính thân 2 cm &lt; ĐK thân ≤5 cm</v>
          </cell>
          <cell r="F699">
            <v>0</v>
          </cell>
        </row>
        <row r="700">
          <cell r="A700" t="str">
            <v>Cây bạch đàn đường kính thân 5 cm &lt; ĐK thân ≤10 cm</v>
          </cell>
          <cell r="F700">
            <v>0</v>
          </cell>
        </row>
        <row r="701">
          <cell r="A701" t="str">
            <v>Cây bạch đàn đường kính thân 10 cm &lt; ĐK thân ≤20 cm</v>
          </cell>
          <cell r="F701">
            <v>0</v>
          </cell>
        </row>
        <row r="702">
          <cell r="A702" t="str">
            <v>Cây bạch đàn đường kính thân 20 cm &lt; ĐK thân ≤30 cm</v>
          </cell>
          <cell r="F702">
            <v>0</v>
          </cell>
        </row>
        <row r="703">
          <cell r="A703" t="str">
            <v>Cây bạch đàn đường kính thân 30 cm &lt; ĐK thân ≤40 cm</v>
          </cell>
          <cell r="F703">
            <v>0</v>
          </cell>
        </row>
        <row r="704">
          <cell r="A704" t="str">
            <v>Cây bạch đàn ĐK thân &gt; 40 cm</v>
          </cell>
          <cell r="F704">
            <v>0</v>
          </cell>
        </row>
        <row r="705">
          <cell r="A705" t="str">
            <v>Cây phi lao, thông</v>
          </cell>
          <cell r="F705">
            <v>0</v>
          </cell>
        </row>
        <row r="706">
          <cell r="A706" t="str">
            <v>Cây phi lao giống mới trồng</v>
          </cell>
          <cell r="F706">
            <v>0</v>
          </cell>
        </row>
        <row r="707">
          <cell r="A707" t="str">
            <v>Cây phi lao đường kính thân 2 cm &lt; ĐK thân ≤5 cm</v>
          </cell>
          <cell r="F707">
            <v>0</v>
          </cell>
        </row>
        <row r="708">
          <cell r="A708" t="str">
            <v>Cây phi lao đường kính thân 5 cm &lt; ĐK thân ≤10 cm</v>
          </cell>
          <cell r="F708">
            <v>0</v>
          </cell>
        </row>
        <row r="709">
          <cell r="A709" t="str">
            <v>Cây phi lao đường kính thân 10 cm &lt; ĐK thân ≤20 cm</v>
          </cell>
          <cell r="F709">
            <v>0</v>
          </cell>
        </row>
        <row r="710">
          <cell r="A710" t="str">
            <v>Cây phi lao đường kính thân 20cm &lt; ĐK thân ≤30 cm</v>
          </cell>
          <cell r="F710">
            <v>0</v>
          </cell>
        </row>
        <row r="711">
          <cell r="A711" t="str">
            <v>Cây phi lao đường kính thân 30 cm &lt; ĐK thân ≤40 cm</v>
          </cell>
          <cell r="F711">
            <v>0</v>
          </cell>
        </row>
        <row r="712">
          <cell r="A712" t="str">
            <v>Cây phi lao ĐK thân &gt; 40 cm</v>
          </cell>
          <cell r="F712">
            <v>0</v>
          </cell>
        </row>
        <row r="713">
          <cell r="A713" t="str">
            <v>Cây keo tai tượng</v>
          </cell>
          <cell r="F713">
            <v>0</v>
          </cell>
        </row>
        <row r="714">
          <cell r="A714" t="str">
            <v>Cây keo tai tượng giống mới trồng</v>
          </cell>
          <cell r="F714">
            <v>0</v>
          </cell>
        </row>
        <row r="715">
          <cell r="A715" t="str">
            <v>Cây keo tai tượng đường kính thân 2 cm &lt; ĐK thân ≤5 cm</v>
          </cell>
          <cell r="F715">
            <v>0</v>
          </cell>
        </row>
        <row r="716">
          <cell r="A716" t="str">
            <v>Cây keo tai tượng đường kính thân 5 cm &lt; ĐK thân &lt;10 cm</v>
          </cell>
          <cell r="F716">
            <v>0</v>
          </cell>
        </row>
        <row r="717">
          <cell r="A717" t="str">
            <v>Cây keo tai tượng đường kính thân 10 cm &lt; ĐK thân ≤20 cm</v>
          </cell>
          <cell r="F717">
            <v>0</v>
          </cell>
        </row>
        <row r="718">
          <cell r="A718" t="str">
            <v>Cây keo tai tượng đường kính thân 20 cm &lt; ĐK thân ≤30 cm</v>
          </cell>
          <cell r="F718">
            <v>0</v>
          </cell>
        </row>
        <row r="719">
          <cell r="A719" t="str">
            <v>Cây keo tai tượng đường kính thân 30 cm &lt; ĐK thân ≤40 cm</v>
          </cell>
          <cell r="F719">
            <v>0</v>
          </cell>
        </row>
        <row r="720">
          <cell r="A720" t="str">
            <v>Cây keo tai tượng ĐK thân &gt; 40 cm</v>
          </cell>
          <cell r="F720">
            <v>0</v>
          </cell>
        </row>
        <row r="721">
          <cell r="A721" t="str">
            <v>Cây liễu</v>
          </cell>
          <cell r="F721">
            <v>0</v>
          </cell>
        </row>
        <row r="722">
          <cell r="A722" t="str">
            <v>Cây liễu giống mới trồng</v>
          </cell>
          <cell r="F722">
            <v>0</v>
          </cell>
        </row>
        <row r="723">
          <cell r="A723" t="str">
            <v>Cây liễu đường kính thân 2 cm &lt; ĐK thân ≤5 cm</v>
          </cell>
          <cell r="F723">
            <v>0</v>
          </cell>
        </row>
        <row r="724">
          <cell r="A724" t="str">
            <v>Cây liễu đường kính thân 5 cm &lt; ĐK thân ≤10 cm</v>
          </cell>
          <cell r="F724">
            <v>0</v>
          </cell>
        </row>
        <row r="725">
          <cell r="A725" t="str">
            <v>Cây liễu đường kính thân 10 cm &lt; ĐK thân ≤15 cm</v>
          </cell>
          <cell r="F725">
            <v>0</v>
          </cell>
        </row>
        <row r="726">
          <cell r="A726" t="str">
            <v>Cây liễu đường kính thân 15 cm &lt; ĐK thân ≤25 cm</v>
          </cell>
          <cell r="F726">
            <v>0</v>
          </cell>
        </row>
        <row r="727">
          <cell r="A727" t="str">
            <v>Cây liễu ĐK thân &gt; 25 cm</v>
          </cell>
          <cell r="F727">
            <v>0</v>
          </cell>
        </row>
        <row r="728">
          <cell r="A728" t="str">
            <v>Cây lộc vừng</v>
          </cell>
          <cell r="F728">
            <v>0</v>
          </cell>
        </row>
        <row r="729">
          <cell r="A729" t="str">
            <v>Cây lộc vừng giống mới trồng</v>
          </cell>
          <cell r="F729">
            <v>0</v>
          </cell>
        </row>
        <row r="730">
          <cell r="A730" t="str">
            <v>Cây lộc vừng đường kính thân 2 cm &lt; ĐK thân ≤5 cm</v>
          </cell>
          <cell r="F730">
            <v>0</v>
          </cell>
        </row>
        <row r="731">
          <cell r="A731" t="str">
            <v>Cây lộc vừng đường kính thân 5 cm &lt; ĐK thân ≤10 cm</v>
          </cell>
          <cell r="F731">
            <v>0</v>
          </cell>
        </row>
        <row r="732">
          <cell r="A732" t="str">
            <v>Cây lộc vừng đường kính thân 10 cm &lt; ĐK thân ≤15 cm</v>
          </cell>
        </row>
        <row r="733">
          <cell r="A733" t="str">
            <v>Cây lộc vừng đường kính thân 15 cm &lt; ĐK thân ≤20 cm</v>
          </cell>
          <cell r="F733">
            <v>0</v>
          </cell>
        </row>
        <row r="734">
          <cell r="A734" t="str">
            <v>Cây lộc vừng đường kính thân 20 cm &lt; ĐK thân ≤25 cm</v>
          </cell>
          <cell r="F734">
            <v>0</v>
          </cell>
        </row>
        <row r="735">
          <cell r="A735" t="str">
            <v>Cây lộc vừng đường kính thân 25 cm &lt; ĐK thân ≤30 cm</v>
          </cell>
          <cell r="F735">
            <v>0</v>
          </cell>
        </row>
        <row r="736">
          <cell r="A736" t="str">
            <v>Cây lộc vừng ĐK thân &gt;30 cm</v>
          </cell>
          <cell r="F736">
            <v>0</v>
          </cell>
        </row>
        <row r="737">
          <cell r="A737" t="str">
            <v>Cây móng rồng</v>
          </cell>
          <cell r="F737">
            <v>0</v>
          </cell>
        </row>
        <row r="738">
          <cell r="A738" t="str">
            <v>Cây móng rồng giống</v>
          </cell>
          <cell r="F738">
            <v>0</v>
          </cell>
        </row>
        <row r="739">
          <cell r="A739" t="str">
            <v>Cây móng rồng đường kính thân 1 cm &lt; ĐK thân ≤3 cm</v>
          </cell>
          <cell r="F739">
            <v>0</v>
          </cell>
        </row>
        <row r="740">
          <cell r="A740" t="str">
            <v>Cây móng rồng đường kính thân 3 cm &lt; ĐK thân ≤5 cm</v>
          </cell>
          <cell r="F740">
            <v>0</v>
          </cell>
        </row>
        <row r="741">
          <cell r="A741" t="str">
            <v>Cây móng rồng đường kính thân 5 cm &lt; ĐK thân ≤10 cm</v>
          </cell>
          <cell r="F741">
            <v>0</v>
          </cell>
        </row>
        <row r="742">
          <cell r="A742" t="str">
            <v>Cây móng rồng đường kính thân 10 cm &lt; ĐK thân ≤15 cm</v>
          </cell>
          <cell r="F742">
            <v>0</v>
          </cell>
        </row>
        <row r="743">
          <cell r="A743" t="str">
            <v>Cây móng rồng ĐK thân &gt; 15 cm</v>
          </cell>
          <cell r="F743">
            <v>0</v>
          </cell>
        </row>
        <row r="744">
          <cell r="A744" t="str">
            <v>Cây đa (sanh, si, duối, bồ đề)</v>
          </cell>
          <cell r="F744">
            <v>0</v>
          </cell>
        </row>
        <row r="745">
          <cell r="A745" t="str">
            <v>Cây đa (sanh, si, duối, bồ đề) Cây giống mới trồng</v>
          </cell>
          <cell r="F745">
            <v>0</v>
          </cell>
        </row>
        <row r="746">
          <cell r="A746" t="str">
            <v>Cây đa (sanh, si, duối, bồ đề) đường kính thân 2 cm &lt; ĐK thân ≤5 cm</v>
          </cell>
          <cell r="F746">
            <v>0</v>
          </cell>
        </row>
        <row r="747">
          <cell r="A747" t="str">
            <v>Cây đa (sanh, si, duối, bồ đề) đường kính thân 5 cm &lt; ĐK thân ≤10 cm</v>
          </cell>
          <cell r="F747">
            <v>0</v>
          </cell>
        </row>
        <row r="748">
          <cell r="A748" t="str">
            <v>Cây đa (sanh, si, duối, bồ đề) đường kính thân 10 cm &lt; ĐK thân ≤15 cm</v>
          </cell>
          <cell r="F748">
            <v>0</v>
          </cell>
        </row>
        <row r="749">
          <cell r="A749" t="str">
            <v>Cây đa (sanh, si, duối, bồ đề) đường kính thân 15 cm &lt; ĐK thân ≤25 cm</v>
          </cell>
          <cell r="F749">
            <v>0</v>
          </cell>
        </row>
        <row r="750">
          <cell r="A750" t="str">
            <v>Cây đa (sanh, si, duối, bồ đề) đường kính thân 25 cm &lt; ĐK thân ≤40 cm</v>
          </cell>
          <cell r="F750">
            <v>0</v>
          </cell>
        </row>
        <row r="751">
          <cell r="A751" t="str">
            <v>Cây đa (sanh, si, duối, bồ đề) đường kính thân 40 cm &lt; ĐK thân ≤60 cm</v>
          </cell>
          <cell r="F751">
            <v>0</v>
          </cell>
        </row>
        <row r="752">
          <cell r="A752" t="str">
            <v>Cây đa (sanh, si, duối, bồ đề) ĐK thân &gt; 60 cm</v>
          </cell>
          <cell r="F752">
            <v>0</v>
          </cell>
        </row>
        <row r="753">
          <cell r="A753" t="str">
            <v>Cây sộp (Túc)</v>
          </cell>
          <cell r="F753">
            <v>0</v>
          </cell>
        </row>
        <row r="754">
          <cell r="A754" t="str">
            <v>Cây sộp (Túc) Cây giống đủ tiêu chuẩn mới trồng, chiều cao cây H &lt; 40cm</v>
          </cell>
          <cell r="F754">
            <v>0</v>
          </cell>
        </row>
        <row r="755">
          <cell r="A755" t="str">
            <v>Cây sộp (Túc) đường kính thân 10 cm &lt; ĐK thân ≤15 cm</v>
          </cell>
          <cell r="F755">
            <v>0</v>
          </cell>
        </row>
        <row r="756">
          <cell r="A756" t="str">
            <v>Cây sộp (Túc) đường kính thân 15 cm &lt; ĐK thân ≤20 cm</v>
          </cell>
          <cell r="F756">
            <v>0</v>
          </cell>
        </row>
        <row r="757">
          <cell r="A757" t="str">
            <v>Cây sộp (Túc) đường kính thân 20 cm &lt; ĐK thân ≤30 cm</v>
          </cell>
          <cell r="F757">
            <v>0</v>
          </cell>
        </row>
        <row r="758">
          <cell r="A758" t="str">
            <v>Cây sộp (Túc) đường kính thân 30 cm&lt; ĐK thân ≤40cm</v>
          </cell>
          <cell r="F758">
            <v>0</v>
          </cell>
        </row>
        <row r="759">
          <cell r="A759" t="str">
            <v>Cây sộp (Túc) ĐK thân &gt; 40 cm</v>
          </cell>
          <cell r="F759">
            <v>0</v>
          </cell>
        </row>
        <row r="760">
          <cell r="A760" t="str">
            <v>Cây gáo</v>
          </cell>
          <cell r="F760">
            <v>0</v>
          </cell>
        </row>
        <row r="761">
          <cell r="A761" t="str">
            <v>Cây gáo Giống đủ tiêu chuẩn mới trồng, chiều cao cây H ≥ 40cm</v>
          </cell>
          <cell r="F761">
            <v>0</v>
          </cell>
        </row>
        <row r="762">
          <cell r="A762" t="str">
            <v>Cây gáo đường kính gốc 1cm ≤ ĐK gốc &lt; 3cm</v>
          </cell>
          <cell r="F762">
            <v>0</v>
          </cell>
        </row>
        <row r="763">
          <cell r="A763" t="str">
            <v>Cây gáo đường kính gốc 3 cm ≤ ĐK gốc &lt; 5 cm</v>
          </cell>
          <cell r="F763">
            <v>0</v>
          </cell>
        </row>
        <row r="764">
          <cell r="A764" t="str">
            <v>Cây gáo đường kính gốc 5cm ≤ ĐK gốc &lt; 10cm</v>
          </cell>
          <cell r="F764">
            <v>0</v>
          </cell>
        </row>
        <row r="765">
          <cell r="A765" t="str">
            <v>Cây gáo đường kính gốc 10cm ≤ ĐK gốc &lt; 15cm</v>
          </cell>
          <cell r="F765">
            <v>0</v>
          </cell>
        </row>
        <row r="766">
          <cell r="A766" t="str">
            <v>Cây gáo đường kính gốc 15cm ≤ ĐK gốc &lt; 20cm</v>
          </cell>
          <cell r="F766">
            <v>0</v>
          </cell>
        </row>
        <row r="767">
          <cell r="A767" t="str">
            <v>Cây gáo đường kính gốc 20cm ≤ ĐK gốc &lt; 30cm</v>
          </cell>
          <cell r="F767">
            <v>0</v>
          </cell>
        </row>
        <row r="768">
          <cell r="A768" t="str">
            <v>Cây gáo đường kính gốc 30cm ≤ ĐK gốc &lt; 40cm</v>
          </cell>
          <cell r="F768">
            <v>0</v>
          </cell>
        </row>
        <row r="769">
          <cell r="A769" t="str">
            <v>Cây gáo ĐK gốc ≥  40cm</v>
          </cell>
          <cell r="F769">
            <v>0</v>
          </cell>
        </row>
        <row r="770">
          <cell r="A770" t="str">
            <v>Cây vọng cách</v>
          </cell>
          <cell r="F770">
            <v>0</v>
          </cell>
        </row>
        <row r="771">
          <cell r="A771" t="str">
            <v>Cây vọng cách Cây giống mới trồng</v>
          </cell>
          <cell r="F771">
            <v>0</v>
          </cell>
        </row>
        <row r="772">
          <cell r="A772" t="str">
            <v>Cây vọng cách đường kính thân 2 cm &lt; ĐK thân ≤5 cm</v>
          </cell>
          <cell r="F772">
            <v>0</v>
          </cell>
        </row>
        <row r="773">
          <cell r="A773" t="str">
            <v>Cây vọng cách đường kính thân 5 cm &lt; ĐK thân ≤10 cm</v>
          </cell>
          <cell r="F773">
            <v>0</v>
          </cell>
        </row>
        <row r="774">
          <cell r="A774" t="str">
            <v>Cây vọng cách đường kính thân 10 cm &lt; ĐK thân ≤15 cm</v>
          </cell>
          <cell r="F774">
            <v>0</v>
          </cell>
        </row>
        <row r="775">
          <cell r="A775" t="str">
            <v>Cây vọng cách đường kính thân 15 cm &lt; ĐK thân ≤20 cm</v>
          </cell>
          <cell r="F775">
            <v>0</v>
          </cell>
        </row>
        <row r="776">
          <cell r="A776" t="str">
            <v>Cây vọng cách đường kính thân 20 cm &lt; ĐK thân ≤30 cm</v>
          </cell>
          <cell r="F776">
            <v>0</v>
          </cell>
        </row>
        <row r="777">
          <cell r="A777" t="str">
            <v>Cây vọng cách đường kính thân 30 cm &lt; ĐK thân ≤40 cm</v>
          </cell>
          <cell r="F777">
            <v>0</v>
          </cell>
        </row>
        <row r="778">
          <cell r="A778" t="str">
            <v>Cây vọng cách ĐK thân &gt; 40 cm</v>
          </cell>
          <cell r="F778">
            <v>0</v>
          </cell>
        </row>
        <row r="779">
          <cell r="A779" t="str">
            <v>Muồng Hoàng yến (Osaka vàng)</v>
          </cell>
          <cell r="F779">
            <v>0</v>
          </cell>
        </row>
        <row r="780">
          <cell r="A780" t="str">
            <v>Muồng Hoàng yến (Osaka vàng) Giống đủ tiêu chuẩn mới trồng, chiều cao cây H  ≤40cm</v>
          </cell>
          <cell r="F780">
            <v>0</v>
          </cell>
        </row>
        <row r="781">
          <cell r="A781" t="str">
            <v>Muồng Hoàng yến (Osaka vàng) đường kính gốc 1 cm  ≤ ĐK gốc &lt; 3 cm</v>
          </cell>
          <cell r="F781">
            <v>0</v>
          </cell>
        </row>
        <row r="782">
          <cell r="A782" t="str">
            <v>Muồng Hoàng yến (Osaka vàng) đường kính gốc 3 cm  ≤ ĐK gốc &lt; 5 cm</v>
          </cell>
          <cell r="F782">
            <v>0</v>
          </cell>
        </row>
        <row r="783">
          <cell r="A783" t="str">
            <v>Muồng Hoàng yến (Osaka vàng) đường kính gốc 5cm  ≤ ĐK gốc &lt; 10cm</v>
          </cell>
          <cell r="F783">
            <v>0</v>
          </cell>
        </row>
        <row r="784">
          <cell r="A784" t="str">
            <v>Muồng Hoàng yến (Osaka vàng) đường kính gốc 10cm  ≤ ĐK gốc &lt; 15cm</v>
          </cell>
          <cell r="F784">
            <v>0</v>
          </cell>
        </row>
        <row r="785">
          <cell r="A785" t="str">
            <v>Muồng Hoàng yến (Osaka vàng) đường kính gốc 15cm  ≤ ĐK gốc &lt; 20cm</v>
          </cell>
          <cell r="F785">
            <v>0</v>
          </cell>
        </row>
        <row r="786">
          <cell r="A786" t="str">
            <v>Muồng Hoàng yến (Osaka vàng) đường kính gốc 20cm  ≤ ĐK gốc &lt; 30cm</v>
          </cell>
          <cell r="F786">
            <v>0</v>
          </cell>
        </row>
        <row r="787">
          <cell r="A787" t="str">
            <v>Muồng Hoàng yến (Osaka vàng) đường kính gốc 30cm  ≤ ĐK gốc &lt; 40cm</v>
          </cell>
          <cell r="F787">
            <v>0</v>
          </cell>
        </row>
        <row r="788">
          <cell r="A788" t="str">
            <v>Muồng Hoàng yến (Osaka vàng) ĐK gốc ≥ 40cm</v>
          </cell>
          <cell r="F788">
            <v>0</v>
          </cell>
        </row>
        <row r="789">
          <cell r="A789" t="str">
            <v>Cây bồ kết</v>
          </cell>
          <cell r="F789">
            <v>0</v>
          </cell>
        </row>
        <row r="790">
          <cell r="A790" t="str">
            <v>Cây bồ kết Cây giống đủ tiêu chuẩn mới trồng, chiều cao cây H ≥ 40cm</v>
          </cell>
          <cell r="F790">
            <v>0</v>
          </cell>
        </row>
        <row r="791">
          <cell r="A791" t="str">
            <v>Cây bồ kết đường kính gốc 1 cm ≤ ĐK gốc &lt; 2cm</v>
          </cell>
          <cell r="F791">
            <v>0</v>
          </cell>
        </row>
        <row r="792">
          <cell r="A792" t="str">
            <v>Cây bồ kết đường kính gốc 2cm ≤ ĐK gốc &lt; 5cm</v>
          </cell>
          <cell r="F792">
            <v>0</v>
          </cell>
        </row>
        <row r="793">
          <cell r="A793" t="str">
            <v>Cây bồ kết đường kính gốc 5cm ≤ ĐK gốc &lt; 7cm</v>
          </cell>
          <cell r="F793">
            <v>0</v>
          </cell>
        </row>
        <row r="794">
          <cell r="A794" t="str">
            <v>Cây bồ kết đường kính gốc 7cm ≤ ĐK gốc &lt; 9cm</v>
          </cell>
          <cell r="F794">
            <v>0</v>
          </cell>
        </row>
        <row r="795">
          <cell r="A795" t="str">
            <v>Cây bồ kết đường kính gốc 9cm ≤ ĐK gốc &lt; 12cm</v>
          </cell>
          <cell r="F795">
            <v>0</v>
          </cell>
        </row>
        <row r="796">
          <cell r="A796" t="str">
            <v>Cây bồ kết đường kính gốc 12cm ≤ ĐK gốc &lt; 15cm</v>
          </cell>
          <cell r="F796">
            <v>0</v>
          </cell>
        </row>
        <row r="797">
          <cell r="A797" t="str">
            <v>Cây bồ kết đường kính gốc 15cm ≤ ĐK gốc &lt; 20cm</v>
          </cell>
          <cell r="F797">
            <v>0</v>
          </cell>
        </row>
        <row r="798">
          <cell r="A798" t="str">
            <v>Cây bồ kết đường kính gốc 20cm ≤ ĐK gốc &lt; 25cm</v>
          </cell>
          <cell r="F798">
            <v>0</v>
          </cell>
        </row>
        <row r="799">
          <cell r="A799" t="str">
            <v>Cây bồ kết đường kính gốc 25cm ≤ ĐK gốc &lt; 30cm</v>
          </cell>
          <cell r="F799">
            <v>0</v>
          </cell>
        </row>
        <row r="800">
          <cell r="A800" t="str">
            <v>Cây bồ kết đường kính gốc 30cm ≤ ĐK gốc &lt; 35cm</v>
          </cell>
          <cell r="F800">
            <v>0</v>
          </cell>
        </row>
        <row r="801">
          <cell r="A801" t="str">
            <v>Cây bồ kết đường kính gốc 35cm ≤ ĐK gốc &lt; 50cm</v>
          </cell>
          <cell r="F801">
            <v>0</v>
          </cell>
        </row>
        <row r="802">
          <cell r="A802" t="str">
            <v>Cây bồ kết ĐK gốc ≥ 50cm</v>
          </cell>
          <cell r="F802">
            <v>0</v>
          </cell>
        </row>
        <row r="803">
          <cell r="A803" t="str">
            <v>Cây vông</v>
          </cell>
          <cell r="F803">
            <v>0</v>
          </cell>
        </row>
        <row r="804">
          <cell r="A804" t="str">
            <v>Cây vông giống mới trồng</v>
          </cell>
          <cell r="F804">
            <v>0</v>
          </cell>
        </row>
        <row r="805">
          <cell r="A805" t="str">
            <v>Cây vông đường kính thân 2 cm &lt; ĐK thân ≤5 cm</v>
          </cell>
          <cell r="F805">
            <v>0</v>
          </cell>
        </row>
        <row r="806">
          <cell r="A806" t="str">
            <v>Cây vông đường kính thân 5 cm &lt; ĐK thân ≤10 cm</v>
          </cell>
          <cell r="F806">
            <v>0</v>
          </cell>
        </row>
        <row r="807">
          <cell r="A807" t="str">
            <v>Cây vông đường kính thân 10 cm &lt; ĐK thân ≤15 cm</v>
          </cell>
          <cell r="F807">
            <v>0</v>
          </cell>
        </row>
        <row r="808">
          <cell r="A808" t="str">
            <v>Cây vông đường kính thân 15 cm &lt; ĐK thân ≤25 cm</v>
          </cell>
          <cell r="F808">
            <v>0</v>
          </cell>
        </row>
        <row r="809">
          <cell r="A809" t="str">
            <v>Cây vông đường kính thân 25 cm &lt; ĐK thân ≤40 cm</v>
          </cell>
          <cell r="F809">
            <v>0</v>
          </cell>
        </row>
        <row r="810">
          <cell r="A810" t="str">
            <v>Cây vông đường kính thân 40 cm &lt; ĐK thân ≤60 cm</v>
          </cell>
          <cell r="F810">
            <v>0</v>
          </cell>
        </row>
        <row r="811">
          <cell r="A811" t="str">
            <v>Cây vông ĐK thân &gt; 60 cm</v>
          </cell>
          <cell r="F811">
            <v>0</v>
          </cell>
        </row>
        <row r="812">
          <cell r="A812" t="str">
            <v>Cây tre hóa</v>
          </cell>
          <cell r="F812">
            <v>0</v>
          </cell>
        </row>
        <row r="813">
          <cell r="A813" t="str">
            <v>Cây tre hóa Cây giống đủ tiêu chuẩn mới trồng</v>
          </cell>
          <cell r="F813">
            <v>0</v>
          </cell>
        </row>
        <row r="814">
          <cell r="A814" t="str">
            <v>Cây tre hóa đường kính thân 2 cm &lt; ĐK thân ≤5 cm</v>
          </cell>
          <cell r="F814">
            <v>0</v>
          </cell>
        </row>
        <row r="815">
          <cell r="A815" t="str">
            <v>Cây tre hóa đường kính thân 5 cm &lt; ĐK thân ≤10 cm</v>
          </cell>
          <cell r="F815">
            <v>0</v>
          </cell>
        </row>
        <row r="816">
          <cell r="A816" t="str">
            <v>Cây tre hóa ĐK thân &gt; 10 cm</v>
          </cell>
          <cell r="F816">
            <v>0</v>
          </cell>
        </row>
        <row r="817">
          <cell r="A817" t="str">
            <v>Cây cau bụng</v>
          </cell>
          <cell r="F817">
            <v>0</v>
          </cell>
        </row>
        <row r="818">
          <cell r="A818" t="str">
            <v>Cây cau bụng Cây giống mới trồng</v>
          </cell>
          <cell r="F818">
            <v>0</v>
          </cell>
        </row>
        <row r="819">
          <cell r="A819" t="str">
            <v>Cây cau bụng đường kính thân 2 cm&lt; ĐK thân ≤5 cm</v>
          </cell>
          <cell r="F819">
            <v>0</v>
          </cell>
        </row>
        <row r="820">
          <cell r="A820" t="str">
            <v>Cây cau bụng đường kính thân 5 cm &lt; ĐK thân ≤10 cm</v>
          </cell>
          <cell r="F820">
            <v>0</v>
          </cell>
        </row>
        <row r="821">
          <cell r="A821" t="str">
            <v>Cây cau bụng đường kính thân 10 cm &lt; ĐK thân ≤15 cm</v>
          </cell>
          <cell r="F821">
            <v>0</v>
          </cell>
        </row>
        <row r="822">
          <cell r="A822" t="str">
            <v>Cây cau bụng đường kính thân 15 cm &lt; ĐK thân ≤25 cm</v>
          </cell>
          <cell r="F822">
            <v>0</v>
          </cell>
        </row>
        <row r="823">
          <cell r="A823" t="str">
            <v>Cây cau bụng đường kính thân 25 cm &lt; ĐK thân ≤40 cm</v>
          </cell>
          <cell r="F823">
            <v>0</v>
          </cell>
        </row>
        <row r="824">
          <cell r="A824" t="str">
            <v>Cây cau bụng ĐK thân &gt; 40 cm</v>
          </cell>
          <cell r="F824">
            <v>0</v>
          </cell>
        </row>
        <row r="825">
          <cell r="A825" t="str">
            <v>Cây cau sâm panh</v>
          </cell>
          <cell r="F825">
            <v>0</v>
          </cell>
        </row>
        <row r="826">
          <cell r="A826" t="str">
            <v>Cây cau sâm panh Cây giống mới trồng</v>
          </cell>
          <cell r="F826">
            <v>0</v>
          </cell>
        </row>
        <row r="827">
          <cell r="A827" t="str">
            <v>Cây cau sâm panh đường kính thân 2 cm &lt; ĐK thân ≤5 cm</v>
          </cell>
          <cell r="F827">
            <v>0</v>
          </cell>
        </row>
        <row r="828">
          <cell r="A828" t="str">
            <v>Cây cau sâm panh đường kính thân 5 cm &lt; ĐK thân ≤10 cm</v>
          </cell>
          <cell r="F828">
            <v>0</v>
          </cell>
        </row>
        <row r="829">
          <cell r="A829" t="str">
            <v>Cây cau sâm panh đường kính thân 10 cm &lt; ĐK thân ≤15 cm</v>
          </cell>
          <cell r="F829">
            <v>0</v>
          </cell>
        </row>
        <row r="830">
          <cell r="A830" t="str">
            <v>Cây cau sâm panh đường kính thân 15 cm &lt; ĐK thân ≤25 cm</v>
          </cell>
          <cell r="F830">
            <v>0</v>
          </cell>
        </row>
        <row r="831">
          <cell r="A831" t="str">
            <v>Cây cau sâm panh đường kính thân 25 cm &lt; ĐK thân ≤40 cm</v>
          </cell>
          <cell r="F831">
            <v>0</v>
          </cell>
        </row>
        <row r="832">
          <cell r="A832" t="str">
            <v>Cây cau sâm panh đường kính thân 40 cm &lt; ĐK thân ≤60 cm</v>
          </cell>
          <cell r="F832">
            <v>0</v>
          </cell>
        </row>
        <row r="833">
          <cell r="A833" t="str">
            <v>Cây cau sâm panh ĐK thân &gt; 60 cm</v>
          </cell>
          <cell r="F833">
            <v>0</v>
          </cell>
        </row>
        <row r="834">
          <cell r="A834" t="str">
            <v>Cây cần thăng</v>
          </cell>
          <cell r="F834">
            <v>0</v>
          </cell>
        </row>
        <row r="835">
          <cell r="A835" t="str">
            <v>Cây cần thăng Cây giống mới trồng</v>
          </cell>
          <cell r="F835">
            <v>0</v>
          </cell>
        </row>
        <row r="836">
          <cell r="A836" t="str">
            <v>Cây cần thăng đường kính thân 2 cm &lt; ĐK thân ≤5 cm</v>
          </cell>
          <cell r="F836">
            <v>0</v>
          </cell>
        </row>
        <row r="837">
          <cell r="A837" t="str">
            <v>Cây cần thăng đường kính thân 5 cm &lt; ĐK thân ≤  10 cm</v>
          </cell>
          <cell r="F837">
            <v>0</v>
          </cell>
        </row>
        <row r="838">
          <cell r="A838" t="str">
            <v>Cây cần thăng đường kính thân 10 cm &lt; ĐK thân ≤ 15 cm</v>
          </cell>
          <cell r="F838">
            <v>0</v>
          </cell>
        </row>
        <row r="839">
          <cell r="A839" t="str">
            <v>Cây cần thăng ĐK thân &gt; 15 cm</v>
          </cell>
          <cell r="F839">
            <v>0</v>
          </cell>
        </row>
        <row r="840">
          <cell r="A840" t="str">
            <v>Cây hoa trà</v>
          </cell>
          <cell r="F840">
            <v>0</v>
          </cell>
        </row>
        <row r="841">
          <cell r="A841" t="str">
            <v>Cây hoa trà Cây giống mới trồng</v>
          </cell>
          <cell r="F841">
            <v>0</v>
          </cell>
        </row>
        <row r="842">
          <cell r="A842" t="str">
            <v>Cây hoa trà đường kính thân 0,5 cm &lt; ĐK thân ≤3 cm</v>
          </cell>
          <cell r="F842">
            <v>0</v>
          </cell>
        </row>
        <row r="843">
          <cell r="A843" t="str">
            <v>Cây hoa trà đường kính thân 3 cm &lt; ĐK thân ≤5 cm</v>
          </cell>
          <cell r="F843">
            <v>0</v>
          </cell>
        </row>
        <row r="844">
          <cell r="A844" t="str">
            <v>Cây hoa trà đường kính thân 5 cm &lt; ĐK thân ≤8 cm</v>
          </cell>
          <cell r="F844">
            <v>0</v>
          </cell>
        </row>
        <row r="845">
          <cell r="A845" t="str">
            <v>Cây hoa trà ĐK thân &gt; 8 cm</v>
          </cell>
          <cell r="F845">
            <v>0</v>
          </cell>
        </row>
        <row r="846">
          <cell r="A846" t="str">
            <v>Cây hải đường</v>
          </cell>
          <cell r="F846">
            <v>0</v>
          </cell>
        </row>
        <row r="847">
          <cell r="A847" t="str">
            <v>Cây hải đường Cây giống đủ tiêu chuẩn mới trồng</v>
          </cell>
          <cell r="F847">
            <v>0</v>
          </cell>
        </row>
        <row r="848">
          <cell r="A848" t="str">
            <v>Cây hải đường  đường kính thân 0,5 cm &lt; ĐK thân ≤3 cm</v>
          </cell>
          <cell r="F848">
            <v>0</v>
          </cell>
        </row>
        <row r="849">
          <cell r="A849" t="str">
            <v>Cây hải đường  đường kính thân 3 cm &lt; ĐK thân ≤5 cm</v>
          </cell>
          <cell r="F849">
            <v>0</v>
          </cell>
        </row>
        <row r="850">
          <cell r="A850" t="str">
            <v>Cây hải đường  đường kính thân 5 cm &lt; ĐK thân ≤8 cm</v>
          </cell>
          <cell r="F850">
            <v>0</v>
          </cell>
        </row>
        <row r="851">
          <cell r="A851" t="str">
            <v>Cây hải đường ĐK thân &gt; 8 cm</v>
          </cell>
          <cell r="F851">
            <v>0</v>
          </cell>
        </row>
        <row r="852">
          <cell r="A852" t="str">
            <v>Cây tường vi</v>
          </cell>
          <cell r="F852">
            <v>0</v>
          </cell>
        </row>
        <row r="853">
          <cell r="A853" t="str">
            <v>Cây tường vi Cây giống mới trồng</v>
          </cell>
          <cell r="F853">
            <v>0</v>
          </cell>
        </row>
        <row r="854">
          <cell r="A854" t="str">
            <v>Cây tường vi đường kính thân 2 cm &lt; ĐK thân ≤5 cm</v>
          </cell>
          <cell r="F854">
            <v>0</v>
          </cell>
        </row>
        <row r="855">
          <cell r="A855" t="str">
            <v>Cây tường vi đường kính thân 5 cm &lt; ĐK thân ≤10 cm</v>
          </cell>
          <cell r="F855">
            <v>0</v>
          </cell>
        </row>
        <row r="856">
          <cell r="A856" t="str">
            <v>Cây tường vi ĐKthân&gt; 10 cm</v>
          </cell>
          <cell r="F856">
            <v>0</v>
          </cell>
        </row>
        <row r="857">
          <cell r="A857" t="str">
            <v>Cây mai tứ quý</v>
          </cell>
          <cell r="F857">
            <v>0</v>
          </cell>
        </row>
        <row r="858">
          <cell r="A858" t="str">
            <v>Cây mai tứ quý Cây giống mới trồng</v>
          </cell>
          <cell r="F858">
            <v>0</v>
          </cell>
        </row>
        <row r="859">
          <cell r="A859" t="str">
            <v>Cây mai tứ quý đường kính thân 2 cm &lt; ĐK thân ≤5 cm</v>
          </cell>
          <cell r="F859">
            <v>0</v>
          </cell>
        </row>
        <row r="860">
          <cell r="A860" t="str">
            <v>Cây mai tứ quý đường kính thân 5 cm &lt; ĐK thân ≤10 cm</v>
          </cell>
          <cell r="F860">
            <v>0</v>
          </cell>
        </row>
        <row r="861">
          <cell r="A861" t="str">
            <v>Cây mai tứ quý đường kính thân 10 cm &lt; ĐK thân ≤15 cm</v>
          </cell>
          <cell r="F861">
            <v>0</v>
          </cell>
        </row>
        <row r="862">
          <cell r="A862" t="str">
            <v>Cây mai tứ quý ĐKthân&gt; 15 cm</v>
          </cell>
          <cell r="F862">
            <v>0</v>
          </cell>
        </row>
        <row r="863">
          <cell r="A863" t="str">
            <v>Cây mai chiếu thủy</v>
          </cell>
          <cell r="F863">
            <v>0</v>
          </cell>
        </row>
        <row r="864">
          <cell r="A864" t="str">
            <v>Cây mai chiếu thủy Cây giống mới trồng</v>
          </cell>
          <cell r="F864">
            <v>0</v>
          </cell>
        </row>
        <row r="865">
          <cell r="A865" t="str">
            <v>Cây mai chiếu thủy đường kính thân 2 cm &lt; ĐK thân ≤5 cm</v>
          </cell>
          <cell r="F865">
            <v>0</v>
          </cell>
        </row>
        <row r="866">
          <cell r="A866" t="str">
            <v>Cây mai chiếu thủy đường kính thân 5 cm &lt; ĐK thân ≤10 cm</v>
          </cell>
          <cell r="F866">
            <v>0</v>
          </cell>
        </row>
        <row r="867">
          <cell r="A867" t="str">
            <v>Cây mai chiếu thủy đường kính thân 10 cm &lt; ĐK thân ≤15 cm</v>
          </cell>
          <cell r="F867">
            <v>0</v>
          </cell>
        </row>
        <row r="868">
          <cell r="A868" t="str">
            <v>Cây mai chiếu thủy ĐKthân&gt;15cm</v>
          </cell>
          <cell r="F868">
            <v>0</v>
          </cell>
        </row>
        <row r="869">
          <cell r="A869" t="str">
            <v>Cây mộc hương, cây hạnh phúc</v>
          </cell>
          <cell r="F869">
            <v>0</v>
          </cell>
        </row>
        <row r="870">
          <cell r="A870" t="str">
            <v>Cây mộc hương, cây hạnh phúc Cây giống mới trồng</v>
          </cell>
          <cell r="F870">
            <v>0</v>
          </cell>
        </row>
        <row r="871">
          <cell r="A871" t="str">
            <v>Cây mộc hương, cây hạnh phúc đường kính thân 2 cm &lt; ĐK thân ≤5 cm</v>
          </cell>
          <cell r="F871">
            <v>0</v>
          </cell>
        </row>
        <row r="872">
          <cell r="A872" t="str">
            <v>Cây mộc hương, cây hạnh phúc đường kính thân 5 cm &lt; ĐK thân ≤10 cm</v>
          </cell>
          <cell r="F872">
            <v>0</v>
          </cell>
        </row>
        <row r="873">
          <cell r="A873" t="str">
            <v>Cây mộc hương, cây hạnh phúc đường kính thân 10 cm &lt; ĐK thân ≤15 cm</v>
          </cell>
          <cell r="F873">
            <v>0</v>
          </cell>
        </row>
        <row r="874">
          <cell r="A874" t="str">
            <v>Cây mộc hương, cây hạnh phúc ĐK thân &gt; 15 cm</v>
          </cell>
          <cell r="F874">
            <v>0</v>
          </cell>
        </row>
        <row r="875">
          <cell r="A875" t="str">
            <v>Cây hoa giấy</v>
          </cell>
          <cell r="F875">
            <v>0</v>
          </cell>
        </row>
        <row r="876">
          <cell r="A876" t="str">
            <v>Cây hoa giấy Cây giống mới trồng</v>
          </cell>
          <cell r="F876">
            <v>0</v>
          </cell>
        </row>
        <row r="877">
          <cell r="A877" t="str">
            <v>Cây hoa giấy ĐK thân ≤2 cm</v>
          </cell>
          <cell r="F877">
            <v>0</v>
          </cell>
        </row>
        <row r="878">
          <cell r="A878" t="str">
            <v>Cây hoa giấy đường kính thân 2 cm &lt; ĐK thân ≤5 cm</v>
          </cell>
          <cell r="F878">
            <v>0</v>
          </cell>
        </row>
        <row r="879">
          <cell r="A879" t="str">
            <v>Cây hoa giấy đường kính thân 5 cm &lt; ĐK thân ≤10 cm</v>
          </cell>
          <cell r="F879">
            <v>0</v>
          </cell>
        </row>
        <row r="880">
          <cell r="A880" t="str">
            <v>Cây hoa giấy đường kính thân 10 cm &lt; ĐK thân ≤15 cm</v>
          </cell>
          <cell r="F880">
            <v>0</v>
          </cell>
        </row>
        <row r="881">
          <cell r="A881" t="str">
            <v>Cây hoa giấy đường kính thân 15 cm &lt; ĐK thân ≤20 cm</v>
          </cell>
          <cell r="F881">
            <v>0</v>
          </cell>
        </row>
        <row r="882">
          <cell r="A882" t="str">
            <v>Cây hoa giấy đường kính thân 20 cm&lt; ĐK thân ≤25 cm</v>
          </cell>
          <cell r="F882">
            <v>0</v>
          </cell>
        </row>
        <row r="883">
          <cell r="A883" t="str">
            <v>Cây hoa giấy ĐK thân &gt; 25 cm</v>
          </cell>
          <cell r="F883">
            <v>0</v>
          </cell>
        </row>
        <row r="884">
          <cell r="A884" t="str">
            <v>Cây lan bình rượu (náng đế)</v>
          </cell>
          <cell r="F884">
            <v>0</v>
          </cell>
        </row>
        <row r="885">
          <cell r="A885" t="str">
            <v>Cây lan bình rượu (náng đế) Cây giống mới trồng</v>
          </cell>
          <cell r="F885">
            <v>0</v>
          </cell>
        </row>
        <row r="886">
          <cell r="A886" t="str">
            <v>Cây lan bình rượu (náng đế) đường kính thân 2 cm &lt; ĐK thân ≤5 cm</v>
          </cell>
          <cell r="F886">
            <v>0</v>
          </cell>
        </row>
        <row r="887">
          <cell r="A887" t="str">
            <v>Cây lan bình rượu (náng đế) đường kính thân 5 cm &lt; ĐK thân ≤10 cm</v>
          </cell>
          <cell r="F887">
            <v>0</v>
          </cell>
        </row>
        <row r="888">
          <cell r="A888" t="str">
            <v>Cây lan bình rượu (náng đế) đường kính thân 10 cm &lt; ĐK thân ≤15 cm</v>
          </cell>
          <cell r="F888">
            <v>0</v>
          </cell>
        </row>
        <row r="889">
          <cell r="A889" t="str">
            <v>Cây lan bình rượu (náng đế) đường kính thân 15 cm &lt; ĐK thân ≤25 cm</v>
          </cell>
          <cell r="F889">
            <v>0</v>
          </cell>
        </row>
        <row r="890">
          <cell r="A890" t="str">
            <v>Cây lan bình rượu (náng đế) ĐK thân &gt; 25 cm</v>
          </cell>
          <cell r="F890">
            <v>0</v>
          </cell>
        </row>
        <row r="891">
          <cell r="A891" t="str">
            <v>Cây mắc mật (Móc mật)</v>
          </cell>
          <cell r="F891">
            <v>0</v>
          </cell>
        </row>
        <row r="892">
          <cell r="A892" t="str">
            <v>Cây mắc mật (Móc mật) Cây mới trồng, ĐK thân ≤2cm</v>
          </cell>
          <cell r="F892">
            <v>0</v>
          </cell>
        </row>
        <row r="893">
          <cell r="A893" t="str">
            <v>Cây mắc mật (Móc mật) đường kính gốc 2 cm &lt; ĐK gốc ≤ 5 cm</v>
          </cell>
          <cell r="F893">
            <v>0</v>
          </cell>
        </row>
        <row r="894">
          <cell r="A894" t="str">
            <v>Cây mắc mật (Móc mật) đường kính gốc 5 cm &lt; ĐK gốc ≤ 10 cm</v>
          </cell>
          <cell r="F894">
            <v>0</v>
          </cell>
        </row>
        <row r="895">
          <cell r="A895" t="str">
            <v>Cây mắc mật (Móc mật) đường kính gốc 10 cm &lt; ĐK gốc ≤ 150 cm</v>
          </cell>
          <cell r="F895">
            <v>0</v>
          </cell>
        </row>
        <row r="896">
          <cell r="A896" t="str">
            <v>Cây mắc mật (Móc mật) đường kính gốc 15 cm &lt; ĐK gốc ≤ 20 cm</v>
          </cell>
          <cell r="F896">
            <v>0</v>
          </cell>
        </row>
        <row r="897">
          <cell r="A897" t="str">
            <v>Cây mắc mật (Móc mật) ĐK gốc &gt; 20 cm</v>
          </cell>
          <cell r="F897">
            <v>0</v>
          </cell>
        </row>
        <row r="898">
          <cell r="A898" t="str">
            <v>Cây sim</v>
          </cell>
          <cell r="F898">
            <v>0</v>
          </cell>
        </row>
        <row r="899">
          <cell r="A899" t="str">
            <v>Cây sim Cây giống mới trồng</v>
          </cell>
          <cell r="F899">
            <v>0</v>
          </cell>
        </row>
        <row r="900">
          <cell r="A900" t="str">
            <v>Cây sim ĐK thân ≤5 cm</v>
          </cell>
          <cell r="F900">
            <v>0</v>
          </cell>
        </row>
        <row r="901">
          <cell r="A901" t="str">
            <v>Cây sim đường kính thân 5 cm &lt; ĐK thân ≤7 cm</v>
          </cell>
          <cell r="F901">
            <v>0</v>
          </cell>
        </row>
        <row r="902">
          <cell r="A902" t="str">
            <v>Cây sim đường kính thân 7 cm &lt; ĐK thân ≤10 cm</v>
          </cell>
          <cell r="F902">
            <v>0</v>
          </cell>
        </row>
        <row r="903">
          <cell r="A903" t="str">
            <v>Cây sim ĐK thân &gt; 10 cm</v>
          </cell>
          <cell r="F903">
            <v>0</v>
          </cell>
        </row>
        <row r="904">
          <cell r="A904" t="str">
            <v>Cây tùng bách tán</v>
          </cell>
          <cell r="F904">
            <v>0</v>
          </cell>
        </row>
        <row r="905">
          <cell r="A905" t="str">
            <v>Cây tùng bách tán Cây giống mới trồng</v>
          </cell>
          <cell r="F905">
            <v>0</v>
          </cell>
        </row>
        <row r="906">
          <cell r="A906" t="str">
            <v>Cây tùng bách tán ĐK thân ≤2 cm</v>
          </cell>
          <cell r="F906">
            <v>0</v>
          </cell>
        </row>
        <row r="907">
          <cell r="A907" t="str">
            <v>Cây tùng bách tán đường kính thân 2 cm &lt; ĐK thân ≤5 cm</v>
          </cell>
          <cell r="F907">
            <v>0</v>
          </cell>
        </row>
        <row r="908">
          <cell r="A908" t="str">
            <v>Cây tùng bách tán đường kính thân 5 cm &lt; ĐK thân ≤10 cm</v>
          </cell>
          <cell r="F908">
            <v>0</v>
          </cell>
        </row>
        <row r="909">
          <cell r="A909" t="str">
            <v>Cây tùng bách tán đường kính thân 10 cm &lt; ĐK thân ≤15 cm</v>
          </cell>
          <cell r="F909">
            <v>0</v>
          </cell>
        </row>
        <row r="910">
          <cell r="A910" t="str">
            <v>Cây tùng bách tán đường kính thân 15 cm &lt; ĐK thân ≤20 cm</v>
          </cell>
          <cell r="F910">
            <v>0</v>
          </cell>
        </row>
        <row r="911">
          <cell r="A911" t="str">
            <v>Cây tùng bách tán đường kính thân 20 cm &lt; ĐK thân ≤25 cm</v>
          </cell>
          <cell r="F911">
            <v>0</v>
          </cell>
        </row>
        <row r="912">
          <cell r="A912" t="str">
            <v>Cây tùng bách tán ĐK thân &gt; 25 cm</v>
          </cell>
          <cell r="F912">
            <v>0</v>
          </cell>
        </row>
        <row r="913">
          <cell r="A913" t="str">
            <v>Cây tùng la hán</v>
          </cell>
          <cell r="F913">
            <v>0</v>
          </cell>
        </row>
        <row r="914">
          <cell r="A914" t="str">
            <v>Cây tùng la hán Cây giống mới trồng</v>
          </cell>
          <cell r="F914">
            <v>0</v>
          </cell>
        </row>
        <row r="915">
          <cell r="A915" t="str">
            <v>Cây tùng la hán ĐK thân ≤2 cm</v>
          </cell>
          <cell r="F915">
            <v>0</v>
          </cell>
        </row>
        <row r="916">
          <cell r="A916" t="str">
            <v>Cây tùng la hán đường kính thân 2 cm &lt; ĐK thân ≤5 cm</v>
          </cell>
          <cell r="F916">
            <v>0</v>
          </cell>
        </row>
        <row r="917">
          <cell r="A917" t="str">
            <v>Cây tùng la hán đường kính thân 5 cm &lt; ĐK thân ≤10 cm</v>
          </cell>
          <cell r="F917">
            <v>0</v>
          </cell>
        </row>
        <row r="918">
          <cell r="A918" t="str">
            <v>Cây tùng la hán đường kính thân 10 cm &lt; ĐK thân ≤15 cm</v>
          </cell>
          <cell r="F918">
            <v>0</v>
          </cell>
        </row>
        <row r="919">
          <cell r="A919" t="str">
            <v>Cây tùng la hán đường kính thân 15 cm &lt; ĐK thân ≤20 cm</v>
          </cell>
          <cell r="F919">
            <v>0</v>
          </cell>
        </row>
        <row r="920">
          <cell r="A920" t="str">
            <v>Cây tùng la hán đường kính thân 20 cm &lt; ĐK thân ≤25 cm</v>
          </cell>
          <cell r="F920">
            <v>0</v>
          </cell>
        </row>
        <row r="921">
          <cell r="A921" t="str">
            <v>Cây tùng la hán ĐK thân &gt; 25 cm</v>
          </cell>
          <cell r="F921">
            <v>0</v>
          </cell>
        </row>
        <row r="922">
          <cell r="A922" t="str">
            <v>Cây tùng kim</v>
          </cell>
          <cell r="F922">
            <v>0</v>
          </cell>
        </row>
        <row r="923">
          <cell r="A923" t="str">
            <v>Cây tùng kim Cây giống mới trồng</v>
          </cell>
          <cell r="F923">
            <v>0</v>
          </cell>
        </row>
        <row r="924">
          <cell r="A924" t="str">
            <v>Cây tùng kim ĐK thân ≤2 cm</v>
          </cell>
          <cell r="F924">
            <v>0</v>
          </cell>
        </row>
        <row r="925">
          <cell r="A925" t="str">
            <v>Cây tùng kim đường kính thân 2 cm &lt; ĐK thân ≤5 cm</v>
          </cell>
          <cell r="F925">
            <v>0</v>
          </cell>
        </row>
        <row r="926">
          <cell r="A926" t="str">
            <v>Cây tùng kim đường kính thân 5 cm &lt; ĐK thân ≤10 cm</v>
          </cell>
          <cell r="F926">
            <v>0</v>
          </cell>
        </row>
        <row r="927">
          <cell r="A927" t="str">
            <v>Cây tùng kim đường kính thân 10 cm &lt; ĐK thân ≤15 cm</v>
          </cell>
          <cell r="F927">
            <v>0</v>
          </cell>
        </row>
        <row r="928">
          <cell r="A928" t="str">
            <v>Cây tùng kim đường kính thân 15 cm &lt; ĐK thân ≤20 cm</v>
          </cell>
          <cell r="F928">
            <v>0</v>
          </cell>
        </row>
        <row r="929">
          <cell r="A929" t="str">
            <v>Cây tùng kim đường kính thân 20 cm &lt; ĐK thân ≤25 cm</v>
          </cell>
          <cell r="F929">
            <v>0</v>
          </cell>
        </row>
        <row r="930">
          <cell r="A930" t="str">
            <v>Cây tùng kim ĐK thân &gt; 25 cm</v>
          </cell>
          <cell r="F930">
            <v>0</v>
          </cell>
        </row>
        <row r="931">
          <cell r="A931" t="str">
            <v>Bàng Đài Loan</v>
          </cell>
          <cell r="F931">
            <v>0</v>
          </cell>
        </row>
        <row r="932">
          <cell r="A932" t="str">
            <v>Bàng Đài Loan Giống đủ tiêu chuẩn mới trồng, chiều cao cây H  ≤ 40cm</v>
          </cell>
          <cell r="F932">
            <v>0</v>
          </cell>
        </row>
        <row r="933">
          <cell r="A933" t="str">
            <v>Bàng Đài Loan đường kính gốc 1cm  ≤ ĐK gốc &lt; 3cm</v>
          </cell>
          <cell r="F933">
            <v>0</v>
          </cell>
        </row>
        <row r="934">
          <cell r="A934" t="str">
            <v>Bàng Đài Loan đường kính gốc 3cm  ≤ ĐK gốc &lt; 5cm</v>
          </cell>
          <cell r="F934">
            <v>0</v>
          </cell>
        </row>
        <row r="935">
          <cell r="A935" t="str">
            <v>Bàng Đài Loan đường kính gốc 5cm  ≤ ĐK gốc &lt; 10cm</v>
          </cell>
          <cell r="F935">
            <v>0</v>
          </cell>
        </row>
        <row r="936">
          <cell r="A936" t="str">
            <v>Bàng Đài Loan đường kính gốc 10cm  ≤ ĐK gốc &lt; 15cm</v>
          </cell>
          <cell r="F936">
            <v>0</v>
          </cell>
        </row>
        <row r="937">
          <cell r="A937" t="str">
            <v>Bàng Đài Loan đường kính gốc 15cm  ≤ ĐK gốc &lt; 20cm</v>
          </cell>
          <cell r="F937">
            <v>0</v>
          </cell>
        </row>
        <row r="938">
          <cell r="A938" t="str">
            <v>Bàng Đài Loan đường kính gốc 20cm  ≤ ĐK gốc &lt; 25cm</v>
          </cell>
          <cell r="F938">
            <v>0</v>
          </cell>
        </row>
        <row r="939">
          <cell r="A939" t="str">
            <v>Bàng Đài Loan đường kính gốc 25cm  ≤ ĐK gốc &lt; 30cm</v>
          </cell>
          <cell r="F939">
            <v>0</v>
          </cell>
        </row>
        <row r="940">
          <cell r="A940" t="str">
            <v>Bàng Đài Loan ĐK gốc ≥ 30cm</v>
          </cell>
          <cell r="F940">
            <v>0</v>
          </cell>
        </row>
        <row r="941">
          <cell r="A941" t="str">
            <v>Tùng Ấn Độ</v>
          </cell>
          <cell r="F941">
            <v>0</v>
          </cell>
        </row>
        <row r="942">
          <cell r="A942" t="str">
            <v>Tùng Ấn Độ Cây giống đủ tiêu chuẩn mới trồng, chiều cao cây H &lt; 40cm</v>
          </cell>
          <cell r="F942">
            <v>0</v>
          </cell>
        </row>
        <row r="943">
          <cell r="A943" t="str">
            <v>Tùng Ấn Độ đường kính gốc 1 cm  ≤ ĐK gốc &lt; 3cm</v>
          </cell>
          <cell r="F943">
            <v>0</v>
          </cell>
        </row>
        <row r="944">
          <cell r="A944" t="str">
            <v>Tùng Ấn Độ đường kính gốc 3cm  ≤ ĐK gốc &lt; 5cm</v>
          </cell>
          <cell r="F944">
            <v>0</v>
          </cell>
        </row>
        <row r="945">
          <cell r="A945" t="str">
            <v>Tùng Ấn Độ đường kính gốc 5cm  ≤ ĐK gốc &lt; 10cm</v>
          </cell>
          <cell r="F945">
            <v>0</v>
          </cell>
        </row>
        <row r="946">
          <cell r="A946" t="str">
            <v>Tùng Ấn Độ đường kính gốc 10cm  ≤ ĐK gốc &lt; 15cm</v>
          </cell>
          <cell r="F946">
            <v>0</v>
          </cell>
        </row>
        <row r="947">
          <cell r="A947" t="str">
            <v>Tùng Ấn Độ ĐK gốc ≥ 15cm</v>
          </cell>
          <cell r="F947">
            <v>0</v>
          </cell>
        </row>
        <row r="948">
          <cell r="A948" t="str">
            <v>Sầu riêng</v>
          </cell>
          <cell r="F948">
            <v>0</v>
          </cell>
        </row>
        <row r="949">
          <cell r="A949" t="str">
            <v>Sầu riêng Cây mới trồng &lt;01 năm (cây từ hạt)</v>
          </cell>
          <cell r="F949">
            <v>0</v>
          </cell>
        </row>
        <row r="950">
          <cell r="A950" t="str">
            <v>Sầu riêng Cây mới trồng &lt; 01 năm (cây ghép)</v>
          </cell>
          <cell r="F950">
            <v>0</v>
          </cell>
        </row>
        <row r="951">
          <cell r="A951" t="str">
            <v>Sầu riêng Cây trồng ≥  01 năm, chiều cao thân cây &lt; 1m chưa có quả</v>
          </cell>
          <cell r="F951">
            <v>0</v>
          </cell>
        </row>
        <row r="952">
          <cell r="A952" t="str">
            <v>Sầu riêng Cây trồng có chiều cao thân cây từ ≥1 m chưa có quả</v>
          </cell>
          <cell r="F952">
            <v>0</v>
          </cell>
        </row>
        <row r="953">
          <cell r="A953" t="str">
            <v>Sầu riêng Cây có quả đường kính gốc &lt; 20cm</v>
          </cell>
          <cell r="F953">
            <v>0</v>
          </cell>
        </row>
        <row r="954">
          <cell r="A954" t="str">
            <v>Sầu riêng Cây có quả tốt đường kính thân ≥ 20cm đến &lt; 45cm</v>
          </cell>
          <cell r="F954">
            <v>0</v>
          </cell>
        </row>
        <row r="955">
          <cell r="A955" t="str">
            <v>Sầu riêng Cây có quả thu hoạch tốt đường kính gốc ≥ 45 cm</v>
          </cell>
          <cell r="F955">
            <v>0</v>
          </cell>
        </row>
        <row r="956">
          <cell r="A956" t="str">
            <v>Cây Dẻ lấy quả</v>
          </cell>
          <cell r="F956">
            <v>0</v>
          </cell>
        </row>
        <row r="957">
          <cell r="A957" t="str">
            <v>Cây Dẻ lấy quả Mới trồng, ĐK gốc &lt; 5 cm</v>
          </cell>
          <cell r="F957">
            <v>0</v>
          </cell>
        </row>
        <row r="958">
          <cell r="A958" t="str">
            <v>Cây Dẻ lấy quả đường kính gốc 5 cm ≤ ĐK gốc &lt;10cm</v>
          </cell>
          <cell r="F958">
            <v>0</v>
          </cell>
        </row>
        <row r="959">
          <cell r="A959" t="str">
            <v>Cây Dẻ lấy quả đường kính gốc 10cm ≤ ĐK gốc &lt; 20cm</v>
          </cell>
          <cell r="F959">
            <v>0</v>
          </cell>
        </row>
        <row r="960">
          <cell r="A960" t="str">
            <v>Cây Dẻ lấy quả đường kính gốc 20cm ≤ ĐK gốc &lt; 30cm</v>
          </cell>
          <cell r="F960">
            <v>0</v>
          </cell>
        </row>
        <row r="961">
          <cell r="A961" t="str">
            <v>Cây Dẻ lấy quả ĐK gốc &gt; 30cm</v>
          </cell>
          <cell r="F961">
            <v>0</v>
          </cell>
        </row>
        <row r="962">
          <cell r="A962" t="str">
            <v>Cây lựu</v>
          </cell>
          <cell r="F962">
            <v>0</v>
          </cell>
        </row>
        <row r="963">
          <cell r="A963" t="str">
            <v>Cây lựu Mới trồng, chiều cao cây H ≥ 40cm</v>
          </cell>
          <cell r="F963">
            <v>0</v>
          </cell>
        </row>
        <row r="964">
          <cell r="A964" t="str">
            <v>Cây lựu đường kính gốc 1 cm  ≤ ĐK gốc &lt; 2cm</v>
          </cell>
          <cell r="F964">
            <v>0</v>
          </cell>
        </row>
        <row r="965">
          <cell r="A965" t="str">
            <v>Cây lựu đường kính gốc 2cm  ≤ ĐK gốc &lt; 5cm</v>
          </cell>
          <cell r="F965">
            <v>0</v>
          </cell>
        </row>
        <row r="966">
          <cell r="A966" t="str">
            <v>Cây lựu đường kính gốc 5cm  ≤ ĐK gốc &lt; 7cm</v>
          </cell>
          <cell r="F966">
            <v>0</v>
          </cell>
        </row>
        <row r="967">
          <cell r="A967" t="str">
            <v>Cây lựu đường kính gốc 7cm  ≤ ĐK gốc &lt; 9cm</v>
          </cell>
          <cell r="F967">
            <v>0</v>
          </cell>
        </row>
        <row r="968">
          <cell r="A968" t="str">
            <v>Cây lựu đường kính gốc 9cm  ≤ ĐK gốc &lt; 12cm</v>
          </cell>
          <cell r="F968">
            <v>0</v>
          </cell>
        </row>
        <row r="969">
          <cell r="A969" t="str">
            <v>Cây lựu đường kính gốc 12cm  ≤ ĐK gốc &lt; 15cm</v>
          </cell>
          <cell r="F969">
            <v>0</v>
          </cell>
        </row>
        <row r="970">
          <cell r="A970" t="str">
            <v>Cây lựu đường kính gốc 15cm  ≤ ĐK gốc &lt; 20cm</v>
          </cell>
          <cell r="F970">
            <v>0</v>
          </cell>
        </row>
        <row r="971">
          <cell r="A971" t="str">
            <v>Cây lựu ĐK gốc ≥ 20cm</v>
          </cell>
          <cell r="F971">
            <v>0</v>
          </cell>
        </row>
        <row r="972">
          <cell r="A972" t="str">
            <v>Cây mai vàng</v>
          </cell>
          <cell r="F972">
            <v>0</v>
          </cell>
        </row>
        <row r="973">
          <cell r="A973" t="str">
            <v>Cây mai vàng đường kính gốc 0,5cm ≤ ĐK gốc &lt; 1cm</v>
          </cell>
          <cell r="F973">
            <v>0</v>
          </cell>
        </row>
        <row r="974">
          <cell r="A974" t="str">
            <v>Cây mai vàng đường kính gốc 1 cm ≤ ĐK gốc &lt; 2cm</v>
          </cell>
          <cell r="F974">
            <v>0</v>
          </cell>
        </row>
        <row r="975">
          <cell r="A975" t="str">
            <v>Cây mai vàng đường kính gốc 2cm ≤ ĐK gốc &lt; 4cm</v>
          </cell>
          <cell r="F975">
            <v>0</v>
          </cell>
        </row>
        <row r="976">
          <cell r="A976" t="str">
            <v>Cây mai vàng đường kính gốc 4cm ≤ ĐK gôc &lt; 6cm</v>
          </cell>
          <cell r="F976">
            <v>0</v>
          </cell>
        </row>
        <row r="977">
          <cell r="A977" t="str">
            <v>Cây mai vàng đường kính gốc 6cm ≤ ĐK gốc &lt; 10cm</v>
          </cell>
          <cell r="F977">
            <v>0</v>
          </cell>
        </row>
        <row r="978">
          <cell r="A978" t="str">
            <v>Cây mai vàng ĐK gốc ≥ 10cm</v>
          </cell>
          <cell r="F978">
            <v>0</v>
          </cell>
        </row>
        <row r="979">
          <cell r="A979" t="str">
            <v>Vạn Tuế</v>
          </cell>
          <cell r="F979">
            <v>0</v>
          </cell>
        </row>
        <row r="980">
          <cell r="A980" t="str">
            <v>Vạn Tuế ĐK gốc &lt; 10 cm</v>
          </cell>
          <cell r="F980">
            <v>0</v>
          </cell>
        </row>
        <row r="981">
          <cell r="A981" t="str">
            <v>Vạn Tuế đường kính gốc 10 cm ≤ ĐK gốc &lt; 20 cm</v>
          </cell>
          <cell r="F981">
            <v>0</v>
          </cell>
        </row>
        <row r="982">
          <cell r="A982" t="str">
            <v>Vạn Tuế đường kính gốc 20 cm ≤ ĐK gốc &lt; 30 cm</v>
          </cell>
          <cell r="F982">
            <v>0</v>
          </cell>
        </row>
        <row r="983">
          <cell r="A983" t="str">
            <v>Vạn Tuế ĐK gốc ≥ 30 cm</v>
          </cell>
          <cell r="F983">
            <v>0</v>
          </cell>
        </row>
        <row r="984">
          <cell r="A984" t="str">
            <v>NHÓM CÂY TÍNH THEO ĐƯỜNG KÍNH TÁN</v>
          </cell>
          <cell r="F984">
            <v>0</v>
          </cell>
        </row>
        <row r="985">
          <cell r="A985" t="str">
            <v>Cây hồng xiêm</v>
          </cell>
          <cell r="F985">
            <v>0</v>
          </cell>
        </row>
        <row r="986">
          <cell r="A986" t="str">
            <v>Cây hồng xiêm Cây giống đủ tiêu chuẩn mới trồng</v>
          </cell>
          <cell r="F986">
            <v>0</v>
          </cell>
        </row>
        <row r="987">
          <cell r="A987" t="str">
            <v>Cây hồng xiêm ĐK tán ≤ 1,5 m</v>
          </cell>
          <cell r="F987">
            <v>0</v>
          </cell>
        </row>
        <row r="988">
          <cell r="A988" t="str">
            <v>Cây hồng xiêm đường kính tán 1,5 m &lt; ĐK tán ≤2,5 m</v>
          </cell>
          <cell r="F988">
            <v>0</v>
          </cell>
        </row>
        <row r="989">
          <cell r="A989" t="str">
            <v>Cây hồng xiêm đường kính tán 2,5 m &lt; ĐK tán ≤ 3,5 m</v>
          </cell>
          <cell r="F989">
            <v>0</v>
          </cell>
        </row>
        <row r="990">
          <cell r="A990" t="str">
            <v>Cây hồng xiêm đường kính tán 3,5 m &lt; ĐK tán ≤ 4,5 m</v>
          </cell>
          <cell r="F990">
            <v>0</v>
          </cell>
        </row>
        <row r="991">
          <cell r="A991" t="str">
            <v>Cây hồng xiêm đường kính tán 4,5 m &lt; ĐK tán ≤ 5,5 m</v>
          </cell>
          <cell r="F991">
            <v>0</v>
          </cell>
        </row>
        <row r="992">
          <cell r="A992" t="str">
            <v>Cây hồng xiêm đường kính tán 5,5 m &lt; ĐK tán ≤ 8 m</v>
          </cell>
          <cell r="F992">
            <v>0</v>
          </cell>
        </row>
        <row r="993">
          <cell r="A993" t="str">
            <v>Cây hồng xiêm đường kính tán 8 m &lt; ĐK tán &lt; 10 m</v>
          </cell>
          <cell r="F993">
            <v>0</v>
          </cell>
        </row>
        <row r="994">
          <cell r="A994" t="str">
            <v>Cây hồng xiêm ĐKtán &gt; 10 m</v>
          </cell>
          <cell r="F994">
            <v>0</v>
          </cell>
        </row>
        <row r="995">
          <cell r="A995" t="str">
            <v>Cây roi</v>
          </cell>
          <cell r="F995">
            <v>0</v>
          </cell>
        </row>
        <row r="996">
          <cell r="A996" t="str">
            <v>Cây roi Cây giống đủ tiêu chuẩn mới trồng</v>
          </cell>
          <cell r="F996">
            <v>0</v>
          </cell>
        </row>
        <row r="997">
          <cell r="A997" t="str">
            <v>Cây roi đường kính tán 0,7m ≤ ĐK tán &lt; 1m</v>
          </cell>
          <cell r="F997">
            <v>0</v>
          </cell>
        </row>
        <row r="998">
          <cell r="A998" t="str">
            <v>Cây roi đường kính tán 1 m ≤ĐK tán &lt; l,5m</v>
          </cell>
          <cell r="F998">
            <v>0</v>
          </cell>
        </row>
        <row r="999">
          <cell r="A999" t="str">
            <v>Cây roi đường kính tán 1,5m ≤ ĐK tán &lt;2m</v>
          </cell>
          <cell r="F999">
            <v>0</v>
          </cell>
        </row>
        <row r="1000">
          <cell r="A1000" t="str">
            <v>Cây roi đường kính tán 2m ≤ ĐK tán &lt;3m</v>
          </cell>
          <cell r="F1000">
            <v>0</v>
          </cell>
        </row>
        <row r="1001">
          <cell r="A1001" t="str">
            <v>Cây roi đường kính tán 3m ≤ ĐK tán &lt;4m</v>
          </cell>
          <cell r="F1001">
            <v>0</v>
          </cell>
        </row>
        <row r="1002">
          <cell r="A1002" t="str">
            <v>Cây roi đường kính tán 4m ≤ ĐK tán &lt;5m</v>
          </cell>
          <cell r="F1002">
            <v>0</v>
          </cell>
        </row>
        <row r="1003">
          <cell r="A1003" t="str">
            <v>Cây roi đường kính tán 5m ≤ ĐK tán &lt;6m</v>
          </cell>
          <cell r="F1003">
            <v>0</v>
          </cell>
        </row>
        <row r="1004">
          <cell r="A1004" t="str">
            <v>Cây roi đường kính tán 6m ≤ ĐK tán &lt;7m</v>
          </cell>
          <cell r="F1004">
            <v>0</v>
          </cell>
        </row>
        <row r="1005">
          <cell r="A1005" t="str">
            <v>Cây roi đường kính tán 7m ≤ ĐK tán &lt;8m</v>
          </cell>
          <cell r="F1005">
            <v>0</v>
          </cell>
        </row>
        <row r="1006">
          <cell r="A1006" t="str">
            <v>Cây roi đường kính tán 8m ≤  ĐK tán &lt;9m</v>
          </cell>
          <cell r="F1006">
            <v>0</v>
          </cell>
        </row>
        <row r="1007">
          <cell r="A1007" t="str">
            <v>Cây roi đường kính tán 9m ≤ ĐK tán &lt;12m</v>
          </cell>
          <cell r="F1007">
            <v>0</v>
          </cell>
        </row>
        <row r="1008">
          <cell r="A1008" t="str">
            <v>Cây roi ĐK tán ≥ 12m</v>
          </cell>
          <cell r="F1008">
            <v>0</v>
          </cell>
        </row>
        <row r="1009">
          <cell r="A1009" t="str">
            <v>Cây hồng, cây cậy</v>
          </cell>
          <cell r="F1009">
            <v>0</v>
          </cell>
        </row>
        <row r="1010">
          <cell r="A1010" t="str">
            <v>Cây hồng, cây cậy Cây giống đủ tiêu chuẩn mới trồng, chiều cao cây H ≥ 40cm</v>
          </cell>
          <cell r="F1010">
            <v>0</v>
          </cell>
        </row>
        <row r="1011">
          <cell r="A1011" t="str">
            <v>Cây hồng, cây cậy ĐK tán ≤ 1,5m</v>
          </cell>
          <cell r="F1011">
            <v>0</v>
          </cell>
        </row>
        <row r="1012">
          <cell r="A1012" t="str">
            <v>Cây hồng, cây cậy đường kính tán 1,5 m &lt; ĐK tán ≤2,5 m</v>
          </cell>
          <cell r="F1012">
            <v>0</v>
          </cell>
        </row>
        <row r="1013">
          <cell r="A1013" t="str">
            <v>Cây hồng, cây cậy đường kính tán 2,5 m &lt; ĐK tán ≤3,5 m</v>
          </cell>
          <cell r="F1013">
            <v>0</v>
          </cell>
        </row>
        <row r="1014">
          <cell r="A1014" t="str">
            <v>Cây hồng, cây cậy đường kính tán 3,5 m &lt; ĐK tán ≤4,5 m</v>
          </cell>
          <cell r="F1014">
            <v>0</v>
          </cell>
        </row>
        <row r="1015">
          <cell r="A1015" t="str">
            <v>Cây hồng, cây cậy đường kính tán 4,5 m &lt; ĐK tán ≤5,5 m</v>
          </cell>
          <cell r="F1015">
            <v>0</v>
          </cell>
        </row>
        <row r="1016">
          <cell r="A1016" t="str">
            <v>Cây hồng, cây cậy đường kính tán 5,5 m &lt; ĐK tán ≤8 m</v>
          </cell>
          <cell r="F1016">
            <v>0</v>
          </cell>
        </row>
        <row r="1017">
          <cell r="A1017" t="str">
            <v>Cây hồng, cây cậy đường kính tán 8 m &lt; ĐK tán ≤10 m</v>
          </cell>
          <cell r="F1017">
            <v>0</v>
          </cell>
        </row>
        <row r="1018">
          <cell r="A1018" t="str">
            <v>Cây hồng, cây cậy ĐKtán &gt; 10 m</v>
          </cell>
          <cell r="F1018">
            <v>0</v>
          </cell>
        </row>
        <row r="1019">
          <cell r="A1019" t="str">
            <v>Cây chanh</v>
          </cell>
          <cell r="F1019">
            <v>0</v>
          </cell>
        </row>
        <row r="1020">
          <cell r="A1020" t="str">
            <v>Cây chanh Cây giống đủ tiêu chuẩn mới trồng, chiều cao cây H ≥ 40cm</v>
          </cell>
          <cell r="F1020">
            <v>0</v>
          </cell>
        </row>
        <row r="1021">
          <cell r="A1021" t="str">
            <v>Cây chanh ĐK tán ≤1 m</v>
          </cell>
          <cell r="F1021">
            <v>0</v>
          </cell>
        </row>
        <row r="1022">
          <cell r="A1022" t="str">
            <v>Cây chanh đường kính tán 1 m &lt; ĐK tán ≤ 1,5 m</v>
          </cell>
          <cell r="F1022">
            <v>0</v>
          </cell>
        </row>
        <row r="1023">
          <cell r="A1023" t="str">
            <v>Cây chanh đường kính tán 1,5 m &lt; ĐK tán ≤ 2 m</v>
          </cell>
          <cell r="F1023">
            <v>0</v>
          </cell>
        </row>
        <row r="1024">
          <cell r="A1024" t="str">
            <v>Cây chanh đường kính tán 2 m &lt; ĐK tán ≤ 3 m</v>
          </cell>
          <cell r="F1024">
            <v>0</v>
          </cell>
        </row>
        <row r="1025">
          <cell r="A1025" t="str">
            <v>Cây chanh đường kính tán 3 m &lt; ĐK tán ≤ 4 m</v>
          </cell>
          <cell r="F1025">
            <v>0</v>
          </cell>
        </row>
        <row r="1026">
          <cell r="A1026" t="str">
            <v>Cây chanh ĐKtán &gt; 4m</v>
          </cell>
          <cell r="F1026">
            <v>0</v>
          </cell>
        </row>
        <row r="1027">
          <cell r="A1027" t="str">
            <v>Cây cam</v>
          </cell>
          <cell r="F1027">
            <v>0</v>
          </cell>
        </row>
        <row r="1028">
          <cell r="A1028" t="str">
            <v>Cây cam giống Loại cây ghép có chiều cao cây 40cm ≤ H &lt; 1m</v>
          </cell>
          <cell r="F1028">
            <v>0</v>
          </cell>
        </row>
        <row r="1029">
          <cell r="A1029" t="str">
            <v>Cây cam giống Loại cây ghép có chiều cao cây H ≥ 1 m</v>
          </cell>
          <cell r="F1029">
            <v>0</v>
          </cell>
        </row>
        <row r="1030">
          <cell r="A1030" t="str">
            <v>Cây cam giống Loại cây chiết cành có chiều cao 40cm ≤ H &lt; 1m</v>
          </cell>
          <cell r="F1030">
            <v>0</v>
          </cell>
        </row>
        <row r="1031">
          <cell r="A1031" t="str">
            <v>Cây cam giống Loại cây chiết cành có chiều cao cây H ≥ 1m</v>
          </cell>
          <cell r="F1031">
            <v>0</v>
          </cell>
        </row>
        <row r="1032">
          <cell r="A1032" t="str">
            <v>Cây cam ĐK tán ≤1 m</v>
          </cell>
          <cell r="F1032">
            <v>0</v>
          </cell>
        </row>
        <row r="1033">
          <cell r="A1033" t="str">
            <v>Cây cam đường kính tán 1 m &lt; ĐKtán ≤ 1,5 m</v>
          </cell>
          <cell r="F1033">
            <v>0</v>
          </cell>
        </row>
        <row r="1034">
          <cell r="A1034" t="str">
            <v>Cây cam đường kính tán 1,5 m &lt; ĐK tán ≤ 2 m</v>
          </cell>
          <cell r="F1034">
            <v>0</v>
          </cell>
        </row>
        <row r="1035">
          <cell r="A1035" t="str">
            <v>Cây cam đường kính tán 2 m &lt; ĐK tán ≤ 3 m</v>
          </cell>
          <cell r="F1035">
            <v>0</v>
          </cell>
        </row>
        <row r="1036">
          <cell r="A1036" t="str">
            <v>Cây cam đường kính tán 3 m &lt; ĐK tán ≤ 5 m</v>
          </cell>
          <cell r="F1036">
            <v>0</v>
          </cell>
        </row>
        <row r="1037">
          <cell r="A1037" t="str">
            <v>Cây cam ĐK tán &gt; 5 m</v>
          </cell>
          <cell r="F1037">
            <v>0</v>
          </cell>
        </row>
        <row r="1038">
          <cell r="A1038" t="str">
            <v>Cây quýt</v>
          </cell>
          <cell r="F1038">
            <v>0</v>
          </cell>
        </row>
        <row r="1039">
          <cell r="A1039" t="str">
            <v>Cây quýt ĐK tán ≤ 1,5 m</v>
          </cell>
          <cell r="F1039">
            <v>0</v>
          </cell>
        </row>
        <row r="1040">
          <cell r="A1040" t="str">
            <v>Cây quýt đường kính tán 1,5 m &lt; ĐK tán ≤ 2 m</v>
          </cell>
          <cell r="F1040">
            <v>0</v>
          </cell>
        </row>
        <row r="1041">
          <cell r="A1041" t="str">
            <v>Cây quýt đường kính tán 2 m &lt; ĐK tán ≤ 3 m</v>
          </cell>
          <cell r="F1041">
            <v>0</v>
          </cell>
        </row>
        <row r="1042">
          <cell r="A1042" t="str">
            <v>Cây quýt đường kính tán 3 m &lt; ĐK tán ≤ 5 m</v>
          </cell>
          <cell r="F1042">
            <v>0</v>
          </cell>
        </row>
        <row r="1043">
          <cell r="A1043" t="str">
            <v>Cây quýt ĐK tán &gt; 5 m</v>
          </cell>
          <cell r="F1043">
            <v>0</v>
          </cell>
        </row>
        <row r="1044">
          <cell r="A1044" t="str">
            <v>Cây quất</v>
          </cell>
          <cell r="F1044">
            <v>0</v>
          </cell>
        </row>
        <row r="1045">
          <cell r="A1045" t="str">
            <v>Cây quất Cây giống đủ tiêu chuẩn mới trồng</v>
          </cell>
          <cell r="F1045">
            <v>0</v>
          </cell>
        </row>
        <row r="1046">
          <cell r="A1046" t="str">
            <v>Cây quất ĐK tán ≤1 m</v>
          </cell>
          <cell r="F1046">
            <v>0</v>
          </cell>
        </row>
        <row r="1047">
          <cell r="A1047" t="str">
            <v>Cây quất đường kính tán 1 m &lt; ĐK tán ≤2 m</v>
          </cell>
          <cell r="F1047">
            <v>0</v>
          </cell>
        </row>
        <row r="1048">
          <cell r="A1048" t="str">
            <v>Cây quất ĐK tán &gt; 2 m</v>
          </cell>
          <cell r="F1048">
            <v>0</v>
          </cell>
        </row>
        <row r="1049">
          <cell r="A1049" t="str">
            <v>Cây đào (lấy quả), cây mận (lấy quả), cây mơ (lấy quả)</v>
          </cell>
          <cell r="F1049">
            <v>0</v>
          </cell>
        </row>
        <row r="1050">
          <cell r="A1050" t="str">
            <v>Cây đào (lấy quả), cây mận (lấy quả), cây mơ (lấy quả) ĐK tán ≤1 m</v>
          </cell>
          <cell r="F1050">
            <v>0</v>
          </cell>
        </row>
        <row r="1051">
          <cell r="A1051" t="str">
            <v>Cây đào (lấy quả), cây mận (lấy quả), cây mơ (lấy quả) đường kính tán 1 m &lt; ĐK tán ≤1,5 m</v>
          </cell>
          <cell r="F1051">
            <v>0</v>
          </cell>
        </row>
        <row r="1052">
          <cell r="A1052" t="str">
            <v>Cây đào (lấy quả), cây mận (lấy quả), cây mơ (lấy quả) đường kính tán  1,5 m &lt; ĐK tán ≤ 2 m</v>
          </cell>
          <cell r="F1052">
            <v>0</v>
          </cell>
        </row>
        <row r="1053">
          <cell r="A1053" t="str">
            <v>Cây đào (lấy quả), cây mận (lấy quả), cây mơ (lấy quả) đường kính tán 2 m &lt; ĐK tán ≤ 3 m</v>
          </cell>
          <cell r="F1053">
            <v>0</v>
          </cell>
        </row>
        <row r="1054">
          <cell r="A1054" t="str">
            <v>Cây đào (lấy quả), cây mận (lấy quả), cây mơ (lấy quả) đường kính tán  3 m &lt; ĐK tán ≤ 5 m</v>
          </cell>
          <cell r="F1054">
            <v>0</v>
          </cell>
        </row>
        <row r="1055">
          <cell r="A1055" t="str">
            <v>Cây đào (lấy quả), cây mận (lấy quả), cây mơ (lấy quả) ĐK tán &gt; 5 m</v>
          </cell>
          <cell r="F1055">
            <v>0</v>
          </cell>
        </row>
        <row r="1056">
          <cell r="A1056" t="str">
            <v>Cây thanh trà (chanh trà)</v>
          </cell>
          <cell r="F1056">
            <v>0</v>
          </cell>
        </row>
        <row r="1057">
          <cell r="A1057" t="str">
            <v>Cây thanh trà (chanh trà) Cây giống đủ tiêu chuẩn mới trồng, chiều cao cây H ≥ 40cm</v>
          </cell>
          <cell r="F1057">
            <v>0</v>
          </cell>
        </row>
        <row r="1058">
          <cell r="A1058" t="str">
            <v>Cây thanh trà (chanh trà) ĐK tán ≤1 m</v>
          </cell>
          <cell r="F1058">
            <v>0</v>
          </cell>
        </row>
        <row r="1059">
          <cell r="A1059" t="str">
            <v>Cây thanh trà (chanh trà) đường kính tán 1 m &lt; ĐK tán ≤ 1,5 m</v>
          </cell>
          <cell r="F1059">
            <v>0</v>
          </cell>
        </row>
        <row r="1060">
          <cell r="A1060" t="str">
            <v>Cây thanh trà (chanh trà) đường kính tán 1,5 m &lt; ĐK tán ≤ 2 m</v>
          </cell>
          <cell r="F1060">
            <v>0</v>
          </cell>
        </row>
        <row r="1061">
          <cell r="A1061" t="str">
            <v>Cây thanh trà (chanh trà) đường kính tán 2 m &lt; ĐK tán ≤ 3 m</v>
          </cell>
          <cell r="F1061">
            <v>0</v>
          </cell>
        </row>
        <row r="1062">
          <cell r="A1062" t="str">
            <v>Cây thanh trà (chanh trà) đường kính tán 3 m &lt; ĐK tán ≤ 5 m</v>
          </cell>
          <cell r="F1062">
            <v>0</v>
          </cell>
        </row>
        <row r="1063">
          <cell r="A1063" t="str">
            <v>Cây thanh trà (chanh trà) ĐK tán &gt; 5 m</v>
          </cell>
          <cell r="F1063">
            <v>0</v>
          </cell>
        </row>
        <row r="1064">
          <cell r="A1064" t="str">
            <v>Cây nhót</v>
          </cell>
          <cell r="F1064">
            <v>0</v>
          </cell>
        </row>
        <row r="1065">
          <cell r="A1065" t="str">
            <v>Cây nhót Cây giống mới trồng</v>
          </cell>
          <cell r="F1065">
            <v>0</v>
          </cell>
        </row>
        <row r="1066">
          <cell r="A1066" t="str">
            <v>Cây nhót ĐK tán ≤1,5 m</v>
          </cell>
          <cell r="F1066">
            <v>0</v>
          </cell>
        </row>
        <row r="1067">
          <cell r="A1067" t="str">
            <v>Cây nhót đường kính tán 1,5 m &lt; ĐK tán ≤2 m</v>
          </cell>
          <cell r="F1067">
            <v>0</v>
          </cell>
        </row>
        <row r="1068">
          <cell r="A1068" t="str">
            <v>Cây nhót đường kính tán 2 m &lt; ĐK tán ≤3 m</v>
          </cell>
          <cell r="F1068">
            <v>0</v>
          </cell>
        </row>
        <row r="1069">
          <cell r="A1069" t="str">
            <v>Cây nhót đường kính tán 3 m &lt; ĐK tán ≤5 m</v>
          </cell>
          <cell r="F1069">
            <v>0</v>
          </cell>
        </row>
        <row r="1070">
          <cell r="A1070" t="str">
            <v>Cây nhót ĐK tán &gt; 5 m</v>
          </cell>
          <cell r="F1070">
            <v>0</v>
          </cell>
        </row>
        <row r="1071">
          <cell r="A1071" t="str">
            <v>Cây Thanh long</v>
          </cell>
          <cell r="F1071">
            <v>0</v>
          </cell>
        </row>
        <row r="1072">
          <cell r="A1072" t="str">
            <v>Cây Thanh long ĐK tán ≤1 m</v>
          </cell>
          <cell r="F1072">
            <v>0</v>
          </cell>
        </row>
        <row r="1073">
          <cell r="A1073" t="str">
            <v>Cây Thanh long đường kính tán 1 m &lt; ĐK tán ≤2 m</v>
          </cell>
          <cell r="F1073">
            <v>0</v>
          </cell>
        </row>
        <row r="1074">
          <cell r="A1074" t="str">
            <v>Cây Thanh long đường kính tán 2 m &lt; ĐK tán ≤3 m</v>
          </cell>
          <cell r="F1074">
            <v>0</v>
          </cell>
        </row>
        <row r="1075">
          <cell r="A1075" t="str">
            <v>Cây Thanh long ĐK tán &gt; 3 m</v>
          </cell>
          <cell r="F1075">
            <v>0</v>
          </cell>
        </row>
        <row r="1076">
          <cell r="A1076" t="str">
            <v>Cây chè</v>
          </cell>
          <cell r="F1076">
            <v>0</v>
          </cell>
        </row>
        <row r="1077">
          <cell r="A1077" t="str">
            <v>Cây chè Cây giống đủ tiêu chuẩn mới trồng</v>
          </cell>
          <cell r="F1077">
            <v>0</v>
          </cell>
        </row>
        <row r="1078">
          <cell r="A1078" t="str">
            <v>Cây chè ĐK tán ≤0,8 m</v>
          </cell>
          <cell r="F1078">
            <v>0</v>
          </cell>
        </row>
        <row r="1079">
          <cell r="A1079" t="str">
            <v>Cây chè đường kính tán 0,8 m &lt; ĐK tán ≤1 m</v>
          </cell>
          <cell r="F1079">
            <v>0</v>
          </cell>
        </row>
        <row r="1080">
          <cell r="A1080" t="str">
            <v>Cây chè đường kính tán 1 m &lt; ĐK tán ≤1,2 m</v>
          </cell>
          <cell r="F1080">
            <v>0</v>
          </cell>
        </row>
        <row r="1081">
          <cell r="A1081" t="str">
            <v>Cây chè ĐK tán &gt; 1,2 m</v>
          </cell>
          <cell r="F1081">
            <v>0</v>
          </cell>
        </row>
        <row r="1082">
          <cell r="A1082" t="str">
            <v>Cây mẫu đơn ta</v>
          </cell>
          <cell r="F1082">
            <v>0</v>
          </cell>
        </row>
        <row r="1083">
          <cell r="A1083" t="str">
            <v>Cây mẫu đơn ta Cây giống đủ tiêu chuẩn mới trồng, chiều cao cây H &lt; 40cm</v>
          </cell>
          <cell r="F1083">
            <v>0</v>
          </cell>
        </row>
        <row r="1084">
          <cell r="A1084" t="str">
            <v>Cây mẫu đơn ta Cây giống đủ tiêu chuẩn mới trồng, chiều cao cây 40cm ≤ H &lt; 100cm</v>
          </cell>
          <cell r="F1084">
            <v>0</v>
          </cell>
        </row>
        <row r="1085">
          <cell r="A1085" t="str">
            <v>Cây mẫu đơn ta Cây giống đủ tiêu chuẩn mới trồng, chiều cao cây H ≥ 100cm</v>
          </cell>
          <cell r="F1085">
            <v>0</v>
          </cell>
        </row>
        <row r="1086">
          <cell r="A1086" t="str">
            <v>Cây mẫu đơn ta có ĐK tán &lt; 1m, gốc có 5-7 nhánh</v>
          </cell>
          <cell r="F1086">
            <v>0</v>
          </cell>
        </row>
        <row r="1087">
          <cell r="A1087" t="str">
            <v>Cây mẫu đơn ta có ĐK tán từ 1,0m đến 1,2m gốc có 5- 7 nhánh</v>
          </cell>
          <cell r="F1087">
            <v>0</v>
          </cell>
        </row>
        <row r="1088">
          <cell r="A1088" t="str">
            <v>Cây mẫu đơn ta có ĐK tán l,0m đến l,2m, gốc có 8-10 nhánh</v>
          </cell>
          <cell r="F1088">
            <v>0</v>
          </cell>
        </row>
        <row r="1089">
          <cell r="A1089" t="str">
            <v>Cây mẫu đơn ta có ĐK tán l,3m đến 1,5 m, gốc có 8- 10 nhánh</v>
          </cell>
          <cell r="F1089">
            <v>0</v>
          </cell>
        </row>
        <row r="1090">
          <cell r="A1090" t="str">
            <v>Cây mẫu đơn ta có ĐK tán l,6m đến 2m, gốc có trên 10 nhánh</v>
          </cell>
          <cell r="F1090">
            <v>0</v>
          </cell>
        </row>
        <row r="1091">
          <cell r="A1091" t="str">
            <v>Cây mẫu đơn ta có ĐK tán 2,0m đến 2,2 m, gốc có trên 10 nhánh</v>
          </cell>
          <cell r="F1091">
            <v>0</v>
          </cell>
        </row>
        <row r="1092">
          <cell r="A1092" t="str">
            <v>Cây mẫu đơn ta có ĐK tán &gt;2,2m đến 2,5m, gốc có trên 10 nhánh</v>
          </cell>
          <cell r="F1092">
            <v>0</v>
          </cell>
        </row>
        <row r="1093">
          <cell r="A1093" t="str">
            <v>Cây mẫu đơn ta có ĐK tán &gt;2,5 m, gôc có trên 10 nhánh</v>
          </cell>
          <cell r="F1093">
            <v>0</v>
          </cell>
        </row>
        <row r="1094">
          <cell r="A1094" t="str">
            <v>Cây thiên phúc (pháo hoa)</v>
          </cell>
          <cell r="F1094">
            <v>0</v>
          </cell>
        </row>
        <row r="1095">
          <cell r="A1095" t="str">
            <v>Cây thiên phúc (pháo hoa) Cây giống mới trồng</v>
          </cell>
          <cell r="F1095">
            <v>0</v>
          </cell>
        </row>
        <row r="1096">
          <cell r="A1096" t="str">
            <v>Cây thiên phúc (pháo hoa) đường kính tán 0,5 m &lt; ĐK tán ≤1 m</v>
          </cell>
          <cell r="F1096">
            <v>0</v>
          </cell>
        </row>
        <row r="1097">
          <cell r="A1097" t="str">
            <v>Cây thiên phúc (pháo hoa) đường kính tán 1 m &lt; ĐK tán ≤2,5 m</v>
          </cell>
          <cell r="F1097">
            <v>0</v>
          </cell>
        </row>
        <row r="1098">
          <cell r="A1098" t="str">
            <v>Cây thiên phúc (pháo hoa) ĐK tán &gt; 2,5 m</v>
          </cell>
          <cell r="F1098">
            <v>0</v>
          </cell>
        </row>
        <row r="1099">
          <cell r="A1099" t="str">
            <v>Cây mẫu đơn nhật</v>
          </cell>
          <cell r="F1099">
            <v>0</v>
          </cell>
        </row>
        <row r="1100">
          <cell r="A1100" t="str">
            <v>Cây mẫu đơn nhật Cây giống mới trồng</v>
          </cell>
          <cell r="F1100">
            <v>0</v>
          </cell>
        </row>
        <row r="1101">
          <cell r="A1101" t="str">
            <v>Cây mẫu đơn nhật đường kính tán 1 m &lt; ĐK tán ≤ 1,5 m</v>
          </cell>
          <cell r="F1101">
            <v>0</v>
          </cell>
        </row>
        <row r="1102">
          <cell r="A1102" t="str">
            <v>Cây mẫu đơn nhật đường kính tán 1,5 m &lt; ĐK tán ≤ 2m</v>
          </cell>
          <cell r="F1102">
            <v>0</v>
          </cell>
        </row>
        <row r="1103">
          <cell r="A1103" t="str">
            <v>Cây mẫu đơn nhật ĐK tán &gt; 2 m</v>
          </cell>
          <cell r="F1103">
            <v>0</v>
          </cell>
        </row>
        <row r="1104">
          <cell r="A1104" t="str">
            <v>Cây dâm bụt, cây ngũ sắc</v>
          </cell>
          <cell r="F1104">
            <v>0</v>
          </cell>
        </row>
        <row r="1105">
          <cell r="A1105" t="str">
            <v>Cây dâm bụt, cây ngũ sắc Cây giống mới trồng</v>
          </cell>
          <cell r="F1105">
            <v>0</v>
          </cell>
        </row>
        <row r="1106">
          <cell r="A1106" t="str">
            <v>Cây dâm bụt, cây ngũ sắc đường kính tán 0,5 m &lt; ĐK tán ≤ 1 m</v>
          </cell>
          <cell r="F1106">
            <v>0</v>
          </cell>
        </row>
        <row r="1107">
          <cell r="A1107" t="str">
            <v>Cây dâm bụt, cây ngũ sắc đường kính tán 1 m &lt; ĐK tán ≤ 1,5 m</v>
          </cell>
          <cell r="F1107">
            <v>0</v>
          </cell>
        </row>
        <row r="1108">
          <cell r="A1108" t="str">
            <v>Cây dâm bụt, cây ngũ sắc đường kính tán 1,5 m &lt; ĐK tán ≤ 2 m</v>
          </cell>
          <cell r="F1108">
            <v>0</v>
          </cell>
        </row>
        <row r="1109">
          <cell r="A1109" t="str">
            <v>Cây dâm bụt, cây ngũ sắc đường kính tán 2 m &lt; ĐK tán ≤ 3 m</v>
          </cell>
          <cell r="F1109">
            <v>0</v>
          </cell>
        </row>
        <row r="1110">
          <cell r="F1110">
            <v>0</v>
          </cell>
        </row>
        <row r="1111">
          <cell r="F1111">
            <v>0</v>
          </cell>
        </row>
        <row r="1112">
          <cell r="F1112">
            <v>0</v>
          </cell>
        </row>
        <row r="1113">
          <cell r="F1113">
            <v>0</v>
          </cell>
        </row>
        <row r="1114">
          <cell r="F1114">
            <v>0</v>
          </cell>
        </row>
        <row r="1115">
          <cell r="F1115">
            <v>0</v>
          </cell>
        </row>
        <row r="1116">
          <cell r="F1116">
            <v>0</v>
          </cell>
        </row>
        <row r="1117">
          <cell r="F1117">
            <v>0</v>
          </cell>
        </row>
        <row r="1118">
          <cell r="F1118">
            <v>0</v>
          </cell>
        </row>
        <row r="1119">
          <cell r="F1119">
            <v>0</v>
          </cell>
        </row>
        <row r="1120">
          <cell r="F1120">
            <v>0</v>
          </cell>
        </row>
        <row r="1121">
          <cell r="F1121">
            <v>0</v>
          </cell>
        </row>
        <row r="1122">
          <cell r="F1122">
            <v>0</v>
          </cell>
        </row>
        <row r="1123">
          <cell r="F1123">
            <v>0</v>
          </cell>
        </row>
        <row r="1124">
          <cell r="F1124">
            <v>0</v>
          </cell>
        </row>
        <row r="1125">
          <cell r="F1125">
            <v>0</v>
          </cell>
        </row>
        <row r="1126">
          <cell r="F1126">
            <v>0</v>
          </cell>
        </row>
        <row r="1127">
          <cell r="F1127">
            <v>0</v>
          </cell>
        </row>
        <row r="1128">
          <cell r="F1128">
            <v>0</v>
          </cell>
        </row>
        <row r="1129">
          <cell r="F1129">
            <v>0</v>
          </cell>
        </row>
        <row r="1130">
          <cell r="F1130">
            <v>0</v>
          </cell>
        </row>
        <row r="1131">
          <cell r="F1131">
            <v>0</v>
          </cell>
        </row>
        <row r="1132">
          <cell r="F1132">
            <v>0</v>
          </cell>
        </row>
        <row r="1133">
          <cell r="F1133">
            <v>0</v>
          </cell>
        </row>
        <row r="1134">
          <cell r="F1134">
            <v>0</v>
          </cell>
        </row>
        <row r="1135">
          <cell r="F1135">
            <v>0</v>
          </cell>
        </row>
        <row r="1136">
          <cell r="F1136">
            <v>0</v>
          </cell>
        </row>
        <row r="1137">
          <cell r="F1137">
            <v>0</v>
          </cell>
        </row>
        <row r="1138">
          <cell r="F1138">
            <v>0</v>
          </cell>
        </row>
        <row r="1139">
          <cell r="F1139">
            <v>0</v>
          </cell>
        </row>
        <row r="1140">
          <cell r="F1140">
            <v>0</v>
          </cell>
        </row>
        <row r="1141">
          <cell r="F1141">
            <v>0</v>
          </cell>
        </row>
        <row r="1142">
          <cell r="F1142">
            <v>0</v>
          </cell>
        </row>
        <row r="1143">
          <cell r="F1143">
            <v>0</v>
          </cell>
        </row>
        <row r="1144">
          <cell r="F1144">
            <v>0</v>
          </cell>
        </row>
        <row r="1145">
          <cell r="F1145">
            <v>0</v>
          </cell>
        </row>
        <row r="1146">
          <cell r="F1146">
            <v>0</v>
          </cell>
        </row>
        <row r="1147">
          <cell r="F1147">
            <v>0</v>
          </cell>
        </row>
        <row r="1148">
          <cell r="F1148">
            <v>0</v>
          </cell>
        </row>
        <row r="1149">
          <cell r="F1149">
            <v>0</v>
          </cell>
        </row>
        <row r="1150">
          <cell r="F1150">
            <v>0</v>
          </cell>
        </row>
        <row r="1151">
          <cell r="F1151">
            <v>0</v>
          </cell>
        </row>
        <row r="1152">
          <cell r="F1152">
            <v>0</v>
          </cell>
        </row>
        <row r="1153">
          <cell r="F1153">
            <v>0</v>
          </cell>
        </row>
        <row r="1154">
          <cell r="F1154">
            <v>0</v>
          </cell>
        </row>
        <row r="1155">
          <cell r="F1155">
            <v>0</v>
          </cell>
        </row>
        <row r="1156">
          <cell r="F1156">
            <v>0</v>
          </cell>
        </row>
        <row r="1157">
          <cell r="F1157">
            <v>0</v>
          </cell>
        </row>
        <row r="1158">
          <cell r="F1158">
            <v>0</v>
          </cell>
        </row>
        <row r="1159">
          <cell r="F1159">
            <v>0</v>
          </cell>
        </row>
        <row r="1160">
          <cell r="F1160">
            <v>0</v>
          </cell>
        </row>
        <row r="1161">
          <cell r="F1161">
            <v>0</v>
          </cell>
        </row>
        <row r="1162">
          <cell r="F1162">
            <v>0</v>
          </cell>
        </row>
        <row r="1163">
          <cell r="F1163">
            <v>0</v>
          </cell>
        </row>
        <row r="1164">
          <cell r="F1164">
            <v>0</v>
          </cell>
        </row>
        <row r="1165">
          <cell r="F1165">
            <v>0</v>
          </cell>
        </row>
        <row r="1166">
          <cell r="F1166">
            <v>0</v>
          </cell>
        </row>
        <row r="1167">
          <cell r="F1167">
            <v>0</v>
          </cell>
        </row>
        <row r="1168">
          <cell r="F1168">
            <v>0</v>
          </cell>
        </row>
        <row r="1169">
          <cell r="F1169">
            <v>0</v>
          </cell>
        </row>
        <row r="1170">
          <cell r="F1170">
            <v>0</v>
          </cell>
        </row>
        <row r="1171">
          <cell r="F1171">
            <v>0</v>
          </cell>
        </row>
        <row r="1172">
          <cell r="F1172">
            <v>0</v>
          </cell>
        </row>
        <row r="1173">
          <cell r="F1173">
            <v>0</v>
          </cell>
        </row>
        <row r="1174">
          <cell r="F1174">
            <v>0</v>
          </cell>
        </row>
        <row r="1175">
          <cell r="F1175">
            <v>0</v>
          </cell>
        </row>
        <row r="1176">
          <cell r="F1176">
            <v>0</v>
          </cell>
        </row>
        <row r="1177">
          <cell r="F1177">
            <v>0</v>
          </cell>
        </row>
        <row r="1178">
          <cell r="F1178">
            <v>0</v>
          </cell>
        </row>
        <row r="1179">
          <cell r="F1179">
            <v>0</v>
          </cell>
        </row>
        <row r="1180">
          <cell r="F1180">
            <v>0</v>
          </cell>
        </row>
        <row r="1181">
          <cell r="F1181">
            <v>0</v>
          </cell>
        </row>
        <row r="1182">
          <cell r="F1182">
            <v>0</v>
          </cell>
        </row>
        <row r="1183">
          <cell r="F1183">
            <v>0</v>
          </cell>
        </row>
        <row r="1184">
          <cell r="F1184">
            <v>0</v>
          </cell>
        </row>
        <row r="1185">
          <cell r="F1185">
            <v>0</v>
          </cell>
        </row>
        <row r="1186">
          <cell r="F1186">
            <v>0</v>
          </cell>
        </row>
        <row r="1187">
          <cell r="F1187">
            <v>0</v>
          </cell>
        </row>
        <row r="1188">
          <cell r="F1188">
            <v>0</v>
          </cell>
        </row>
        <row r="1189">
          <cell r="F1189">
            <v>0</v>
          </cell>
        </row>
        <row r="1190">
          <cell r="F1190">
            <v>0</v>
          </cell>
        </row>
        <row r="1191">
          <cell r="F1191">
            <v>0</v>
          </cell>
        </row>
        <row r="1192">
          <cell r="F1192">
            <v>0</v>
          </cell>
        </row>
        <row r="1193">
          <cell r="F1193">
            <v>0</v>
          </cell>
        </row>
        <row r="1194">
          <cell r="F1194">
            <v>0</v>
          </cell>
        </row>
        <row r="1195">
          <cell r="F1195">
            <v>0</v>
          </cell>
        </row>
        <row r="1196">
          <cell r="F1196">
            <v>0</v>
          </cell>
        </row>
        <row r="1197">
          <cell r="F1197">
            <v>0</v>
          </cell>
        </row>
        <row r="1198">
          <cell r="F1198">
            <v>0</v>
          </cell>
        </row>
        <row r="1199">
          <cell r="F1199">
            <v>0</v>
          </cell>
        </row>
        <row r="1200">
          <cell r="F1200">
            <v>0</v>
          </cell>
        </row>
        <row r="1201">
          <cell r="F1201">
            <v>0</v>
          </cell>
        </row>
        <row r="1202">
          <cell r="F1202">
            <v>0</v>
          </cell>
        </row>
        <row r="1203">
          <cell r="F1203">
            <v>0</v>
          </cell>
        </row>
        <row r="1204">
          <cell r="F1204">
            <v>0</v>
          </cell>
        </row>
        <row r="1205">
          <cell r="F1205">
            <v>0</v>
          </cell>
        </row>
        <row r="1206">
          <cell r="F1206">
            <v>0</v>
          </cell>
        </row>
        <row r="1207">
          <cell r="F1207">
            <v>0</v>
          </cell>
        </row>
        <row r="1208">
          <cell r="F1208">
            <v>0</v>
          </cell>
        </row>
        <row r="1209">
          <cell r="F1209">
            <v>0</v>
          </cell>
        </row>
        <row r="1210">
          <cell r="F1210">
            <v>0</v>
          </cell>
        </row>
        <row r="1211">
          <cell r="F1211">
            <v>0</v>
          </cell>
        </row>
        <row r="1212">
          <cell r="F1212">
            <v>0</v>
          </cell>
        </row>
        <row r="1213">
          <cell r="F1213">
            <v>0</v>
          </cell>
        </row>
        <row r="1214">
          <cell r="F1214">
            <v>0</v>
          </cell>
        </row>
        <row r="1215">
          <cell r="F1215">
            <v>0</v>
          </cell>
        </row>
        <row r="1216">
          <cell r="F1216">
            <v>0</v>
          </cell>
        </row>
        <row r="1217">
          <cell r="F1217">
            <v>0</v>
          </cell>
        </row>
        <row r="1218">
          <cell r="F1218">
            <v>0</v>
          </cell>
        </row>
        <row r="1219">
          <cell r="F1219">
            <v>0</v>
          </cell>
        </row>
        <row r="1220">
          <cell r="F1220">
            <v>0</v>
          </cell>
        </row>
        <row r="1221">
          <cell r="F1221">
            <v>0</v>
          </cell>
        </row>
        <row r="1222">
          <cell r="F1222">
            <v>0</v>
          </cell>
        </row>
        <row r="1223">
          <cell r="F1223">
            <v>0</v>
          </cell>
        </row>
        <row r="1224">
          <cell r="F1224">
            <v>0</v>
          </cell>
        </row>
        <row r="1225">
          <cell r="F1225">
            <v>0</v>
          </cell>
        </row>
        <row r="1226">
          <cell r="F1226">
            <v>0</v>
          </cell>
        </row>
        <row r="1227">
          <cell r="F1227">
            <v>0</v>
          </cell>
        </row>
        <row r="1228">
          <cell r="F1228">
            <v>0</v>
          </cell>
        </row>
        <row r="1229">
          <cell r="F1229">
            <v>0</v>
          </cell>
        </row>
        <row r="1230">
          <cell r="F1230">
            <v>0</v>
          </cell>
        </row>
        <row r="1231">
          <cell r="F1231">
            <v>0</v>
          </cell>
        </row>
        <row r="1232">
          <cell r="F1232">
            <v>0</v>
          </cell>
        </row>
        <row r="1233">
          <cell r="F1233">
            <v>0</v>
          </cell>
        </row>
        <row r="1234">
          <cell r="F1234">
            <v>0</v>
          </cell>
        </row>
        <row r="1235">
          <cell r="F1235">
            <v>0</v>
          </cell>
        </row>
        <row r="1236">
          <cell r="F1236">
            <v>0</v>
          </cell>
        </row>
        <row r="1237">
          <cell r="F1237">
            <v>0</v>
          </cell>
        </row>
        <row r="1238">
          <cell r="F1238">
            <v>0</v>
          </cell>
        </row>
        <row r="1239">
          <cell r="F1239">
            <v>0</v>
          </cell>
        </row>
        <row r="1240">
          <cell r="F1240">
            <v>0</v>
          </cell>
        </row>
        <row r="1241">
          <cell r="F1241">
            <v>0</v>
          </cell>
        </row>
        <row r="1242">
          <cell r="F1242">
            <v>0</v>
          </cell>
        </row>
        <row r="1243">
          <cell r="F1243">
            <v>0</v>
          </cell>
        </row>
        <row r="1244">
          <cell r="F1244">
            <v>0</v>
          </cell>
        </row>
        <row r="1245">
          <cell r="F1245">
            <v>0</v>
          </cell>
        </row>
        <row r="1246">
          <cell r="F1246">
            <v>0</v>
          </cell>
        </row>
        <row r="1247">
          <cell r="F1247">
            <v>0</v>
          </cell>
        </row>
        <row r="1248">
          <cell r="F1248">
            <v>0</v>
          </cell>
        </row>
        <row r="1249">
          <cell r="F1249">
            <v>0</v>
          </cell>
        </row>
        <row r="1250">
          <cell r="F1250">
            <v>0</v>
          </cell>
        </row>
        <row r="1251">
          <cell r="F1251">
            <v>0</v>
          </cell>
        </row>
        <row r="1252">
          <cell r="F1252">
            <v>0</v>
          </cell>
        </row>
        <row r="1253">
          <cell r="F1253">
            <v>0</v>
          </cell>
        </row>
        <row r="1254">
          <cell r="F1254">
            <v>0</v>
          </cell>
        </row>
        <row r="1255">
          <cell r="F1255">
            <v>0</v>
          </cell>
        </row>
        <row r="1256">
          <cell r="F1256">
            <v>0</v>
          </cell>
        </row>
        <row r="1257">
          <cell r="F1257">
            <v>0</v>
          </cell>
        </row>
        <row r="1258">
          <cell r="F1258">
            <v>0</v>
          </cell>
        </row>
        <row r="1259">
          <cell r="F1259">
            <v>0</v>
          </cell>
        </row>
        <row r="1260">
          <cell r="F1260">
            <v>0</v>
          </cell>
        </row>
        <row r="1261">
          <cell r="F1261">
            <v>0</v>
          </cell>
        </row>
        <row r="1262">
          <cell r="F1262">
            <v>0</v>
          </cell>
        </row>
        <row r="1263">
          <cell r="F1263">
            <v>0</v>
          </cell>
        </row>
        <row r="1264">
          <cell r="F1264">
            <v>0</v>
          </cell>
        </row>
        <row r="1265">
          <cell r="F1265">
            <v>0</v>
          </cell>
        </row>
        <row r="1266">
          <cell r="F1266">
            <v>0</v>
          </cell>
        </row>
        <row r="1267">
          <cell r="F1267">
            <v>0</v>
          </cell>
        </row>
        <row r="1268">
          <cell r="F1268">
            <v>0</v>
          </cell>
        </row>
        <row r="1269">
          <cell r="F1269">
            <v>0</v>
          </cell>
        </row>
        <row r="1270">
          <cell r="F1270">
            <v>0</v>
          </cell>
        </row>
        <row r="1271">
          <cell r="F1271">
            <v>0</v>
          </cell>
        </row>
        <row r="1272">
          <cell r="F1272">
            <v>0</v>
          </cell>
        </row>
        <row r="1273">
          <cell r="F1273">
            <v>0</v>
          </cell>
        </row>
        <row r="1274">
          <cell r="F1274">
            <v>0</v>
          </cell>
        </row>
        <row r="1275">
          <cell r="F1275">
            <v>0</v>
          </cell>
        </row>
        <row r="1276">
          <cell r="F1276">
            <v>0</v>
          </cell>
        </row>
        <row r="1277">
          <cell r="F1277">
            <v>0</v>
          </cell>
        </row>
        <row r="1278">
          <cell r="F1278">
            <v>0</v>
          </cell>
        </row>
        <row r="1279">
          <cell r="F1279">
            <v>0</v>
          </cell>
        </row>
        <row r="1280">
          <cell r="F1280">
            <v>0</v>
          </cell>
        </row>
        <row r="1281">
          <cell r="F1281">
            <v>0</v>
          </cell>
        </row>
        <row r="1282">
          <cell r="F1282">
            <v>0</v>
          </cell>
        </row>
        <row r="1283">
          <cell r="F1283">
            <v>0</v>
          </cell>
        </row>
        <row r="1284">
          <cell r="F1284">
            <v>0</v>
          </cell>
        </row>
        <row r="1285">
          <cell r="F1285">
            <v>0</v>
          </cell>
        </row>
        <row r="1286">
          <cell r="F1286">
            <v>0</v>
          </cell>
        </row>
        <row r="1287">
          <cell r="F1287">
            <v>0</v>
          </cell>
        </row>
        <row r="1288">
          <cell r="F1288">
            <v>0</v>
          </cell>
        </row>
        <row r="1289">
          <cell r="F1289">
            <v>0</v>
          </cell>
        </row>
        <row r="1290">
          <cell r="F1290">
            <v>0</v>
          </cell>
        </row>
        <row r="1291">
          <cell r="F1291">
            <v>0</v>
          </cell>
        </row>
        <row r="1292">
          <cell r="F1292">
            <v>0</v>
          </cell>
        </row>
        <row r="1293">
          <cell r="F1293">
            <v>0</v>
          </cell>
        </row>
        <row r="1294">
          <cell r="F1294">
            <v>0</v>
          </cell>
        </row>
        <row r="1295">
          <cell r="F1295">
            <v>0</v>
          </cell>
        </row>
        <row r="1296">
          <cell r="F1296">
            <v>0</v>
          </cell>
        </row>
        <row r="1297">
          <cell r="F1297">
            <v>0</v>
          </cell>
        </row>
        <row r="1298">
          <cell r="F1298">
            <v>0</v>
          </cell>
        </row>
        <row r="1299">
          <cell r="F1299">
            <v>0</v>
          </cell>
        </row>
        <row r="1300">
          <cell r="F1300">
            <v>0</v>
          </cell>
        </row>
        <row r="1301">
          <cell r="F1301">
            <v>0</v>
          </cell>
        </row>
        <row r="1302">
          <cell r="F1302">
            <v>0</v>
          </cell>
        </row>
        <row r="1303">
          <cell r="F1303">
            <v>0</v>
          </cell>
        </row>
        <row r="1304">
          <cell r="F1304">
            <v>0</v>
          </cell>
        </row>
        <row r="1305">
          <cell r="F1305">
            <v>0</v>
          </cell>
        </row>
        <row r="1306">
          <cell r="F1306">
            <v>0</v>
          </cell>
        </row>
        <row r="1307">
          <cell r="F1307">
            <v>0</v>
          </cell>
        </row>
        <row r="1308">
          <cell r="F1308">
            <v>0</v>
          </cell>
        </row>
        <row r="1309">
          <cell r="F1309">
            <v>0</v>
          </cell>
        </row>
        <row r="1310">
          <cell r="F1310">
            <v>0</v>
          </cell>
        </row>
        <row r="1311">
          <cell r="F1311">
            <v>0</v>
          </cell>
        </row>
        <row r="1312">
          <cell r="F1312">
            <v>0</v>
          </cell>
        </row>
        <row r="1313">
          <cell r="F1313">
            <v>0</v>
          </cell>
        </row>
        <row r="1314">
          <cell r="F1314">
            <v>0</v>
          </cell>
        </row>
        <row r="1315">
          <cell r="F1315">
            <v>0</v>
          </cell>
        </row>
        <row r="1316">
          <cell r="F1316">
            <v>0</v>
          </cell>
        </row>
        <row r="1317">
          <cell r="F1317">
            <v>0</v>
          </cell>
        </row>
        <row r="1318">
          <cell r="F1318">
            <v>0</v>
          </cell>
        </row>
        <row r="1319">
          <cell r="F1319">
            <v>0</v>
          </cell>
        </row>
        <row r="1320">
          <cell r="F1320">
            <v>0</v>
          </cell>
        </row>
        <row r="1321">
          <cell r="F1321">
            <v>0</v>
          </cell>
        </row>
        <row r="1322">
          <cell r="F1322">
            <v>0</v>
          </cell>
        </row>
        <row r="1323">
          <cell r="F1323">
            <v>0</v>
          </cell>
        </row>
        <row r="1324">
          <cell r="F1324">
            <v>0</v>
          </cell>
        </row>
        <row r="1325">
          <cell r="F1325">
            <v>0</v>
          </cell>
        </row>
        <row r="1326">
          <cell r="F1326">
            <v>0</v>
          </cell>
        </row>
        <row r="1327">
          <cell r="F1327">
            <v>0</v>
          </cell>
        </row>
        <row r="1328">
          <cell r="F1328">
            <v>0</v>
          </cell>
        </row>
        <row r="1329">
          <cell r="F1329">
            <v>0</v>
          </cell>
        </row>
        <row r="1330">
          <cell r="F1330">
            <v>0</v>
          </cell>
        </row>
        <row r="1331">
          <cell r="F1331">
            <v>0</v>
          </cell>
        </row>
        <row r="1332">
          <cell r="F1332">
            <v>0</v>
          </cell>
        </row>
        <row r="1333">
          <cell r="F1333">
            <v>0</v>
          </cell>
        </row>
        <row r="1334">
          <cell r="F1334">
            <v>0</v>
          </cell>
        </row>
        <row r="1335">
          <cell r="F1335">
            <v>0</v>
          </cell>
        </row>
        <row r="1336">
          <cell r="F1336">
            <v>0</v>
          </cell>
        </row>
        <row r="1337">
          <cell r="F1337">
            <v>0</v>
          </cell>
        </row>
        <row r="1338">
          <cell r="F1338">
            <v>0</v>
          </cell>
        </row>
        <row r="1339">
          <cell r="F1339">
            <v>0</v>
          </cell>
        </row>
        <row r="1340">
          <cell r="F1340">
            <v>0</v>
          </cell>
        </row>
        <row r="1341">
          <cell r="F1341">
            <v>0</v>
          </cell>
        </row>
        <row r="1342">
          <cell r="F1342">
            <v>0</v>
          </cell>
        </row>
        <row r="1343">
          <cell r="F1343">
            <v>0</v>
          </cell>
        </row>
        <row r="1344">
          <cell r="F1344">
            <v>0</v>
          </cell>
        </row>
        <row r="1345">
          <cell r="F1345">
            <v>0</v>
          </cell>
        </row>
        <row r="1346">
          <cell r="F1346">
            <v>0</v>
          </cell>
        </row>
        <row r="1347">
          <cell r="F1347">
            <v>0</v>
          </cell>
        </row>
        <row r="1348">
          <cell r="F1348">
            <v>0</v>
          </cell>
        </row>
        <row r="1349">
          <cell r="F1349">
            <v>0</v>
          </cell>
        </row>
        <row r="1350">
          <cell r="F1350">
            <v>0</v>
          </cell>
        </row>
        <row r="1351">
          <cell r="F1351">
            <v>0</v>
          </cell>
        </row>
        <row r="1352">
          <cell r="F1352">
            <v>0</v>
          </cell>
        </row>
        <row r="1353">
          <cell r="F1353">
            <v>0</v>
          </cell>
        </row>
        <row r="1354">
          <cell r="F1354">
            <v>0</v>
          </cell>
        </row>
        <row r="1355">
          <cell r="F1355">
            <v>0</v>
          </cell>
        </row>
        <row r="1356">
          <cell r="F1356">
            <v>0</v>
          </cell>
        </row>
        <row r="1357">
          <cell r="F1357">
            <v>0</v>
          </cell>
        </row>
        <row r="1358">
          <cell r="F1358">
            <v>0</v>
          </cell>
        </row>
        <row r="1359">
          <cell r="F1359">
            <v>0</v>
          </cell>
        </row>
        <row r="1360">
          <cell r="F1360">
            <v>0</v>
          </cell>
        </row>
        <row r="1361">
          <cell r="F1361">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foxz"/>
      <sheetName val="foxz_2"/>
      <sheetName val="Đơn giá cây cối"/>
      <sheetName val="THPA"/>
      <sheetName val="1. Thấm"/>
      <sheetName val="2. Toán Hồng"/>
      <sheetName val="3. Dương"/>
      <sheetName val="4. Lưu (Đông)"/>
      <sheetName val="5. Khanh Đào"/>
      <sheetName val="6. Long Vui"/>
      <sheetName val="7,8. Vạn Hòa"/>
      <sheetName val="9. Kim"/>
      <sheetName val="10,11. Tứ "/>
      <sheetName val="12. Thủy"/>
      <sheetName val="13,14. Tuyền"/>
      <sheetName val="15. Sơn"/>
      <sheetName val="17,20,21,101. Thơi"/>
      <sheetName val="18. Thảnh Thảo"/>
      <sheetName val="19. Thại"/>
      <sheetName val="22. Dương"/>
      <sheetName val="22a. Thải"/>
      <sheetName val="23. Tuấn"/>
      <sheetName val="24. Viết"/>
      <sheetName val="25. Thăng"/>
      <sheetName val="27. Luân"/>
      <sheetName val="29. Hạnh"/>
      <sheetName val="30. Hồng"/>
      <sheetName val="32. Tuấn"/>
      <sheetName val="35. Thắng"/>
      <sheetName val="36. Lành"/>
      <sheetName val="37. Chiều"/>
      <sheetName val="39. Đằng"/>
      <sheetName val="41. Diễm Mười"/>
      <sheetName val="42. Truân"/>
      <sheetName val="43. Sơn"/>
      <sheetName val="44. Truân"/>
      <sheetName val="45. Bản"/>
      <sheetName val="45. Huế"/>
      <sheetName val="46. Đào"/>
      <sheetName val="47. Sơn Phượng"/>
      <sheetName val="48. Quang"/>
      <sheetName val="48. Biển"/>
      <sheetName val="49. Hạnh"/>
      <sheetName val="50. Thắm"/>
      <sheetName val="52. Mong"/>
      <sheetName val="53. Mong"/>
      <sheetName val="53. Tươi"/>
      <sheetName val="54. Nghĩa"/>
      <sheetName val="54. Hải"/>
      <sheetName val="55. Tùng"/>
      <sheetName val="56. Nghĩa Trâm"/>
      <sheetName val="56a. Long Hồng"/>
      <sheetName val="57. Hùng Ngát"/>
      <sheetName val="58. Nhì"/>
      <sheetName val="59.60. Vượng"/>
      <sheetName val="61. Thắng"/>
      <sheetName val="62. Lâm"/>
      <sheetName val="63. Đức Nhung"/>
      <sheetName val="64. Tính"/>
      <sheetName val="66. Thuê"/>
      <sheetName val="67. Luyên"/>
      <sheetName val="68. Kiếm"/>
      <sheetName val="70. Việt"/>
      <sheetName val="71. Tài"/>
      <sheetName val="72. Chức"/>
      <sheetName val="73. Hận"/>
      <sheetName val="74. Kiên"/>
      <sheetName val="75. Đức Nhung"/>
      <sheetName val="76. Ngọc"/>
      <sheetName val="77. Xuân"/>
      <sheetName val="78. Hiển"/>
      <sheetName val="79. Sơn Xuyên"/>
      <sheetName val="81a. Sơn"/>
      <sheetName val="82. Ngọc"/>
      <sheetName val="82. Dung"/>
      <sheetName val="83. Tuấn"/>
      <sheetName val="84. Đạt"/>
      <sheetName val="85. Sơn"/>
      <sheetName val="86. Đăng"/>
      <sheetName val="87. Thạch"/>
      <sheetName val="88. Hà"/>
      <sheetName val="89. Luật"/>
      <sheetName val="90. Thách"/>
      <sheetName val="91. Mùi"/>
      <sheetName val="92. Trà"/>
      <sheetName val="93. Quang"/>
      <sheetName val="97. Thắm"/>
      <sheetName val="99. Chính"/>
      <sheetName val="100. Thài"/>
      <sheetName val="XXXXXXXX"/>
    </sheetNames>
    <sheetDataSet>
      <sheetData sheetId="0"/>
      <sheetData sheetId="1"/>
      <sheetData sheetId="2"/>
      <sheetData sheetId="3">
        <row r="1">
          <cell r="F1" t="str">
            <v>KQ</v>
          </cell>
        </row>
        <row r="2">
          <cell r="A2" t="str">
            <v>Nhóm cây lương thực</v>
          </cell>
          <cell r="F2" t="str">
            <v>Nhóm cây lương thực</v>
          </cell>
        </row>
        <row r="3">
          <cell r="A3" t="str">
            <v>Lúa</v>
          </cell>
          <cell r="F3" t="str">
            <v>Lúa</v>
          </cell>
        </row>
        <row r="4">
          <cell r="A4" t="str">
            <v>Ngô (bắp)</v>
          </cell>
          <cell r="F4" t="str">
            <v>Ngô (bắp)</v>
          </cell>
        </row>
        <row r="5">
          <cell r="A5" t="str">
            <v>Khoai lang</v>
          </cell>
          <cell r="F5" t="str">
            <v>Khoai lang</v>
          </cell>
        </row>
        <row r="6">
          <cell r="A6" t="str">
            <v>Sắn (mỳ)</v>
          </cell>
          <cell r="F6" t="str">
            <v>Sắn (mỳ)</v>
          </cell>
        </row>
        <row r="7">
          <cell r="A7" t="str">
            <v>Nhóm cây rau, màu</v>
          </cell>
          <cell r="F7" t="str">
            <v>Nhóm cây rau, màu</v>
          </cell>
        </row>
        <row r="8">
          <cell r="A8" t="str">
            <v>Khoai sọ</v>
          </cell>
          <cell r="F8" t="str">
            <v>Khoai sọ</v>
          </cell>
        </row>
        <row r="9">
          <cell r="A9" t="str">
            <v>Khoai mỡ, củ canh</v>
          </cell>
          <cell r="F9" t="str">
            <v>Khoai mỡ, củ canh</v>
          </cell>
        </row>
        <row r="10">
          <cell r="A10" t="str">
            <v>Khoai môn</v>
          </cell>
          <cell r="F10" t="str">
            <v>Khoai môn</v>
          </cell>
        </row>
        <row r="11">
          <cell r="A11" t="str">
            <v>Khoai tây</v>
          </cell>
          <cell r="F11" t="str">
            <v>Khoai tây</v>
          </cell>
        </row>
        <row r="12">
          <cell r="A12" t="str">
            <v>Dong riềng</v>
          </cell>
          <cell r="F12" t="str">
            <v>Dong riềng</v>
          </cell>
        </row>
        <row r="13">
          <cell r="A13" t="str">
            <v>Sắn dây</v>
          </cell>
          <cell r="F13" t="str">
            <v>Sắn dây</v>
          </cell>
        </row>
        <row r="14">
          <cell r="A14" t="str">
            <v>Củ từ</v>
          </cell>
          <cell r="F14" t="str">
            <v>Củ từ</v>
          </cell>
        </row>
        <row r="15">
          <cell r="A15" t="str">
            <v>Mía</v>
          </cell>
          <cell r="F15" t="str">
            <v>Mía</v>
          </cell>
        </row>
        <row r="16">
          <cell r="A16" t="str">
            <v>Thuốc lào</v>
          </cell>
          <cell r="F16" t="str">
            <v>Thuốc lào</v>
          </cell>
        </row>
        <row r="17">
          <cell r="A17" t="str">
            <v>Cói</v>
          </cell>
          <cell r="F17" t="str">
            <v>Cói</v>
          </cell>
        </row>
        <row r="18">
          <cell r="A18" t="str">
            <v xml:space="preserve"> Đậu tương (đậu nành) lấy hạt</v>
          </cell>
          <cell r="F18" t="str">
            <v xml:space="preserve"> Đậu tương (đậu nành) lấy hạt</v>
          </cell>
        </row>
        <row r="19">
          <cell r="A19" t="str">
            <v>Lạc (đậu phộng)</v>
          </cell>
          <cell r="F19" t="str">
            <v>Lạc (đậu phộng)</v>
          </cell>
        </row>
        <row r="20">
          <cell r="A20" t="str">
            <v>Vừng (mè)</v>
          </cell>
          <cell r="F20" t="str">
            <v>Vừng (mè)</v>
          </cell>
        </row>
        <row r="21">
          <cell r="A21" t="str">
            <v>Rau muống</v>
          </cell>
          <cell r="F21" t="str">
            <v>Rau muống</v>
          </cell>
        </row>
        <row r="22">
          <cell r="A22" t="str">
            <v>Cải canh</v>
          </cell>
          <cell r="F22" t="str">
            <v>Cải canh</v>
          </cell>
        </row>
        <row r="23">
          <cell r="A23" t="str">
            <v>Cải chíp</v>
          </cell>
          <cell r="F23" t="str">
            <v>Cải chíp</v>
          </cell>
        </row>
        <row r="24">
          <cell r="A24" t="str">
            <v>Cải ngồng</v>
          </cell>
          <cell r="F24" t="str">
            <v>Cải ngồng</v>
          </cell>
        </row>
        <row r="25">
          <cell r="A25" t="str">
            <v>Cải bẹ</v>
          </cell>
          <cell r="F25" t="str">
            <v>Cải bẹ</v>
          </cell>
        </row>
        <row r="26">
          <cell r="A26" t="str">
            <v>Cải làn</v>
          </cell>
          <cell r="F26" t="str">
            <v>Cải làn</v>
          </cell>
        </row>
        <row r="27">
          <cell r="A27" t="str">
            <v>Cải bó xôi</v>
          </cell>
          <cell r="F27" t="str">
            <v>Cải bó xôi</v>
          </cell>
        </row>
        <row r="28">
          <cell r="A28" t="str">
            <v>Cải ngọt</v>
          </cell>
          <cell r="F28">
            <v>0</v>
          </cell>
        </row>
        <row r="29">
          <cell r="A29" t="str">
            <v>Cải xoong</v>
          </cell>
          <cell r="F29" t="str">
            <v>Cải xoong</v>
          </cell>
        </row>
        <row r="30">
          <cell r="A30" t="str">
            <v>Cải thảo</v>
          </cell>
          <cell r="F30" t="str">
            <v>Cải thảo</v>
          </cell>
        </row>
        <row r="31">
          <cell r="A31" t="str">
            <v>Cải cúc</v>
          </cell>
          <cell r="F31">
            <v>0</v>
          </cell>
        </row>
        <row r="32">
          <cell r="A32" t="str">
            <v>Cải kale</v>
          </cell>
          <cell r="F32" t="str">
            <v>Cải kale</v>
          </cell>
        </row>
        <row r="33">
          <cell r="A33" t="str">
            <v>Cải bắp</v>
          </cell>
          <cell r="F33" t="str">
            <v>Cải bắp</v>
          </cell>
        </row>
        <row r="34">
          <cell r="A34" t="str">
            <v>Rau mùng tơi</v>
          </cell>
          <cell r="F34" t="str">
            <v>Rau mùng tơi</v>
          </cell>
        </row>
        <row r="35">
          <cell r="A35" t="str">
            <v>Rau đay</v>
          </cell>
          <cell r="F35" t="str">
            <v>Rau đay</v>
          </cell>
        </row>
        <row r="36">
          <cell r="A36" t="str">
            <v>Rau ngót</v>
          </cell>
          <cell r="F36" t="str">
            <v>Rau ngót</v>
          </cell>
        </row>
        <row r="37">
          <cell r="A37" t="str">
            <v>Rau má</v>
          </cell>
          <cell r="F37" t="str">
            <v>Rau má</v>
          </cell>
        </row>
        <row r="38">
          <cell r="A38" t="str">
            <v>Rau diếp/xà lách</v>
          </cell>
          <cell r="F38" t="str">
            <v>Rau diếp/xà lách</v>
          </cell>
        </row>
        <row r="39">
          <cell r="A39" t="str">
            <v>Rau dền</v>
          </cell>
          <cell r="F39" t="str">
            <v>Rau dền</v>
          </cell>
        </row>
        <row r="40">
          <cell r="A40" t="str">
            <v>Súp lơ</v>
          </cell>
          <cell r="F40" t="str">
            <v>Súp lơ</v>
          </cell>
        </row>
        <row r="41">
          <cell r="A41" t="str">
            <v>Su su (lấy ngọn)</v>
          </cell>
          <cell r="F41">
            <v>0</v>
          </cell>
        </row>
        <row r="42">
          <cell r="A42" t="str">
            <v>Ngô rau</v>
          </cell>
          <cell r="F42" t="str">
            <v>Ngô rau</v>
          </cell>
        </row>
        <row r="43">
          <cell r="A43" t="str">
            <v>Dưa hấu</v>
          </cell>
          <cell r="F43" t="str">
            <v>Dưa hấu</v>
          </cell>
        </row>
        <row r="44">
          <cell r="A44" t="str">
            <v>Dưa lê</v>
          </cell>
          <cell r="F44" t="str">
            <v>Dưa lê</v>
          </cell>
        </row>
        <row r="45">
          <cell r="A45" t="str">
            <v>Dưa vàng</v>
          </cell>
          <cell r="F45" t="str">
            <v>Dưa vàng</v>
          </cell>
        </row>
        <row r="46">
          <cell r="A46" t="str">
            <v>Dưa lưới</v>
          </cell>
          <cell r="F46" t="str">
            <v>Dưa lưới</v>
          </cell>
        </row>
        <row r="47">
          <cell r="A47" t="str">
            <v>Dưa bở</v>
          </cell>
          <cell r="F47" t="str">
            <v>Dưa bở</v>
          </cell>
        </row>
        <row r="48">
          <cell r="A48" t="str">
            <v>Dưa gang</v>
          </cell>
          <cell r="F48" t="str">
            <v>Dưa gang</v>
          </cell>
        </row>
        <row r="49">
          <cell r="A49" t="str">
            <v>Dưa chuột/ dưa leo</v>
          </cell>
          <cell r="F49">
            <v>0</v>
          </cell>
        </row>
        <row r="50">
          <cell r="A50" t="str">
            <v>Đậu tương rau</v>
          </cell>
          <cell r="F50" t="str">
            <v>Đậu tương rau</v>
          </cell>
        </row>
        <row r="51">
          <cell r="A51" t="str">
            <v>Đậu/ đỗ đũa</v>
          </cell>
          <cell r="F51" t="str">
            <v>Đậu/ đỗ đũa</v>
          </cell>
        </row>
        <row r="52">
          <cell r="A52" t="str">
            <v>Đậu/ đỗ cove</v>
          </cell>
          <cell r="F52" t="str">
            <v>Đậu/ đỗ cove</v>
          </cell>
        </row>
        <row r="53">
          <cell r="A53" t="str">
            <v>Đậu/ đỗ Hà Lan</v>
          </cell>
          <cell r="F53">
            <v>0</v>
          </cell>
        </row>
        <row r="54">
          <cell r="A54" t="str">
            <v>Đậu/ đỗ rồng</v>
          </cell>
          <cell r="F54">
            <v>0</v>
          </cell>
        </row>
        <row r="55">
          <cell r="A55" t="str">
            <v xml:space="preserve"> Đậu/ đỗ ván</v>
          </cell>
          <cell r="F55" t="str">
            <v xml:space="preserve"> Đậu/ đỗ ván</v>
          </cell>
        </row>
        <row r="56">
          <cell r="A56" t="str">
            <v>Đậu bắp</v>
          </cell>
          <cell r="F56" t="str">
            <v>Đậu bắp</v>
          </cell>
        </row>
        <row r="57">
          <cell r="A57" t="str">
            <v>Cà chua</v>
          </cell>
          <cell r="F57" t="str">
            <v>Cà chua</v>
          </cell>
        </row>
        <row r="58">
          <cell r="A58" t="str">
            <v>Cà tím</v>
          </cell>
          <cell r="F58">
            <v>0</v>
          </cell>
        </row>
        <row r="59">
          <cell r="A59" t="str">
            <v>Cà bát</v>
          </cell>
          <cell r="F59" t="str">
            <v>Cà bát</v>
          </cell>
        </row>
        <row r="60">
          <cell r="A60" t="str">
            <v>Cà pháo</v>
          </cell>
          <cell r="F60" t="str">
            <v>Cà pháo</v>
          </cell>
        </row>
        <row r="61">
          <cell r="A61" t="str">
            <v>Bí ngô</v>
          </cell>
          <cell r="F61">
            <v>0</v>
          </cell>
        </row>
        <row r="62">
          <cell r="A62" t="str">
            <v>Bí xanh</v>
          </cell>
          <cell r="F62" t="str">
            <v>Bí xanh</v>
          </cell>
        </row>
        <row r="63">
          <cell r="A63" t="str">
            <v>Bí ngòi</v>
          </cell>
          <cell r="F63" t="str">
            <v>Bí ngòi</v>
          </cell>
        </row>
        <row r="64">
          <cell r="A64" t="str">
            <v>Bầu</v>
          </cell>
          <cell r="F64" t="str">
            <v>Bầu</v>
          </cell>
        </row>
        <row r="65">
          <cell r="A65" t="str">
            <v>Mướp</v>
          </cell>
          <cell r="F65" t="str">
            <v>Mướp</v>
          </cell>
        </row>
        <row r="66">
          <cell r="A66" t="str">
            <v>Mướp đắng</v>
          </cell>
          <cell r="F66" t="str">
            <v>Mướp đắng</v>
          </cell>
        </row>
        <row r="67">
          <cell r="A67" t="str">
            <v>Su su (lấy quả)</v>
          </cell>
          <cell r="F67" t="str">
            <v>Su su (lấy quả)</v>
          </cell>
        </row>
        <row r="68">
          <cell r="A68" t="str">
            <v>Ớt ngọt</v>
          </cell>
          <cell r="F68">
            <v>0</v>
          </cell>
        </row>
        <row r="69">
          <cell r="A69" t="str">
            <v>Su hào</v>
          </cell>
          <cell r="F69" t="str">
            <v>Su hào</v>
          </cell>
        </row>
        <row r="70">
          <cell r="A70" t="str">
            <v>Cà rốt</v>
          </cell>
          <cell r="F70" t="str">
            <v>Cà rốt</v>
          </cell>
        </row>
        <row r="71">
          <cell r="A71" t="str">
            <v xml:space="preserve"> Củ cải trắng</v>
          </cell>
          <cell r="F71" t="str">
            <v xml:space="preserve"> Củ cải trắng</v>
          </cell>
        </row>
        <row r="72">
          <cell r="A72" t="str">
            <v>Củ dền</v>
          </cell>
          <cell r="F72" t="str">
            <v>Củ dền</v>
          </cell>
        </row>
        <row r="73">
          <cell r="A73" t="str">
            <v>Củ đậu</v>
          </cell>
          <cell r="F73" t="str">
            <v>Củ đậu</v>
          </cell>
        </row>
        <row r="74">
          <cell r="A74" t="str">
            <v>Tỏi lấy củ</v>
          </cell>
          <cell r="F74" t="str">
            <v>Tỏi lấy củ</v>
          </cell>
        </row>
        <row r="75">
          <cell r="A75" t="str">
            <v>Tỏi tây</v>
          </cell>
          <cell r="F75" t="str">
            <v>Tỏi tây</v>
          </cell>
        </row>
        <row r="76">
          <cell r="A76" t="str">
            <v>Hành tây</v>
          </cell>
          <cell r="F76" t="str">
            <v>Hành tây</v>
          </cell>
        </row>
        <row r="77">
          <cell r="A77" t="str">
            <v>Hành hoa</v>
          </cell>
          <cell r="F77" t="str">
            <v>Hành hoa</v>
          </cell>
        </row>
        <row r="78">
          <cell r="A78" t="str">
            <v>Hành củ</v>
          </cell>
          <cell r="F78" t="str">
            <v>Hành củ</v>
          </cell>
        </row>
        <row r="79">
          <cell r="A79" t="str">
            <v>Hành paro</v>
          </cell>
          <cell r="F79" t="str">
            <v>Hành paro</v>
          </cell>
        </row>
        <row r="80">
          <cell r="A80" t="str">
            <v>Sen lấy củ</v>
          </cell>
          <cell r="F80" t="str">
            <v>Sen lấy củ</v>
          </cell>
        </row>
        <row r="81">
          <cell r="A81" t="str">
            <v>Sen lấy ngó</v>
          </cell>
          <cell r="F81" t="str">
            <v>Sen lấy ngó</v>
          </cell>
        </row>
        <row r="82">
          <cell r="A82" t="str">
            <v>Rau cần ta</v>
          </cell>
          <cell r="F82" t="str">
            <v>Rau cần ta</v>
          </cell>
        </row>
        <row r="83">
          <cell r="A83" t="str">
            <v>Rau cần tây</v>
          </cell>
          <cell r="F83" t="str">
            <v>Rau cần tây</v>
          </cell>
        </row>
        <row r="84">
          <cell r="A84" t="str">
            <v>Dọc mùng</v>
          </cell>
          <cell r="F84" t="str">
            <v>Dọc mùng</v>
          </cell>
        </row>
        <row r="85">
          <cell r="A85" t="str">
            <v>Rau rút</v>
          </cell>
          <cell r="F85" t="str">
            <v>Rau rút</v>
          </cell>
        </row>
        <row r="86">
          <cell r="A86" t="str">
            <v>Rau dớn</v>
          </cell>
          <cell r="F86" t="str">
            <v>Rau dớn</v>
          </cell>
        </row>
        <row r="87">
          <cell r="A87" t="str">
            <v>Khoai nước (lấy mầm)</v>
          </cell>
          <cell r="F87" t="str">
            <v>Khoai nước (lấy mầm)</v>
          </cell>
        </row>
        <row r="88">
          <cell r="A88" t="str">
            <v>Đậu/đỗ đen</v>
          </cell>
          <cell r="F88" t="str">
            <v>Đậu/đỗ đen</v>
          </cell>
        </row>
        <row r="89">
          <cell r="A89" t="str">
            <v>Đậu/đỗ xanh</v>
          </cell>
          <cell r="F89" t="str">
            <v>Đậu/đỗ xanh</v>
          </cell>
        </row>
        <row r="90">
          <cell r="A90" t="str">
            <v xml:space="preserve"> Đậu/đỗ đỏ</v>
          </cell>
          <cell r="F90" t="str">
            <v xml:space="preserve"> Đậu/đỗ đỏ</v>
          </cell>
        </row>
        <row r="91">
          <cell r="A91" t="str">
            <v>Nhóm cây hoa</v>
          </cell>
          <cell r="F91" t="str">
            <v>Nhóm cây hoa</v>
          </cell>
        </row>
        <row r="92">
          <cell r="A92" t="str">
            <v>Hoa cúc</v>
          </cell>
          <cell r="F92" t="str">
            <v>Hoa cúc</v>
          </cell>
        </row>
        <row r="93">
          <cell r="A93" t="str">
            <v>Hoa lay ơn</v>
          </cell>
          <cell r="F93" t="str">
            <v>Hoa lay ơn</v>
          </cell>
        </row>
        <row r="94">
          <cell r="A94" t="str">
            <v>Hoa cẩm chướng</v>
          </cell>
          <cell r="F94" t="str">
            <v>Hoa cẩm chướng</v>
          </cell>
        </row>
        <row r="95">
          <cell r="A95" t="str">
            <v>Hoa lily</v>
          </cell>
          <cell r="F95" t="str">
            <v>Hoa lily</v>
          </cell>
        </row>
        <row r="96">
          <cell r="A96" t="str">
            <v>Hoa loa kèn</v>
          </cell>
          <cell r="F96" t="str">
            <v>Hoa loa kèn</v>
          </cell>
        </row>
        <row r="97">
          <cell r="A97" t="str">
            <v>Hoa đồng tiền</v>
          </cell>
          <cell r="F97" t="str">
            <v>Hoa đồng tiền</v>
          </cell>
        </row>
        <row r="98">
          <cell r="A98" t="str">
            <v>Hoa thạch thảo</v>
          </cell>
          <cell r="F98" t="str">
            <v>Hoa thạch thảo</v>
          </cell>
        </row>
        <row r="99">
          <cell r="A99" t="str">
            <v>Hoa cát tường</v>
          </cell>
          <cell r="F99" t="str">
            <v>Hoa cát tường</v>
          </cell>
        </row>
        <row r="100">
          <cell r="A100" t="str">
            <v>Hoa hướng dương</v>
          </cell>
          <cell r="F100" t="str">
            <v>Hoa hướng dương</v>
          </cell>
        </row>
        <row r="101">
          <cell r="A101" t="str">
            <v>Hoa huệ</v>
          </cell>
          <cell r="F101" t="str">
            <v>Hoa huệ</v>
          </cell>
        </row>
        <row r="102">
          <cell r="A102" t="str">
            <v>Hoa cánh bướm</v>
          </cell>
          <cell r="F102" t="str">
            <v>Hoa cánh bướm</v>
          </cell>
        </row>
        <row r="103">
          <cell r="A103" t="str">
            <v>Hoa phi yến</v>
          </cell>
          <cell r="F103" t="str">
            <v>Hoa phi yến</v>
          </cell>
        </row>
        <row r="104">
          <cell r="A104" t="str">
            <v>Hoa sen lấy hoa</v>
          </cell>
          <cell r="F104" t="str">
            <v>Hoa sen lấy hoa</v>
          </cell>
        </row>
        <row r="105">
          <cell r="A105" t="str">
            <v>Hoa súng</v>
          </cell>
          <cell r="F105" t="str">
            <v>Hoa súng</v>
          </cell>
        </row>
        <row r="106">
          <cell r="A106" t="str">
            <v>Violet, cosmot</v>
          </cell>
          <cell r="F106" t="str">
            <v>Violet, cosmot</v>
          </cell>
        </row>
        <row r="107">
          <cell r="A107" t="str">
            <v>Violet, cosmot cây chưa có hoa</v>
          </cell>
          <cell r="F107" t="str">
            <v>Violet, cosmot cây chưa có hoa</v>
          </cell>
        </row>
        <row r="108">
          <cell r="A108" t="str">
            <v>Violet, cosmot cây có hoa</v>
          </cell>
          <cell r="F108" t="str">
            <v>Violet, cosmot cây có hoa</v>
          </cell>
        </row>
        <row r="109">
          <cell r="A109" t="str">
            <v>Cây hoa mười giờ, cây hoa sam, tóc tiên</v>
          </cell>
          <cell r="F109" t="str">
            <v>Cây hoa mười giờ, cây hoa sam, tóc tiên</v>
          </cell>
        </row>
        <row r="110">
          <cell r="A110" t="str">
            <v>Cây dạ yến thảo, cây ngọc thảo</v>
          </cell>
          <cell r="F110" t="str">
            <v>Cây dạ yến thảo, cây ngọc thảo</v>
          </cell>
        </row>
        <row r="111">
          <cell r="A111" t="str">
            <v>Cây salem</v>
          </cell>
          <cell r="F111" t="str">
            <v>Cây salem</v>
          </cell>
        </row>
        <row r="112">
          <cell r="A112" t="str">
            <v>Cây salem chưa có hoa</v>
          </cell>
          <cell r="F112" t="str">
            <v>Cây salem chưa có hoa</v>
          </cell>
        </row>
        <row r="113">
          <cell r="A113" t="str">
            <v>Cây salem có hoa</v>
          </cell>
          <cell r="F113" t="str">
            <v>Cây salem có hoa</v>
          </cell>
        </row>
        <row r="114">
          <cell r="A114" t="str">
            <v>Nhóm cây gia vị</v>
          </cell>
          <cell r="F114" t="str">
            <v>Nhóm cây gia vị</v>
          </cell>
        </row>
        <row r="115">
          <cell r="A115" t="str">
            <v>Ớt cay</v>
          </cell>
          <cell r="F115" t="str">
            <v>Ớt cay</v>
          </cell>
        </row>
        <row r="116">
          <cell r="A116" t="str">
            <v>Gừng</v>
          </cell>
          <cell r="F116" t="str">
            <v>Gừng</v>
          </cell>
        </row>
        <row r="117">
          <cell r="A117" t="str">
            <v>Nghệ</v>
          </cell>
          <cell r="F117" t="str">
            <v>Nghệ</v>
          </cell>
        </row>
        <row r="118">
          <cell r="A118" t="str">
            <v>Riềng</v>
          </cell>
          <cell r="F118" t="str">
            <v>Riềng</v>
          </cell>
        </row>
        <row r="119">
          <cell r="A119" t="str">
            <v>Sả</v>
          </cell>
          <cell r="F119" t="str">
            <v>Sả</v>
          </cell>
        </row>
        <row r="120">
          <cell r="A120" t="str">
            <v>Tía tô</v>
          </cell>
          <cell r="F120" t="str">
            <v>Tía tô</v>
          </cell>
        </row>
        <row r="121">
          <cell r="A121" t="str">
            <v>Kinh giới, húng tép</v>
          </cell>
          <cell r="F121" t="str">
            <v>Kinh giới, húng tép</v>
          </cell>
        </row>
        <row r="122">
          <cell r="A122" t="str">
            <v>Húng bąc hà, húng Hà Nội</v>
          </cell>
          <cell r="F122" t="str">
            <v>Húng bąc hà, húng Hà Nội</v>
          </cell>
        </row>
        <row r="123">
          <cell r="A123" t="str">
            <v>Húng quế (húng chó)</v>
          </cell>
          <cell r="F123" t="str">
            <v>Húng quế (húng chó)</v>
          </cell>
        </row>
        <row r="124">
          <cell r="A124" t="str">
            <v>Rau mùi</v>
          </cell>
          <cell r="F124" t="str">
            <v>Rau mùi</v>
          </cell>
        </row>
        <row r="125">
          <cell r="A125" t="str">
            <v>Mùi tàu (răng cua, ngò gai)</v>
          </cell>
          <cell r="F125" t="str">
            <v>Mùi tàu (răng cua, ngò gai)</v>
          </cell>
        </row>
        <row r="126">
          <cell r="A126" t="str">
            <v>Ngải cứu</v>
          </cell>
          <cell r="F126" t="str">
            <v>Ngải cứu</v>
          </cell>
        </row>
        <row r="127">
          <cell r="A127" t="str">
            <v>Thì là</v>
          </cell>
          <cell r="F127" t="str">
            <v>Thì là</v>
          </cell>
        </row>
        <row r="128">
          <cell r="A128" t="str">
            <v>Rau rám</v>
          </cell>
          <cell r="F128" t="str">
            <v>Rau rám</v>
          </cell>
        </row>
        <row r="129">
          <cell r="A129" t="str">
            <v>Lá nốt</v>
          </cell>
          <cell r="F129" t="str">
            <v>Lá nốt</v>
          </cell>
        </row>
        <row r="130">
          <cell r="A130" t="str">
            <v>Nhóm cây dược liệu</v>
          </cell>
          <cell r="F130" t="str">
            <v>Nhóm cây dược liệu</v>
          </cell>
        </row>
        <row r="131">
          <cell r="A131" t="str">
            <v>Hương nhu</v>
          </cell>
          <cell r="F131" t="str">
            <v>Hương nhu</v>
          </cell>
        </row>
        <row r="132">
          <cell r="A132" t="str">
            <v>Cúc dược liệu (Cúc chi)</v>
          </cell>
          <cell r="F132" t="str">
            <v>Cúc dược liệu (Cúc chi)</v>
          </cell>
        </row>
        <row r="133">
          <cell r="A133" t="str">
            <v>Húng chanh</v>
          </cell>
          <cell r="F133" t="str">
            <v>Húng chanh</v>
          </cell>
        </row>
        <row r="134">
          <cell r="A134" t="str">
            <v>Lá nếp</v>
          </cell>
          <cell r="F134" t="str">
            <v>Lá nếp</v>
          </cell>
        </row>
        <row r="135">
          <cell r="A135" t="str">
            <v>Xương sông</v>
          </cell>
          <cell r="F135" t="str">
            <v>Xương sông</v>
          </cell>
        </row>
        <row r="136">
          <cell r="A136" t="str">
            <v>Hoàn ngọc (cây lá khỉ)</v>
          </cell>
          <cell r="F136" t="str">
            <v>Hoàn ngọc (cây lá khỉ)</v>
          </cell>
        </row>
        <row r="137">
          <cell r="A137" t="str">
            <v>Atiso đỏ</v>
          </cell>
          <cell r="F137" t="str">
            <v>Atiso đỏ</v>
          </cell>
        </row>
        <row r="138">
          <cell r="A138" t="str">
            <v>Nhóm cây hàng năm khác</v>
          </cell>
          <cell r="F138" t="str">
            <v>Nhóm cây hàng năm khác</v>
          </cell>
        </row>
        <row r="139">
          <cell r="A139" t="str">
            <v xml:space="preserve"> Ấu</v>
          </cell>
          <cell r="F139" t="str">
            <v xml:space="preserve"> Ấu</v>
          </cell>
        </row>
        <row r="140">
          <cell r="A140" t="str">
            <v>Thạch đen</v>
          </cell>
          <cell r="F140" t="str">
            <v>Thạch đen</v>
          </cell>
        </row>
        <row r="141">
          <cell r="A141" t="str">
            <v>Hương bài</v>
          </cell>
          <cell r="F141" t="str">
            <v>Hương bài</v>
          </cell>
        </row>
        <row r="142">
          <cell r="A142" t="str">
            <v>Cỏ voi</v>
          </cell>
          <cell r="F142" t="str">
            <v>Cỏ voi</v>
          </cell>
        </row>
        <row r="143">
          <cell r="A143" t="str">
            <v>Cỏ nhung</v>
          </cell>
          <cell r="F143" t="str">
            <v>Cây dâm bụt, cây ngũ sắc ĐK tán &gt; 3 m</v>
          </cell>
        </row>
        <row r="144">
          <cell r="A144" t="str">
            <v>Ngô sinh khối</v>
          </cell>
          <cell r="F144" t="str">
            <v>Ngô sinh khối</v>
          </cell>
        </row>
        <row r="145">
          <cell r="A145" t="str">
            <v>Nấm rơm</v>
          </cell>
          <cell r="F145" t="str">
            <v>Nấm rơm</v>
          </cell>
        </row>
        <row r="146">
          <cell r="A146" t="str">
            <v>Nấm mỡ</v>
          </cell>
          <cell r="F146" t="str">
            <v>Nấm mỡ</v>
          </cell>
        </row>
        <row r="147">
          <cell r="A147" t="str">
            <v>Đay</v>
          </cell>
          <cell r="F147" t="str">
            <v>Đay</v>
          </cell>
        </row>
        <row r="148">
          <cell r="A148" t="str">
            <v>Gai</v>
          </cell>
          <cell r="F148" t="str">
            <v>Gai</v>
          </cell>
        </row>
        <row r="149">
          <cell r="A149" t="str">
            <v>Dứa sợi</v>
          </cell>
          <cell r="F149" t="str">
            <v>Dứa sợi</v>
          </cell>
        </row>
        <row r="150">
          <cell r="A150" t="str">
            <v>NHÓM CÂY TÍNH THEO CHIỀU CAO THÂN</v>
          </cell>
          <cell r="F150" t="str">
            <v>NHÓM CÂY TÍNH THEO CHIỀU CAO THÂN</v>
          </cell>
        </row>
        <row r="151">
          <cell r="A151" t="str">
            <v>Cây na xiêm</v>
          </cell>
          <cell r="F151" t="str">
            <v>Cây na xiêm</v>
          </cell>
        </row>
        <row r="152">
          <cell r="A152" t="str">
            <v>Cây na xiêm chiều cao cây H ≤ 1,5 m</v>
          </cell>
          <cell r="F152" t="str">
            <v>Cây na xiêm chiều cao cây H ≤ 1,5 m</v>
          </cell>
        </row>
        <row r="153">
          <cell r="A153" t="str">
            <v>Cây na xiêm chiều cao cây 1,5 m &lt; H ≤ 3 m</v>
          </cell>
          <cell r="F153" t="str">
            <v>Cây na xiêm chiều cao cây 1,5 m &lt; H ≤ 3 m</v>
          </cell>
        </row>
        <row r="154">
          <cell r="A154" t="str">
            <v>Cây na xiêm chiều cao cây H &gt; 3 m</v>
          </cell>
          <cell r="F154" t="str">
            <v>Cây na xiêm chiều cao cây H &gt; 3 m</v>
          </cell>
        </row>
        <row r="155">
          <cell r="A155" t="str">
            <v>Cây sắn thuyền</v>
          </cell>
          <cell r="F155" t="str">
            <v>Cây sắn thuyền</v>
          </cell>
        </row>
        <row r="156">
          <cell r="A156" t="str">
            <v>Cây sắn thuyền chiều cao cây H ≤ 1,5 m</v>
          </cell>
          <cell r="F156" t="str">
            <v>Cây sắn thuyền chiều cao cây H ≤ 1,5 m</v>
          </cell>
        </row>
        <row r="157">
          <cell r="A157" t="str">
            <v>Cây sắn thuyền chiều cao cây 1,5 m &lt; H ≤ 3 m</v>
          </cell>
          <cell r="F157" t="str">
            <v>Cây sắn thuyền chiều cao cây 1,5 m &lt; H ≤ 3 m</v>
          </cell>
        </row>
        <row r="158">
          <cell r="A158" t="str">
            <v>Cây sắn thuyền chiều cao cây H &gt; 3 m</v>
          </cell>
          <cell r="F158">
            <v>0</v>
          </cell>
        </row>
        <row r="159">
          <cell r="A159" t="str">
            <v>Cau ta ăn quả</v>
          </cell>
          <cell r="F159" t="str">
            <v>Cỏ nhung</v>
          </cell>
        </row>
        <row r="160">
          <cell r="A160" t="str">
            <v>Cau ta ăn quả giống đủ tiêu chuẩn mới trồng, chiều cao cây H ≥ 40cm</v>
          </cell>
          <cell r="F160" t="str">
            <v>Cau ta ăn quả giống đủ tiêu chuẩn mới trồng, chiều cao cây H ≥ 40cm</v>
          </cell>
        </row>
        <row r="161">
          <cell r="A161" t="str">
            <v>Cau ta ăn quả chiều cao cây H &lt; 1,5 m</v>
          </cell>
          <cell r="F161" t="str">
            <v>Cau ta ăn quả chiều cao cây H &lt; 1,5 m</v>
          </cell>
        </row>
        <row r="162">
          <cell r="A162" t="str">
            <v>Cau ta ăn quả chiều cao cây 1,5 m ≤  H &lt; 3 m</v>
          </cell>
          <cell r="F162" t="str">
            <v>Cau ta ăn quả chiều cao cây 1,5 m ≤  H &lt; 3 m</v>
          </cell>
        </row>
        <row r="163">
          <cell r="A163" t="str">
            <v>Cau ta ăn quả chiều cao cây 3 m ≤  H &lt; 4 m</v>
          </cell>
          <cell r="F163" t="str">
            <v>Cau ta ăn quả chiều cao cây 3 m ≤  H &lt; 4 m</v>
          </cell>
        </row>
        <row r="164">
          <cell r="A164" t="str">
            <v>Cau ta ăn quả chiều cao cây H ≥ 4 m</v>
          </cell>
          <cell r="F164" t="str">
            <v>Cau ta ăn quả chiều cao cây H ≥ 4 m</v>
          </cell>
        </row>
        <row r="165">
          <cell r="A165" t="str">
            <v>Cây cau lợn cọ (độ cao bóc bẹ)</v>
          </cell>
          <cell r="F165" t="str">
            <v>Cây cau lợn cọ (độ cao bóc bẹ)</v>
          </cell>
        </row>
        <row r="166">
          <cell r="A166" t="str">
            <v>Cây cau lợn cọ (độ cao bóc bẹ) Cây giống mới trồng</v>
          </cell>
          <cell r="F166" t="str">
            <v>Cây cau lợn cọ (độ cao bóc bẹ) Cây giống mới trồng</v>
          </cell>
        </row>
        <row r="167">
          <cell r="A167" t="str">
            <v>Cây cau lợn cọ (độ cao bóc bẹ)  H &lt; 15 cm</v>
          </cell>
          <cell r="F167" t="str">
            <v>Cây cau lợn cọ (độ cao bóc bẹ)  H &lt; 15 cm</v>
          </cell>
        </row>
        <row r="168">
          <cell r="A168" t="str">
            <v>Cây cau lợn cọ (độ cao bóc bẹ) 15 cm &lt; H ≤ 30 cm</v>
          </cell>
          <cell r="F168" t="str">
            <v>Cây cau lợn cọ (độ cao bóc bẹ) 15 cm &lt; H ≤ 30 cm</v>
          </cell>
        </row>
        <row r="169">
          <cell r="A169" t="str">
            <v>Cây cau lợn cọ (độ cao bóc bẹ) 30 cm &lt; H ≤ 45 cm</v>
          </cell>
          <cell r="F169" t="str">
            <v>Cây cau lợn cọ (độ cao bóc bẹ) 30 cm &lt; H ≤ 45 cm</v>
          </cell>
        </row>
        <row r="170">
          <cell r="A170" t="str">
            <v>Cây cau lợn cọ (độ cao bóc bẹ)  45 cm &lt; H ≤ 60 cm</v>
          </cell>
          <cell r="F170" t="str">
            <v>Cây cau lợn cọ (độ cao bóc bẹ)  45 cm &lt; H ≤ 60 cm</v>
          </cell>
        </row>
        <row r="171">
          <cell r="A171" t="str">
            <v>Cây cau lợn cọ (độ cao bóc bẹ)  60 cm &lt; H ≤ 75 cm</v>
          </cell>
          <cell r="F171" t="str">
            <v>Cây cau lợn cọ (độ cao bóc bẹ)  60 cm &lt; H ≤ 75 cm</v>
          </cell>
        </row>
        <row r="172">
          <cell r="A172" t="str">
            <v>Cây cau lợn cọ (độ cao bóc bẹ) 75 cm &lt; H ≤ 90 cm</v>
          </cell>
          <cell r="F172" t="str">
            <v>Cây cau lợn cọ (độ cao bóc bẹ) 75 cm &lt; H ≤ 90 cm</v>
          </cell>
        </row>
        <row r="173">
          <cell r="A173" t="str">
            <v>Cây cau lợn cọ (độ cao bóc bẹ) H &gt; 90 cm</v>
          </cell>
          <cell r="F173" t="str">
            <v>Cây cau lợn cọ (độ cao bóc bẹ) H &gt; 90 cm</v>
          </cell>
        </row>
        <row r="174">
          <cell r="A174" t="str">
            <v>Cây cau trắng (độ cao bóc bẹ)</v>
          </cell>
          <cell r="F174" t="str">
            <v>Cây cau trắng (độ cao bóc bẹ)</v>
          </cell>
        </row>
        <row r="175">
          <cell r="A175" t="str">
            <v>Cây cau trắng (độ cao bóc bẹ) Cây giống mới trồng</v>
          </cell>
          <cell r="F175" t="str">
            <v>Cây cau trắng (độ cao bóc bẹ) Cây giống mới trồng</v>
          </cell>
        </row>
        <row r="176">
          <cell r="A176" t="str">
            <v>Cây cau trắng (độ cao bóc bẹ) chiều cao cây H ≤ 15 cm</v>
          </cell>
          <cell r="F176" t="str">
            <v>Cây cau trắng (độ cao bóc bẹ) chiều cao cây H ≤ 15 cm</v>
          </cell>
        </row>
        <row r="177">
          <cell r="A177" t="str">
            <v>Cây cau trắng (độ cao bóc bẹ) chiều cao cây 15 cm &lt; H ≤ 30 cm</v>
          </cell>
          <cell r="F177" t="str">
            <v>Cây cau trắng (độ cao bóc bẹ) chiều cao cây 15 cm &lt; H ≤ 30 cm</v>
          </cell>
        </row>
        <row r="178">
          <cell r="A178" t="str">
            <v>Cây cau trắng (độ cao bóc bẹ) chiều cao cây 30 cm &lt; H ≤ 45 cm</v>
          </cell>
          <cell r="F178" t="str">
            <v>Cây cau trắng (độ cao bóc bẹ) chiều cao cây 30 cm &lt; H ≤ 45 cm</v>
          </cell>
        </row>
        <row r="179">
          <cell r="A179" t="str">
            <v>Cây cau trắng (độ cao bóc bẹ) chiều cao cây 45 cm &lt; H ≤ 60 cm</v>
          </cell>
          <cell r="F179" t="str">
            <v>Cây cau trắng (độ cao bóc bẹ) chiều cao cây 45 cm &lt; H ≤ 60 cm</v>
          </cell>
        </row>
        <row r="180">
          <cell r="A180" t="str">
            <v>Cây cau trắng (độ cao bóc bẹ) chiều cao cây 60 cm &lt; H ≤ 75 cm</v>
          </cell>
          <cell r="F180" t="str">
            <v>Cây cau trắng (độ cao bóc bẹ) chiều cao cây 60 cm &lt; H ≤ 75 cm</v>
          </cell>
        </row>
        <row r="181">
          <cell r="A181" t="str">
            <v>Cây cau trắng (độ cao bóc bẹ) chiều cao cây 75 cm &lt; H ≤ 90 cm</v>
          </cell>
          <cell r="F181" t="str">
            <v>Cây cau trắng (độ cao bóc bẹ) chiều cao cây 75 cm &lt; H ≤ 90 cm</v>
          </cell>
        </row>
        <row r="182">
          <cell r="A182" t="str">
            <v>Cây cau trắng (độ cao bóc bẹ) chiều cao cây 90 cm &lt; H ≤ 150 cm</v>
          </cell>
          <cell r="F182" t="str">
            <v>Cây cau trắng (độ cao bóc bẹ) chiều cao cây 90 cm &lt; H ≤ 150 cm</v>
          </cell>
        </row>
        <row r="183">
          <cell r="A183" t="str">
            <v>Cây cau trắng (độ cao bóc bẹ) chiều cao cây 150 cm &lt; H ≤ 250 cm</v>
          </cell>
          <cell r="F183" t="str">
            <v>Cây cau trắng (độ cao bóc bẹ) chiều cao cây 150 cm &lt; H ≤ 250 cm</v>
          </cell>
        </row>
        <row r="184">
          <cell r="A184" t="str">
            <v>Cây cau trắng (độ cao bóc bẹ) chiều cao cây H &gt; 250 cm</v>
          </cell>
          <cell r="F184" t="str">
            <v>Cây cau trắng (độ cao bóc bẹ) chiều cao cây H &gt; 250 cm</v>
          </cell>
        </row>
        <row r="185">
          <cell r="A185" t="str">
            <v>Cây cau đẻ (độ cao bóc bẹ)</v>
          </cell>
          <cell r="F185" t="str">
            <v>Cây cau đẻ (độ cao bóc bẹ)</v>
          </cell>
        </row>
        <row r="186">
          <cell r="A186" t="str">
            <v>Cây cau đẻ (độ cao bóc bẹ) Cây giống mới trồng</v>
          </cell>
          <cell r="F186" t="str">
            <v>Cây cau đẻ (độ cao bóc bẹ) Cây giống mới trồng</v>
          </cell>
        </row>
        <row r="187">
          <cell r="A187" t="str">
            <v>Cây cau đẻ (độ cao bóc bẹ) chiều cao cây H ≤ 15 cm</v>
          </cell>
          <cell r="F187" t="str">
            <v>Cây cau đẻ (độ cao bóc bẹ) chiều cao cây H ≤ 15 cm</v>
          </cell>
        </row>
        <row r="188">
          <cell r="A188" t="str">
            <v>Cây cau đẻ (độ cao bóc bẹ) chiều cao cây 15 cm &lt; H ≤ 30 cm</v>
          </cell>
          <cell r="F188" t="str">
            <v>Cây cau đẻ (độ cao bóc bẹ) chiều cao cây 15 cm &lt; H ≤ 30 cm</v>
          </cell>
        </row>
        <row r="189">
          <cell r="A189" t="str">
            <v>Cây cau đẻ (độ cao bóc bẹ) chiều cao cây 30 cm &lt; H ≤ 45 cm</v>
          </cell>
          <cell r="F189" t="str">
            <v>Cây cau đẻ (độ cao bóc bẹ) chiều cao cây 30 cm &lt; H ≤ 45 cm</v>
          </cell>
        </row>
        <row r="190">
          <cell r="A190" t="str">
            <v>Cây cau đẻ (độ cao bóc bẹ) chiều cao cây 45 cm &lt; H ≤ 60 cm</v>
          </cell>
          <cell r="F190" t="str">
            <v>Cây cau đẻ (độ cao bóc bẹ) chiều cao cây 45 cm &lt; H ≤ 60 cm</v>
          </cell>
        </row>
        <row r="191">
          <cell r="A191" t="str">
            <v>Cây cau đẻ (độ cao bóc bẹ) chiều cao cây 60 cm &lt; H ≤ 75 cm</v>
          </cell>
          <cell r="F191" t="str">
            <v>Cây cau đẻ (độ cao bóc bẹ) chiều cao cây 60 cm &lt; H ≤ 75 cm</v>
          </cell>
        </row>
        <row r="192">
          <cell r="A192" t="str">
            <v>Cây cau đẻ (độ cao bóc bẹ) chiều cao cây 75 cm &lt; H ≤ 90 cm</v>
          </cell>
          <cell r="F192" t="str">
            <v>Cây cau đẻ (độ cao bóc bẹ) chiều cao cây 75 cm &lt; H ≤ 90 cm</v>
          </cell>
        </row>
        <row r="193">
          <cell r="A193" t="str">
            <v>Cây cau đẻ (độ cao bóc bẹ) chiều cao cây 90 cm &lt; H ≤ 150 cm</v>
          </cell>
          <cell r="F193" t="str">
            <v>Cây cau đẻ (độ cao bóc bẹ) chiều cao cây 90 cm &lt; H ≤ 150 cm</v>
          </cell>
        </row>
        <row r="194">
          <cell r="A194" t="str">
            <v>Cây cau đẻ (độ cao bóc bẹ) chiều cao cây 150 cm &lt; H ≤ 250 cm</v>
          </cell>
          <cell r="F194" t="str">
            <v>Cây cau đẻ (độ cao bóc bẹ) chiều cao cây 150 cm &lt; H ≤ 250 cm</v>
          </cell>
        </row>
        <row r="195">
          <cell r="A195" t="str">
            <v>Cây cau đẻ (độ cao bóc bẹ) chiều cao cây H &gt; 250 cm</v>
          </cell>
          <cell r="F195" t="str">
            <v>Cây cau đẻ (độ cao bóc bẹ) chiều cao cây H &gt; 250 cm</v>
          </cell>
        </row>
        <row r="196">
          <cell r="A196" t="str">
            <v>Cây thiên tuế</v>
          </cell>
          <cell r="F196" t="str">
            <v>Cây thiên tuế</v>
          </cell>
        </row>
        <row r="197">
          <cell r="A197" t="str">
            <v>Cây thiên tuế Cây giống mới trồng</v>
          </cell>
          <cell r="F197" t="str">
            <v>Cây thiên tuế Cây giống mới trồng</v>
          </cell>
        </row>
        <row r="198">
          <cell r="A198" t="str">
            <v>Cây thiên tuế chiều cao cây H &lt; 15 cm</v>
          </cell>
          <cell r="F198" t="str">
            <v>Cây thiên tuế chiều cao cây H &lt; 15 cm</v>
          </cell>
        </row>
        <row r="199">
          <cell r="A199" t="str">
            <v>Cây thiên tuế chiều cao cây 15 cm &lt; H ≤ 30 cm</v>
          </cell>
          <cell r="F199" t="str">
            <v>Cây thiên tuế chiều cao cây 15 cm &lt; H ≤ 30 cm</v>
          </cell>
        </row>
        <row r="200">
          <cell r="A200" t="str">
            <v>Cây thiên tuế chiều cao cây 30 cm &lt; H ≤ 45 cm</v>
          </cell>
          <cell r="F200" t="str">
            <v>Cây thiên tuế chiều cao cây 30 cm &lt; H ≤ 45 cm</v>
          </cell>
        </row>
        <row r="201">
          <cell r="A201" t="str">
            <v>Cây thiên tuế chiều cao cây 45 cm &lt; H ≤ 60 cm</v>
          </cell>
          <cell r="F201" t="str">
            <v>Cau ta ăn quả</v>
          </cell>
        </row>
        <row r="202">
          <cell r="A202" t="str">
            <v>Cây thiên tuế chiều cao cây 60 cm &lt; H ≤ 75 cm</v>
          </cell>
          <cell r="F202" t="str">
            <v>Cây thiên tuế chiều cao cây 60 cm &lt; H ≤ 75 cm</v>
          </cell>
        </row>
        <row r="203">
          <cell r="A203" t="str">
            <v>Cây thiên tuế chiều cao cây H &gt; 75 cm</v>
          </cell>
          <cell r="F203" t="str">
            <v>Cây thiên tuế chiều cao cây H &gt; 75 cm</v>
          </cell>
        </row>
        <row r="204">
          <cell r="A204" t="str">
            <v>Cây thiết mộc lan</v>
          </cell>
          <cell r="F204" t="str">
            <v>Cây thiết mộc lan</v>
          </cell>
        </row>
        <row r="205">
          <cell r="A205" t="str">
            <v>Cây thiết mộc lan Cây giống mới trồng</v>
          </cell>
          <cell r="F205" t="str">
            <v>Cây thiết mộc lan Cây giống mới trồng</v>
          </cell>
        </row>
        <row r="206">
          <cell r="A206" t="str">
            <v>Cây thiết mộc lan chiều cao cây H ≤ 15 cm</v>
          </cell>
          <cell r="F206" t="str">
            <v>Cây thiết mộc lan chiều cao cây H ≤ 15 cm</v>
          </cell>
        </row>
        <row r="207">
          <cell r="A207" t="str">
            <v>Cây thiết mộc lan chiều cao cây 15 cm &lt; H ≤ 70 cm</v>
          </cell>
          <cell r="F207" t="str">
            <v>Cây thiết mộc lan chiều cao cây 15 cm &lt; H ≤ 70 cm</v>
          </cell>
        </row>
        <row r="208">
          <cell r="A208" t="str">
            <v>Cây thiết mộc lan chiều cao cây 70 cm &lt; H ≤ 100 cm</v>
          </cell>
          <cell r="F208" t="str">
            <v>Cây thiết mộc lan chiều cao cây 70 cm &lt; H ≤ 100 cm</v>
          </cell>
        </row>
        <row r="209">
          <cell r="A209" t="str">
            <v>Cây thiết mộc lan chiều cao cây H &gt; 100 cm</v>
          </cell>
          <cell r="F209" t="str">
            <v>Cây thiết mộc lan chiều cao cây H &gt; 100 cm</v>
          </cell>
        </row>
        <row r="210">
          <cell r="A210" t="str">
            <v>Cây trúc anh đào</v>
          </cell>
          <cell r="F210" t="str">
            <v>Cây trúc anh đào</v>
          </cell>
        </row>
        <row r="211">
          <cell r="A211" t="str">
            <v>Cây trúc anh đào Cây giống mới trồng</v>
          </cell>
          <cell r="F211" t="str">
            <v>Cây trúc anh đào Cây giống mới trồng</v>
          </cell>
        </row>
        <row r="212">
          <cell r="A212" t="str">
            <v>Cây trúc anh đào chiều cao cây H &lt; 15 cm</v>
          </cell>
          <cell r="F212" t="str">
            <v>Cây trúc anh đào chiều cao cây H &lt; 15 cm</v>
          </cell>
        </row>
        <row r="213">
          <cell r="A213" t="str">
            <v>Cây trúc anh đào chiều cao cây 15 cm ≤ H &lt;  30 cm</v>
          </cell>
          <cell r="F213" t="str">
            <v>Cây trúc anh đào chiều cao cây 15 cm ≤ H &lt;  30 cm</v>
          </cell>
        </row>
        <row r="214">
          <cell r="A214" t="str">
            <v>Cây trúc anh đào chiều cao cây 30 cm ≤ H &lt; 70 cm</v>
          </cell>
          <cell r="F214" t="str">
            <v>Cây trúc anh đào chiều cao cây 30 cm ≤ H &lt; 70 cm</v>
          </cell>
        </row>
        <row r="215">
          <cell r="A215" t="str">
            <v>Cây trúc anh đào chiều cao cây 70 cm ≤ H &lt; 100 cm</v>
          </cell>
          <cell r="F215" t="str">
            <v>Cây trúc anh đào chiều cao cây 70 cm ≤ H &lt; 100 cm</v>
          </cell>
        </row>
        <row r="216">
          <cell r="A216" t="str">
            <v>Cây trúc anh đào chiều cao cây H ≥ 100 cm</v>
          </cell>
          <cell r="F216" t="str">
            <v>Cây trúc anh đào chiều cao cây H ≥ 100 cm</v>
          </cell>
        </row>
        <row r="217">
          <cell r="A217" t="str">
            <v>Cây lá màu</v>
          </cell>
          <cell r="F217" t="str">
            <v>Cây lá màu</v>
          </cell>
        </row>
        <row r="218">
          <cell r="A218" t="str">
            <v>Cây lá màu Cây giống mới trồng</v>
          </cell>
          <cell r="F218" t="str">
            <v>Cây lá màu Cây giống mới trồng</v>
          </cell>
        </row>
        <row r="219">
          <cell r="A219" t="str">
            <v>Cây lá màu chiều cao cây H &lt; 15 cm</v>
          </cell>
          <cell r="F219" t="str">
            <v>Cây lá màu chiều cao cây H &lt; 15 cm</v>
          </cell>
        </row>
        <row r="220">
          <cell r="A220" t="str">
            <v>Cây lá màu chiều cao cây 15 cm &lt; H ≤ 30 cm</v>
          </cell>
          <cell r="F220" t="str">
            <v>Cây lá màu chiều cao cây 15 cm &lt; H ≤ 30 cm</v>
          </cell>
        </row>
        <row r="221">
          <cell r="A221" t="str">
            <v>Cây lá màu chiều cao cây 30 cm &lt; H ≤ 45 cm</v>
          </cell>
          <cell r="F221" t="str">
            <v>Cây lá màu chiều cao cây 30 cm &lt; H ≤ 45 cm</v>
          </cell>
        </row>
        <row r="222">
          <cell r="A222" t="str">
            <v>Cây lá màu chiều cao cây 45 cm &lt; H ≤ 60 cm</v>
          </cell>
          <cell r="F222" t="str">
            <v>Cây lá màu chiều cao cây 45 cm &lt; H ≤ 60 cm</v>
          </cell>
        </row>
        <row r="223">
          <cell r="A223" t="str">
            <v>Cây lá màu chiều cao cây 60 cm &lt; H ≤ 75 cm</v>
          </cell>
          <cell r="F223" t="str">
            <v>Cây lá màu chiều cao cây 60 cm &lt; H ≤ 75 cm</v>
          </cell>
        </row>
        <row r="224">
          <cell r="A224" t="str">
            <v>Cây lá màu chiều cao cây 75 cm &lt; H ≤ 90 cm</v>
          </cell>
          <cell r="F224" t="str">
            <v>Cây lá màu chiều cao cây 75 cm &lt; H ≤ 90 cm</v>
          </cell>
        </row>
        <row r="225">
          <cell r="A225" t="str">
            <v>Cây lá màu chiều cao cây 90 cm &lt; H ≤ 150 cm</v>
          </cell>
          <cell r="F225" t="str">
            <v>Cây lá màu chiều cao cây 90 cm &lt; H ≤ 150 cm</v>
          </cell>
        </row>
        <row r="226">
          <cell r="A226" t="str">
            <v>Cây lá màu chiều cao cây H &gt; 150 cm</v>
          </cell>
          <cell r="F226" t="str">
            <v>Cây lá màu chiều cao cây H &gt; 150 cm</v>
          </cell>
        </row>
        <row r="227">
          <cell r="A227" t="str">
            <v>Cây đinh lăng</v>
          </cell>
          <cell r="F227" t="str">
            <v>Cây đinh lăng</v>
          </cell>
        </row>
        <row r="228">
          <cell r="A228" t="str">
            <v>Cây đinh lăng Cây giống mới trồng</v>
          </cell>
          <cell r="F228" t="str">
            <v>Cây đinh lăng Cây giống mới trồng</v>
          </cell>
        </row>
        <row r="229">
          <cell r="A229" t="str">
            <v>Cây đinh lăng chiều cao cây H ≤ 15 cm</v>
          </cell>
          <cell r="F229" t="str">
            <v>Cây đinh lăng chiều cao cây H ≤ 15 cm</v>
          </cell>
        </row>
        <row r="230">
          <cell r="A230" t="str">
            <v>Cây đinh lăng chiều cao cây 15 cm &lt; H ≤ 30 cm</v>
          </cell>
          <cell r="F230" t="str">
            <v>Cây đinh lăng chiều cao cây 15 cm &lt; H ≤ 30 cm</v>
          </cell>
        </row>
        <row r="231">
          <cell r="A231" t="str">
            <v>Cây đinh lăng chiều cao cây 30 cm &lt; H ≤ 60 cm</v>
          </cell>
          <cell r="F231" t="str">
            <v>Cây đinh lăng chiều cao cây 30 cm &lt; H ≤ 60 cm</v>
          </cell>
        </row>
        <row r="232">
          <cell r="A232" t="str">
            <v>Cây đinh lăng chiều cao cây H &gt; 60 cm</v>
          </cell>
          <cell r="F232" t="str">
            <v>Cây đinh lăng chiều cao cây H &gt; 60 cm</v>
          </cell>
        </row>
        <row r="233">
          <cell r="A233" t="str">
            <v>Cây đào cảnh</v>
          </cell>
          <cell r="F233" t="str">
            <v>Cây đào cảnh</v>
          </cell>
        </row>
        <row r="234">
          <cell r="A234" t="str">
            <v>Cây đào cảnh Cây giống mới trồng</v>
          </cell>
          <cell r="F234" t="str">
            <v>Cây đào cảnh Cây giống mới trồng</v>
          </cell>
        </row>
        <row r="235">
          <cell r="A235" t="str">
            <v>Cây đào cảnh chiều cao cây H ≤ 150 cm</v>
          </cell>
          <cell r="F235" t="str">
            <v>Cây đào cảnh chiều cao cây H ≤ 150 cm</v>
          </cell>
        </row>
        <row r="236">
          <cell r="A236" t="str">
            <v>Cây đào cảnh chiều cao cây 150 cm &lt; H ≤ 200 cm</v>
          </cell>
          <cell r="F236">
            <v>0</v>
          </cell>
        </row>
        <row r="237">
          <cell r="A237" t="str">
            <v>Cây đào cảnh chiều cao cây H &gt; 200 cm</v>
          </cell>
          <cell r="F237" t="str">
            <v>Cây thiên tuế chiều cao cây 45 cm &lt; H ≤ 60 cm</v>
          </cell>
        </row>
        <row r="238">
          <cell r="A238" t="str">
            <v>Cây mai trắng</v>
          </cell>
          <cell r="F238" t="str">
            <v>Cây mai trắng</v>
          </cell>
        </row>
        <row r="239">
          <cell r="A239" t="str">
            <v>Cây mai trắng chiều cao cây H ≤ 70 cm</v>
          </cell>
          <cell r="F239" t="str">
            <v>Cây mai trắng chiều cao cây H ≤ 70 cm</v>
          </cell>
        </row>
        <row r="240">
          <cell r="A240" t="str">
            <v>Cây mai trắng chiều cao cây 70 cm &lt; H ≤ 100 cm</v>
          </cell>
          <cell r="F240" t="str">
            <v>Cây mai trắng chiều cao cây 70 cm &lt; H ≤ 100 cm</v>
          </cell>
        </row>
        <row r="241">
          <cell r="A241" t="str">
            <v>Cây mai trắng chiều cao cây 100 cm &lt; H ≤ 150 cm</v>
          </cell>
          <cell r="F241" t="str">
            <v>Cây mai trắng chiều cao cây 100 cm &lt; H ≤ 150 cm</v>
          </cell>
        </row>
        <row r="242">
          <cell r="A242" t="str">
            <v>Cây mai trắng chiều cao cây H &gt; 150 cm</v>
          </cell>
          <cell r="F242" t="str">
            <v>Cây mai trắng chiều cao cây H &gt; 150 cm</v>
          </cell>
        </row>
        <row r="243">
          <cell r="A243" t="str">
            <v>Cây bạch thiên hương, bạch ngọc anh</v>
          </cell>
          <cell r="F243" t="str">
            <v>Cây bạch thiên hương, bạch ngọc anh</v>
          </cell>
        </row>
        <row r="244">
          <cell r="A244" t="str">
            <v>Cây bạch thiên hương, bạch ngọc anh chiều cao cây H ≤ 100 cm</v>
          </cell>
          <cell r="F244" t="str">
            <v>Cây bạch thiên hương, bạch ngọc anh chiều cao cây H ≤ 100 cm</v>
          </cell>
        </row>
        <row r="245">
          <cell r="A245" t="str">
            <v>Cây bạch thiên hương, bạch ngọc anh chiều cao cây H &gt; 100 cm</v>
          </cell>
          <cell r="F245" t="str">
            <v>Cây bạch thiên hương, bạch ngọc anh chiều cao cây H &gt; 100 cm</v>
          </cell>
        </row>
        <row r="246">
          <cell r="A246" t="str">
            <v>Cây trạng nguyên</v>
          </cell>
          <cell r="F246" t="str">
            <v>Cây trạng nguyên</v>
          </cell>
        </row>
        <row r="247">
          <cell r="A247" t="str">
            <v>Cây trạng nguyên chiều cao cây H ≤ 100 cm</v>
          </cell>
          <cell r="F247" t="str">
            <v>Cây trạng nguyên chiều cao cây H ≤ 100 cm</v>
          </cell>
        </row>
        <row r="248">
          <cell r="A248" t="str">
            <v>Cây trạng nguyên chiều cao cây H &gt; 100 cm</v>
          </cell>
          <cell r="F248" t="str">
            <v>Cây trạng nguyên chiều cao cây H &gt; 100 cm</v>
          </cell>
        </row>
        <row r="249">
          <cell r="A249" t="str">
            <v>Cây ngô đồng cảnh</v>
          </cell>
          <cell r="F249" t="str">
            <v>Cây ngô đồng cảnh</v>
          </cell>
        </row>
        <row r="250">
          <cell r="A250" t="str">
            <v>Cây ngô đồng cảnh chiều cao cây H ≤ 50 cm</v>
          </cell>
          <cell r="F250" t="str">
            <v>Cây ngô đồng cảnh chiều cao cây H ≤ 50 cm</v>
          </cell>
        </row>
        <row r="251">
          <cell r="A251" t="str">
            <v>Cây ngô đồng cảnh chiều cao cây H &gt; 50 cm</v>
          </cell>
          <cell r="F251" t="str">
            <v>Cây ngô đồng cảnh chiều cao cây H &gt; 50 cm</v>
          </cell>
        </row>
        <row r="252">
          <cell r="A252" t="str">
            <v>Cây agao sọc</v>
          </cell>
          <cell r="F252" t="str">
            <v>Cây agao sọc</v>
          </cell>
        </row>
        <row r="253">
          <cell r="A253" t="str">
            <v>Cây agao sọc chiều cao cây H ≤ 50 cm</v>
          </cell>
          <cell r="F253" t="str">
            <v>Cây agao sọc chiều cao cây H ≤ 50 cm</v>
          </cell>
        </row>
        <row r="254">
          <cell r="A254" t="str">
            <v>Cây agao sọc chiều cao cây H &gt; 50 cm</v>
          </cell>
          <cell r="F254" t="str">
            <v>Cây agao sọc chiều cao cây H &gt; 50 cm</v>
          </cell>
        </row>
        <row r="255">
          <cell r="A255" t="str">
            <v>Cây nguyệt quế</v>
          </cell>
          <cell r="F255" t="str">
            <v>Cây nguyệt quế</v>
          </cell>
        </row>
        <row r="256">
          <cell r="A256" t="str">
            <v>Cây nguyệt quế chiều cao cây H ≤ 100 cm</v>
          </cell>
          <cell r="F256" t="str">
            <v>Cây nguyệt quế chiều cao cây H ≤ 100 cm</v>
          </cell>
        </row>
        <row r="257">
          <cell r="A257" t="str">
            <v>Cây nguyệt quế chiều cao cây 100 cm &lt; H ≤ 200 cm</v>
          </cell>
          <cell r="F257" t="str">
            <v>Cây nguyệt quế chiều cao cây 100 cm &lt; H ≤ 200 cm</v>
          </cell>
        </row>
        <row r="258">
          <cell r="A258" t="str">
            <v>Cây nguyệt quế chiều cao cây H &gt; 200 cm</v>
          </cell>
          <cell r="F258" t="str">
            <v>Cây nguyệt quế chiều cao cây H &gt; 200 cm</v>
          </cell>
        </row>
        <row r="259">
          <cell r="A259" t="str">
            <v>Cây huyết dụ</v>
          </cell>
          <cell r="F259" t="str">
            <v>Cây huyết dụ</v>
          </cell>
        </row>
        <row r="260">
          <cell r="A260" t="str">
            <v>Cây huyết dụ Cây giống mới trồng</v>
          </cell>
          <cell r="F260" t="str">
            <v>Cây huyết dụ Cây giống mới trồng</v>
          </cell>
        </row>
        <row r="261">
          <cell r="A261" t="str">
            <v>Cây huyết dụ chiều cao cây H ≤ 60 cm</v>
          </cell>
          <cell r="F261" t="str">
            <v>Cây huyết dụ chiều cao cây H ≤ 60 cm</v>
          </cell>
        </row>
        <row r="262">
          <cell r="A262" t="str">
            <v>Cây huyết dụ chiều cao cây H &gt; 60 cm</v>
          </cell>
          <cell r="F262" t="str">
            <v>Cây huyết dụ chiều cao cây H &gt; 60 cm</v>
          </cell>
        </row>
        <row r="263">
          <cell r="A263" t="str">
            <v>Cây măng cảnh</v>
          </cell>
          <cell r="F263" t="str">
            <v>Cây măng cảnh</v>
          </cell>
        </row>
        <row r="264">
          <cell r="A264" t="str">
            <v>Cây măng cảnh chiều cao cây H ≤ 50 cm</v>
          </cell>
          <cell r="F264" t="str">
            <v>Cây măng cảnh chiều cao cây H ≤ 50 cm</v>
          </cell>
        </row>
        <row r="265">
          <cell r="A265" t="str">
            <v>Cây măng cảnh chiều cao cây H &gt; 50 cm</v>
          </cell>
          <cell r="F265" t="str">
            <v>Cây măng cảnh chiều cao cây H &gt; 50 cm</v>
          </cell>
        </row>
        <row r="266">
          <cell r="A266" t="str">
            <v>Cây chuối</v>
          </cell>
          <cell r="F266" t="str">
            <v>Cây chuối</v>
          </cell>
        </row>
        <row r="267">
          <cell r="A267" t="str">
            <v>Cây chuối Cây giống mới trồng</v>
          </cell>
          <cell r="F267" t="str">
            <v>Cây chuối Cây giống mới trồng</v>
          </cell>
        </row>
        <row r="268">
          <cell r="A268" t="str">
            <v>Cây chuối chiều cao cây H ≤ 120cm</v>
          </cell>
          <cell r="F268" t="str">
            <v>Cây chuối chiều cao cây H ≤ 120cm</v>
          </cell>
        </row>
        <row r="269">
          <cell r="A269" t="str">
            <v>Cây chuối chiều cao cây H &gt; 120cm</v>
          </cell>
          <cell r="F269" t="str">
            <v>Cây chuối chiều cao cây H &gt; 120cm</v>
          </cell>
        </row>
        <row r="270">
          <cell r="A270" t="str">
            <v>Cây chuối có quả</v>
          </cell>
          <cell r="F270" t="str">
            <v>Cây chuối có quả</v>
          </cell>
        </row>
        <row r="271">
          <cell r="A271" t="str">
            <v>Cây khổ sâm</v>
          </cell>
          <cell r="F271" t="str">
            <v>Cây khổ sâm</v>
          </cell>
        </row>
        <row r="272">
          <cell r="A272" t="str">
            <v>Cây khổ sâm Cây giống</v>
          </cell>
          <cell r="F272" t="str">
            <v>Cây khổ sâm Cây giống</v>
          </cell>
        </row>
        <row r="273">
          <cell r="A273" t="str">
            <v>Cây khổ sâm chiều cao cây H ≤ 100 cm</v>
          </cell>
          <cell r="F273" t="str">
            <v>Cây khổ sâm chiều cao cây H ≤ 100 cm</v>
          </cell>
        </row>
        <row r="274">
          <cell r="A274" t="str">
            <v>Cây khổ sâm chiều cao cây H &gt; 100 cm</v>
          </cell>
          <cell r="F274" t="str">
            <v>Cây khổ sâm chiều cao cây H &gt; 100 cm</v>
          </cell>
        </row>
        <row r="275">
          <cell r="A275" t="str">
            <v>Cây hoa phù dung, dã quỳ</v>
          </cell>
          <cell r="F275" t="str">
            <v>Cây hoa phù dung, dã quỳ</v>
          </cell>
        </row>
        <row r="276">
          <cell r="A276" t="str">
            <v>Cây hoa phù dung, dã quỳ Cây giống mới trồng</v>
          </cell>
          <cell r="F276" t="str">
            <v>Cây hoa phù dung, dã quỳ Cây giống mới trồng</v>
          </cell>
        </row>
        <row r="277">
          <cell r="A277" t="str">
            <v>Cây hoa phù dung, dã quỳ chiều cao cây H ≤ 100 cm</v>
          </cell>
          <cell r="F277" t="str">
            <v>Cây hoa phù dung, dã quỳ chiều cao cây H ≤ 100 cm</v>
          </cell>
        </row>
        <row r="278">
          <cell r="A278" t="str">
            <v>Cây hoa phù dung, dã quỳ chiều cao cây H &gt; 100 cm</v>
          </cell>
          <cell r="F278" t="str">
            <v>Cây hoa phù dung, dã quỳ chiều cao cây H &gt; 100 cm</v>
          </cell>
        </row>
        <row r="279">
          <cell r="A279" t="str">
            <v>Cây lam tiền (lan tuyết)</v>
          </cell>
          <cell r="F279" t="str">
            <v>Cây lam tiền (lan tuyết)</v>
          </cell>
        </row>
        <row r="280">
          <cell r="A280" t="str">
            <v>Cây lam tiền (lan tuyết) Cây giống mới trồng</v>
          </cell>
          <cell r="F280" t="str">
            <v>Cây lam tiền (lan tuyết) Cây giống mới trồng</v>
          </cell>
        </row>
        <row r="281">
          <cell r="A281" t="str">
            <v>Cây lam tiền (lan tuyết) chiều cao cây H ≤ 50 cm</v>
          </cell>
          <cell r="F281" t="str">
            <v>Cây lam tiền (lan tuyết) chiều cao cây H ≤ 50 cm</v>
          </cell>
        </row>
        <row r="282">
          <cell r="A282" t="str">
            <v>Cây lam tiền (lan tuyết) chiều cao cây H &gt; 50 cm</v>
          </cell>
          <cell r="F282" t="str">
            <v>Cây lam tiền (lan tuyết) chiều cao cây H &gt; 50 cm</v>
          </cell>
        </row>
        <row r="283">
          <cell r="A283" t="str">
            <v>Cây ngọc lan</v>
          </cell>
          <cell r="F283" t="str">
            <v>Cây ngọc lan</v>
          </cell>
        </row>
        <row r="284">
          <cell r="A284" t="str">
            <v>Cây ngọc lan Cây giống mới trồng</v>
          </cell>
          <cell r="F284" t="str">
            <v>Cây ngọc lan Cây giống mới trồng</v>
          </cell>
        </row>
        <row r="285">
          <cell r="A285" t="str">
            <v>Cây ngọc lan chiều cao cây H &lt; 15 cm</v>
          </cell>
          <cell r="F285" t="str">
            <v>Cây ngọc lan chiều cao cây H &lt; 15 cm</v>
          </cell>
        </row>
        <row r="286">
          <cell r="A286" t="str">
            <v>Cây ngọc lan chiều cao cây 15 cm ≤ H &lt; 30 cm</v>
          </cell>
          <cell r="F286" t="str">
            <v>Cây ngọc lan chiều cao cây 15 cm ≤ H &lt; 30 cm</v>
          </cell>
        </row>
        <row r="287">
          <cell r="A287" t="str">
            <v>Cây ngọc lan chiều cao cây 30 cm ≤ H &lt; 45 cm</v>
          </cell>
          <cell r="F287" t="str">
            <v>Cây ngọc lan chiều cao cây 30 cm ≤ H &lt; 45 cm</v>
          </cell>
        </row>
        <row r="288">
          <cell r="A288" t="str">
            <v>Cây ngọc lan chiều cao cây 45 cm ≤ H &lt; 60 cm</v>
          </cell>
          <cell r="F288" t="str">
            <v>Cây ngọc lan chiều cao cây 45 cm ≤ H &lt; 60 cm</v>
          </cell>
        </row>
        <row r="289">
          <cell r="A289" t="str">
            <v>Cây ngọc lan chiều cao cây 60 cm ≤ H &lt; 75 cm</v>
          </cell>
          <cell r="F289" t="str">
            <v>Cây ngọc lan chiều cao cây 60 cm ≤ H &lt; 75 cm</v>
          </cell>
        </row>
        <row r="290">
          <cell r="A290" t="str">
            <v>Cây ngọc lan chiều cao cây 75 cm ≤ H &lt; 90 cm</v>
          </cell>
          <cell r="F290" t="str">
            <v>Cây ngọc lan chiều cao cây 75 cm ≤ H &lt; 90 cm</v>
          </cell>
        </row>
        <row r="291">
          <cell r="A291" t="str">
            <v>Cây ngọc lan chiều cao cây 90 cm ≤ H &lt; 150 cm</v>
          </cell>
          <cell r="F291" t="str">
            <v>Cây ngọc lan chiều cao cây 90 cm ≤ H &lt; 150 cm</v>
          </cell>
        </row>
        <row r="292">
          <cell r="A292" t="str">
            <v>Cây ngọc lan chiều cao cây 150 cm ≤ H &lt; 250 cm</v>
          </cell>
          <cell r="F292" t="str">
            <v>Cây ngọc lan chiều cao cây 150 cm ≤ H &lt; 250 cm</v>
          </cell>
        </row>
        <row r="293">
          <cell r="A293" t="str">
            <v>Cây ngọc lan chiều cao cây H ≥ 250 cm</v>
          </cell>
          <cell r="F293" t="str">
            <v>Cây ngọc lan chiều cao cây H ≥ 250 cm</v>
          </cell>
        </row>
        <row r="294">
          <cell r="A294" t="str">
            <v>Cây hoàng lan</v>
          </cell>
          <cell r="F294" t="str">
            <v>Cây hoàng lan</v>
          </cell>
        </row>
        <row r="295">
          <cell r="A295" t="str">
            <v>Cây hoàng lan Cây giống mới trồng</v>
          </cell>
          <cell r="F295" t="str">
            <v>Cây hoàng lan Cây giống mới trồng</v>
          </cell>
        </row>
        <row r="296">
          <cell r="A296" t="str">
            <v>Cây hoàng lan chiều cao cây H &lt; 15 cm</v>
          </cell>
          <cell r="F296" t="str">
            <v>Cây hoàng lan chiều cao cây H &lt; 15 cm</v>
          </cell>
        </row>
        <row r="297">
          <cell r="A297" t="str">
            <v>Cây hoàng lan chiều cao cây 15 cm ≤ H &lt; 30 cm</v>
          </cell>
          <cell r="F297" t="str">
            <v>Cây hoàng lan chiều cao cây 15 cm ≤ H &lt; 30 cm</v>
          </cell>
        </row>
        <row r="298">
          <cell r="A298" t="str">
            <v>Cây hoàng lan chiều cao cây 30 cm ≤ H &lt; 45 cm</v>
          </cell>
          <cell r="F298" t="str">
            <v>Cây hoàng lan chiều cao cây 30 cm ≤ H &lt; 45 cm</v>
          </cell>
        </row>
        <row r="299">
          <cell r="A299" t="str">
            <v>Cây hoàng lan chiều cao cây 45 cm ≤ H &lt; 60 cm</v>
          </cell>
          <cell r="F299" t="str">
            <v>Cây hoàng lan chiều cao cây 45 cm ≤ H &lt; 60 cm</v>
          </cell>
        </row>
        <row r="300">
          <cell r="A300" t="str">
            <v>Cây hoàng lan chiều cao cây 60 cm ≤ H &lt; 75 cm</v>
          </cell>
          <cell r="F300" t="str">
            <v>Cây hoàng lan chiều cao cây 60 cm ≤ H &lt; 75 cm</v>
          </cell>
        </row>
        <row r="301">
          <cell r="A301" t="str">
            <v>Cây hoàng lan chiều cao cây 75 cm ≤ H &lt; 90 cm</v>
          </cell>
          <cell r="F301" t="str">
            <v>Cây hoàng lan chiều cao cây 75 cm ≤ H &lt; 90 cm</v>
          </cell>
        </row>
        <row r="302">
          <cell r="A302" t="str">
            <v>Cây hoàng lan chiều cao cây 90 cm ≤ H &lt; 150 cm</v>
          </cell>
          <cell r="F302" t="str">
            <v>Cây hoàng lan chiều cao cây 90 cm ≤ H &lt; 150 cm</v>
          </cell>
        </row>
        <row r="303">
          <cell r="A303" t="str">
            <v>Cây hoàng lan chiều cao cây 150 cm ≤ H &lt; 250 cm</v>
          </cell>
          <cell r="F303" t="str">
            <v>Cây hoàng lan chiều cao cây 150 cm ≤ H &lt; 250 cm</v>
          </cell>
        </row>
        <row r="304">
          <cell r="A304" t="str">
            <v>Cây hoàng lan chiều cao cây H ≥ 250 cm</v>
          </cell>
          <cell r="F304" t="str">
            <v>Cây hoàng lan chiều cao cây H ≥ 250 cm</v>
          </cell>
        </row>
        <row r="305">
          <cell r="A305" t="str">
            <v>Cây Chùm ngây</v>
          </cell>
          <cell r="F305" t="str">
            <v>Cây Chùm ngây</v>
          </cell>
        </row>
        <row r="306">
          <cell r="A306" t="str">
            <v>Cây Chùm ngây Cây giống mới trồng</v>
          </cell>
          <cell r="F306" t="str">
            <v>Cây Chùm ngây Cây giống mới trồng</v>
          </cell>
        </row>
        <row r="307">
          <cell r="A307" t="str">
            <v>Cây Chùm ngây chiều cao cây H ≤ 100 cm</v>
          </cell>
          <cell r="F307" t="str">
            <v>Cây Chùm ngây chiều cao cây H ≤ 100 cm</v>
          </cell>
        </row>
        <row r="308">
          <cell r="A308" t="str">
            <v>Cây Chùm ngây chiều cao cây 100 &lt; H ≤ 150 cm</v>
          </cell>
          <cell r="F308" t="str">
            <v>Cây Chùm ngây chiều cao cây 100 &lt; H ≤ 150 cm</v>
          </cell>
        </row>
        <row r="309">
          <cell r="A309" t="str">
            <v>Cây Chùm ngây chiều cao cây H &gt; 150 cm</v>
          </cell>
          <cell r="F309" t="str">
            <v>Cây Chùm ngây chiều cao cây H &gt; 150 cm</v>
          </cell>
        </row>
        <row r="310">
          <cell r="A310" t="str">
            <v>NHÓM CÂY TÍNH THEO ĐƯỜNG KÍNH THÂN, GÔC</v>
          </cell>
          <cell r="F310" t="str">
            <v>NHÓM CÂY TÍNH THEO ĐƯỜNG KÍNH THÂN, GÔC</v>
          </cell>
        </row>
        <row r="311">
          <cell r="A311" t="str">
            <v>Cây bưởi, bòng</v>
          </cell>
          <cell r="F311" t="str">
            <v>Cây bưởi, bòng</v>
          </cell>
        </row>
        <row r="312">
          <cell r="A312" t="str">
            <v>Cây giống đủ tiêu chuẩn mới trồng</v>
          </cell>
          <cell r="F312" t="str">
            <v>Cây giống đủ tiêu chuẩn mới trồng</v>
          </cell>
        </row>
        <row r="313">
          <cell r="A313" t="str">
            <v>Cây bưởi, bòng giống Loại cây ghép có chiều cao cây 40cm ≤ H &lt; 1m</v>
          </cell>
          <cell r="F313" t="str">
            <v>Cây bưởi, bòng giống Loại cây ghép có chiều cao cây 40cm ≤ H &lt; 1m</v>
          </cell>
        </row>
        <row r="314">
          <cell r="A314" t="str">
            <v>Cây bưởi, bòng giống Loại cây ghép có chiều cao cây H ≥ 1m</v>
          </cell>
          <cell r="F314" t="str">
            <v>Cây bưởi, bòng giống Loại cây ghép có chiều cao cây H ≥ 1m</v>
          </cell>
        </row>
        <row r="315">
          <cell r="A315" t="str">
            <v>Cây bưởi, bòng giống Loại cây chiết cành có chiều cao 40cm ≤ H &lt; 1m</v>
          </cell>
          <cell r="F315" t="str">
            <v>Cây bưởi, bòng giống Loại cây chiết cành có chiều cao 40cm ≤ H &lt; 1m</v>
          </cell>
        </row>
        <row r="316">
          <cell r="A316" t="str">
            <v>Cây bưởi, bòng giống Loại cây chiết cành có chiều cao cây H ≥ 1m</v>
          </cell>
          <cell r="F316" t="str">
            <v>Cây bưởi, bòng giống Loại cây chiết cành có chiều cao cây H ≥ 1m</v>
          </cell>
        </row>
        <row r="317">
          <cell r="A317" t="str">
            <v>Cây bưởi, bòng ĐK thân ≤ 5 cm</v>
          </cell>
          <cell r="F317" t="str">
            <v>Cây bưởi, bòng ĐK thân ≤ 5 cm</v>
          </cell>
        </row>
        <row r="318">
          <cell r="A318" t="str">
            <v>Cây bưởi, bòng đường kính thân 5 cm &lt; ĐK thân ≤10 cm</v>
          </cell>
          <cell r="F318" t="str">
            <v>Cây bưởi, bòng đường kính thân 5 cm &lt; ĐK thân ≤10 cm</v>
          </cell>
        </row>
        <row r="319">
          <cell r="A319" t="str">
            <v>Cây bưởi, bòng đường kính thân 10 cm &lt; ĐK thân ≤ 15 cm</v>
          </cell>
          <cell r="F319" t="str">
            <v>Cây bưởi, bòng đường kính thân 10 cm &lt; ĐK thân ≤ 15 cm</v>
          </cell>
        </row>
        <row r="320">
          <cell r="A320" t="str">
            <v>Cây bưởi, bòng đường kính thân 15 cm &lt; ĐK thân ≤ 20 cm</v>
          </cell>
          <cell r="F320" t="str">
            <v>Cây bưởi, bòng đường kính thân 15 cm &lt; ĐK thân ≤ 20 cm</v>
          </cell>
        </row>
        <row r="321">
          <cell r="A321" t="str">
            <v>Cây bưởi, bòng đường kính thân 20 cm &lt; ĐK thân ≤25 cm</v>
          </cell>
          <cell r="F321" t="str">
            <v>Cây bưởi, bòng đường kính thân 20 cm &lt; ĐK thân ≤25 cm</v>
          </cell>
        </row>
        <row r="322">
          <cell r="A322" t="str">
            <v>Cây bưởi, bòng đường kính thân 25 cm &lt; ĐK thân ≤ 30 cm</v>
          </cell>
          <cell r="F322" t="str">
            <v>Cây bưởi, bòng đường kính thân 25 cm &lt; ĐK thân ≤ 30 cm</v>
          </cell>
        </row>
        <row r="323">
          <cell r="A323" t="str">
            <v>Cây bưởi, bòng đường kính thân 30 cm &lt; ĐK thân ≤ 40 cm</v>
          </cell>
          <cell r="F323" t="str">
            <v>Cây bưởi, bòng đường kính thân 30 cm &lt; ĐK thân ≤ 40 cm</v>
          </cell>
        </row>
        <row r="324">
          <cell r="A324" t="str">
            <v>Cây bưởi, bòng ĐK thân &gt; 40 cm</v>
          </cell>
          <cell r="F324" t="str">
            <v>Cây bưởi, bòng ĐK thân &gt; 40 cm</v>
          </cell>
        </row>
        <row r="325">
          <cell r="A325" t="str">
            <v>Cây mít</v>
          </cell>
          <cell r="F325" t="str">
            <v>Cây mít</v>
          </cell>
        </row>
        <row r="326">
          <cell r="A326" t="str">
            <v>Cây mít giống đủ tiêu chuẩn mới trồng</v>
          </cell>
          <cell r="F326" t="str">
            <v>Cây mít giống đủ tiêu chuẩn mới trồng</v>
          </cell>
        </row>
        <row r="327">
          <cell r="A327" t="str">
            <v>Cây mít ĐK thân ≤ 5 cm</v>
          </cell>
          <cell r="F327" t="str">
            <v>Cây mít ĐK thân ≤ 5 cm</v>
          </cell>
        </row>
        <row r="328">
          <cell r="A328" t="str">
            <v>Cây mít đường kính thân 5 cm &lt; ĐK thân ≤ 10 cm</v>
          </cell>
          <cell r="F328" t="str">
            <v>Cây mít đường kính thân 5 cm &lt; ĐK thân ≤ 10 cm</v>
          </cell>
        </row>
        <row r="329">
          <cell r="A329" t="str">
            <v>Cây mít đường kính thân 10 cm &lt; ĐK thân ≤ 15 cm</v>
          </cell>
          <cell r="F329" t="str">
            <v>Cây mít đường kính thân 10 cm &lt; ĐK thân ≤ 15 cm</v>
          </cell>
        </row>
        <row r="330">
          <cell r="A330" t="str">
            <v>Cây mít đường kính thân 15 cm &lt; ĐK thân ≤ 20 cm</v>
          </cell>
          <cell r="F330" t="str">
            <v>Cây mít đường kính thân 15 cm &lt; ĐK thân ≤ 20 cm</v>
          </cell>
        </row>
        <row r="331">
          <cell r="A331" t="str">
            <v>Cây mít đường kính thân 20 cm &lt; ĐK thân ≤ 30 cm</v>
          </cell>
          <cell r="F331" t="str">
            <v>Cây mít đường kính thân 20 cm &lt; ĐK thân ≤ 30 cm</v>
          </cell>
        </row>
        <row r="332">
          <cell r="A332" t="str">
            <v>Cây mít đường kính thân 30 cm &lt; ĐK thân ≤ 40 cm</v>
          </cell>
          <cell r="F332" t="str">
            <v>Cây mít đường kính thân 30 cm &lt; ĐK thân ≤ 40 cm</v>
          </cell>
        </row>
        <row r="333">
          <cell r="A333" t="str">
            <v>Cây mít ĐK thân &gt; 40 cm</v>
          </cell>
          <cell r="F333" t="str">
            <v>Cây mít ĐK thân &gt; 40 cm</v>
          </cell>
        </row>
        <row r="334">
          <cell r="A334" t="str">
            <v>Cây chay</v>
          </cell>
          <cell r="F334" t="str">
            <v>Cây chay</v>
          </cell>
        </row>
        <row r="335">
          <cell r="A335" t="str">
            <v>Cây chay giống đủ tiêu chuẩn mới trồng</v>
          </cell>
          <cell r="F335" t="str">
            <v>Cây chay giống đủ tiêu chuẩn mới trồng</v>
          </cell>
        </row>
        <row r="336">
          <cell r="A336" t="str">
            <v>Cây chay ĐK thân ≤ 5 cm</v>
          </cell>
          <cell r="F336" t="str">
            <v>Cây chay ĐK thân ≤ 5 cm</v>
          </cell>
        </row>
        <row r="337">
          <cell r="A337" t="str">
            <v>Cây chay đường kính thân 5 cm &lt; ĐK thân ≤ 10 cm</v>
          </cell>
          <cell r="F337" t="str">
            <v>Cây chay đường kính thân 5 cm &lt; ĐK thân ≤ 10 cm</v>
          </cell>
        </row>
        <row r="338">
          <cell r="A338" t="str">
            <v>Cây chay đường kính thân 10 cm &lt; ĐK thân ≤ 15 cm</v>
          </cell>
          <cell r="F338" t="str">
            <v>Cây chay đường kính thân 10 cm &lt; ĐK thân ≤ 15 cm</v>
          </cell>
        </row>
        <row r="339">
          <cell r="A339" t="str">
            <v>Cây chay đường kính thân 15 cm &lt; ĐK thân ≤ 20 cm</v>
          </cell>
          <cell r="F339" t="str">
            <v>Cây chay đường kính thân 15 cm &lt; ĐK thân ≤ 20 cm</v>
          </cell>
        </row>
        <row r="340">
          <cell r="A340" t="str">
            <v>Cây chay đường kính thân 20 cm &lt; ĐK thân ≤ 30 cm</v>
          </cell>
          <cell r="F340" t="str">
            <v>Cây chay đường kính thân 20 cm &lt; ĐK thân ≤ 30 cm</v>
          </cell>
        </row>
        <row r="341">
          <cell r="A341" t="str">
            <v>Cây chay đường kính thân 30 cm &lt; ĐK thân ≤ 40 cm</v>
          </cell>
          <cell r="F341" t="str">
            <v>Cây chay đường kính thân 30 cm &lt; ĐK thân ≤ 40 cm</v>
          </cell>
        </row>
        <row r="342">
          <cell r="A342" t="str">
            <v>Cây chay ĐK thân &gt; 40 cm</v>
          </cell>
          <cell r="F342" t="str">
            <v>Cây chay ĐK thân &gt; 40 cm</v>
          </cell>
        </row>
        <row r="343">
          <cell r="A343" t="str">
            <v>Cây táo</v>
          </cell>
          <cell r="F343" t="str">
            <v>Cây táo</v>
          </cell>
        </row>
        <row r="344">
          <cell r="A344" t="str">
            <v>Cây táo giống đủ tiêu chuẩn mới trồng Loại cây ghép có chiều cao cây 40cm ≤ H &lt; 1m</v>
          </cell>
          <cell r="F344" t="str">
            <v>Cây táo giống đủ tiêu chuẩn mới trồng Loại cây ghép có chiều cao cây 40cm ≤ H &lt; 1m</v>
          </cell>
        </row>
        <row r="345">
          <cell r="A345" t="str">
            <v>Cây táo loại cây ghép có chiều cao cây H ≥  1m</v>
          </cell>
          <cell r="F345" t="str">
            <v>Cây táo loại cây ghép có chiều cao cây H ≥  1m</v>
          </cell>
        </row>
        <row r="346">
          <cell r="A346" t="str">
            <v>Cây táo ĐK thân ≤ 5 cm</v>
          </cell>
          <cell r="F346" t="str">
            <v>Cây táo ĐK thân ≤ 5 cm</v>
          </cell>
        </row>
        <row r="347">
          <cell r="A347" t="str">
            <v>Cây táo đường kính thân 5 cm &lt; ĐK thân ≤ 7 cm</v>
          </cell>
          <cell r="F347" t="str">
            <v>Cây táo đường kính thân 5 cm &lt; ĐK thân ≤ 7 cm</v>
          </cell>
        </row>
        <row r="348">
          <cell r="A348" t="str">
            <v>Cây táo đường kính thân 7 cm &lt; ĐK thân ≤ 11 cm</v>
          </cell>
          <cell r="F348" t="str">
            <v>Cây táo đường kính thân 7 cm &lt; ĐK thân ≤ 11 cm</v>
          </cell>
        </row>
        <row r="349">
          <cell r="A349" t="str">
            <v>Cây táo đường kính thân 11 cm &lt; ĐK thân ≤ 15 cm</v>
          </cell>
          <cell r="F349" t="str">
            <v>Cây táo đường kính thân 11 cm &lt; ĐK thân ≤ 15 cm</v>
          </cell>
        </row>
        <row r="350">
          <cell r="A350" t="str">
            <v>Cây táo đường kính thân 15 cm &lt; ĐK thân ≤ 20 cm</v>
          </cell>
          <cell r="F350" t="str">
            <v>Cây táo đường kính thân 15 cm &lt; ĐK thân ≤ 20 cm</v>
          </cell>
        </row>
        <row r="351">
          <cell r="A351" t="str">
            <v>Cây táo đường kính thân 20 cm &lt; ĐK thân ≤ 25 cm</v>
          </cell>
          <cell r="F351" t="str">
            <v>Cây táo đường kính thân 20 cm &lt; ĐK thân ≤ 25 cm</v>
          </cell>
        </row>
        <row r="352">
          <cell r="A352" t="str">
            <v>Cây táo ĐK thân &gt; 25 cm</v>
          </cell>
          <cell r="F352" t="str">
            <v>Cây táo ĐK thân &gt; 25 cm</v>
          </cell>
        </row>
        <row r="353">
          <cell r="A353" t="str">
            <v>Cây xoài, cây quéo</v>
          </cell>
          <cell r="F353" t="str">
            <v>Cây xoài, cây quéo</v>
          </cell>
        </row>
        <row r="354">
          <cell r="A354" t="str">
            <v>Cây xoài giống đủ tiêu chuẩn mới trồng, chiều cao cây H ≥ 40cm</v>
          </cell>
          <cell r="F354" t="str">
            <v>Cây xoài giống đủ tiêu chuẩn mới trồng, chiều cao cây H ≥ 40cm</v>
          </cell>
        </row>
        <row r="355">
          <cell r="A355" t="str">
            <v>Cây xoài ĐK thân ≤ 5 cm</v>
          </cell>
          <cell r="F355" t="str">
            <v>Cây xoài ĐK thân ≤ 5 cm</v>
          </cell>
        </row>
        <row r="356">
          <cell r="A356" t="str">
            <v>Cây xoài đường kính thân 5 cm &lt; ĐK thân ≤ 10 cm</v>
          </cell>
          <cell r="F356" t="str">
            <v>Cây xoài đường kính thân 5 cm &lt; ĐK thân ≤ 10 cm</v>
          </cell>
        </row>
        <row r="357">
          <cell r="A357" t="str">
            <v>Cây xoài đường kính thân 10 cm &lt;ĐK thân ≤ 15 cm</v>
          </cell>
          <cell r="F357" t="str">
            <v>Cây xoài đường kính thân 10 cm &lt;ĐK thân ≤ 15 cm</v>
          </cell>
        </row>
        <row r="358">
          <cell r="A358" t="str">
            <v>Cây xoài đường kính thân 15 cm &lt; ĐK thân ≤ 20 cm</v>
          </cell>
          <cell r="F358" t="str">
            <v>Cây xoài đường kính thân 15 cm &lt; ĐK thân ≤ 20 cm</v>
          </cell>
        </row>
        <row r="359">
          <cell r="A359" t="str">
            <v>Cây xoài đường kính thân 20 cm &lt; ĐK thân ≤ 30 cm</v>
          </cell>
          <cell r="F359" t="str">
            <v>Cây xoài đường kính thân 20 cm &lt; ĐK thân ≤ 30 cm</v>
          </cell>
        </row>
        <row r="360">
          <cell r="A360" t="str">
            <v>Cây xoài đường kính thân 30 cm &lt; ĐK thân ≤ 40 cm</v>
          </cell>
          <cell r="F360" t="str">
            <v>Cây xoài đường kính thân 30 cm &lt; ĐK thân ≤ 40 cm</v>
          </cell>
        </row>
        <row r="361">
          <cell r="A361" t="str">
            <v>Cây xoài ĐK thân &gt; 40 cm</v>
          </cell>
          <cell r="F361" t="str">
            <v>Cây xoài ĐK thân &gt; 40 cm</v>
          </cell>
        </row>
        <row r="362">
          <cell r="A362" t="str">
            <v>Cây vú sữa</v>
          </cell>
          <cell r="F362" t="str">
            <v>Cây vú sữa</v>
          </cell>
        </row>
        <row r="363">
          <cell r="A363" t="str">
            <v>Cây vú sữa giống đủ tiêu chuẩn mới trồng, chiều cao cây H ≥ 40cm</v>
          </cell>
          <cell r="F363">
            <v>0</v>
          </cell>
        </row>
        <row r="364">
          <cell r="A364" t="str">
            <v>Cây vú sữa ĐK thân ≤5 cm</v>
          </cell>
          <cell r="F364" t="str">
            <v>Cây vú sữa ĐK thân ≤5 cm</v>
          </cell>
        </row>
        <row r="365">
          <cell r="A365" t="str">
            <v>Cây vú sữa đường kính thân 5 cm &lt; ĐK thân  ≤ 10 cm</v>
          </cell>
          <cell r="F365" t="str">
            <v>Cây vú sữa đường kính thân 5 cm &lt; ĐK thân  ≤ 10 cm</v>
          </cell>
        </row>
        <row r="366">
          <cell r="A366" t="str">
            <v>Cây vú sữa đường kính thân 10 cm &lt; ĐK thân  ≤ 15 cm</v>
          </cell>
          <cell r="F366" t="str">
            <v>Cây vú sữa đường kính thân 10 cm &lt; ĐK thân  ≤ 15 cm</v>
          </cell>
        </row>
        <row r="367">
          <cell r="A367" t="str">
            <v>Cây vú sữa đường kính thân 15 cm &lt; ĐK thân  ≤ 20 cm</v>
          </cell>
          <cell r="F367" t="str">
            <v>Cây vú sữa đường kính thân 15 cm &lt; ĐK thân  ≤ 20 cm</v>
          </cell>
        </row>
        <row r="368">
          <cell r="A368" t="str">
            <v>Cây vú sữa đường kính thân 20 cm &lt; ĐK thân  ≤ 30 cm</v>
          </cell>
          <cell r="F368" t="str">
            <v>Cây vú sữa đường kính thân 20 cm &lt; ĐK thân  ≤ 30 cm</v>
          </cell>
        </row>
        <row r="369">
          <cell r="A369" t="str">
            <v>Cây vú sữa ĐK thân &gt; 30 cm</v>
          </cell>
          <cell r="F369" t="str">
            <v>Cây vú sữa ĐK thân &gt; 30 cm</v>
          </cell>
        </row>
        <row r="370">
          <cell r="A370" t="str">
            <v>Cây vú sữa hoàng kim</v>
          </cell>
          <cell r="F370" t="str">
            <v>Cây vú sữa hoàng kim</v>
          </cell>
        </row>
        <row r="371">
          <cell r="A371" t="str">
            <v>Cây vú sữa hoàng kim ĐK thân  ≤ 5 cm</v>
          </cell>
          <cell r="F371" t="str">
            <v>Cây vú sữa hoàng kim ĐK thân  ≤ 5 cm</v>
          </cell>
        </row>
        <row r="372">
          <cell r="A372" t="str">
            <v>Cây vú sữa hoàng kim đường kính thân 5 cm &lt; ĐK thân  ≤ 10 cm</v>
          </cell>
          <cell r="F372" t="str">
            <v>Cây vú sữa hoàng kim đường kính thân 5 cm &lt; ĐK thân  ≤ 10 cm</v>
          </cell>
        </row>
        <row r="373">
          <cell r="A373" t="str">
            <v>Cây vú sữa hoàng kim đường kính thân 10 cm &lt; ĐK thân  ≤ 15 cm</v>
          </cell>
          <cell r="F373" t="str">
            <v>Cây vú sữa hoàng kim đường kính thân 10 cm &lt; ĐK thân  ≤ 15 cm</v>
          </cell>
        </row>
        <row r="374">
          <cell r="A374" t="str">
            <v>Cây vú sữa hoàng kim đường kính thân 15 cm &lt; ĐK thân  ≤ 20 cm</v>
          </cell>
          <cell r="F374" t="str">
            <v>Cây vú sữa hoàng kim đường kính thân 15 cm &lt; ĐK thân  ≤ 20 cm</v>
          </cell>
        </row>
        <row r="375">
          <cell r="A375" t="str">
            <v>Cây vú sữa hoàng kim đường kính thân 20 cm &lt; ĐK thân  ≤ 30 cm</v>
          </cell>
          <cell r="F375" t="str">
            <v>Cây vú sữa hoàng kim đường kính thân 20 cm &lt; ĐK thân  ≤ 30 cm</v>
          </cell>
        </row>
        <row r="376">
          <cell r="A376" t="str">
            <v>Cây vú sữa hoàng kim ĐK thân &gt;30 cm</v>
          </cell>
          <cell r="F376" t="str">
            <v>Cây vú sữa hoàng kim ĐK thân &gt;30 cm</v>
          </cell>
        </row>
        <row r="377">
          <cell r="A377" t="str">
            <v>Cây na (na dai, na bở)</v>
          </cell>
          <cell r="F377" t="str">
            <v>Cây na (na dai, na bở)</v>
          </cell>
        </row>
        <row r="378">
          <cell r="A378" t="str">
            <v>Cây na giống đủ tiêu chuẩn mới trồng, chiều cao cây H ≥ 40cm</v>
          </cell>
          <cell r="F378" t="str">
            <v>Cây na giống đủ tiêu chuẩn mới trồng, chiều cao cây H ≥ 40cm</v>
          </cell>
        </row>
        <row r="379">
          <cell r="A379" t="str">
            <v>Cây na ĐK thân ≤ 3 cm</v>
          </cell>
          <cell r="F379" t="str">
            <v>Cây na ĐK thân ≤ 3 cm</v>
          </cell>
        </row>
        <row r="380">
          <cell r="A380" t="str">
            <v>Cây na đường kính thân 3 cm &lt; ĐK thân ≤ 5 cm</v>
          </cell>
          <cell r="F380" t="str">
            <v>Cây na đường kính thân 3 cm &lt; ĐK thân ≤ 5 cm</v>
          </cell>
        </row>
        <row r="381">
          <cell r="A381" t="str">
            <v>Cây na đường kính thân 5 cm &lt; ĐK thân ≤ 7 cm</v>
          </cell>
          <cell r="F381" t="str">
            <v>Cây na đường kính thân 5 cm &lt; ĐK thân ≤ 7 cm</v>
          </cell>
        </row>
        <row r="382">
          <cell r="A382" t="str">
            <v>Cây na đường kính thân 7 cm &lt; ĐK thân ≤ 10 cm</v>
          </cell>
          <cell r="F382" t="str">
            <v>Cây na đường kính thân 7 cm &lt; ĐK thân ≤ 10 cm</v>
          </cell>
        </row>
        <row r="383">
          <cell r="A383" t="str">
            <v>Cây na ĐK thân &gt; 10 cm</v>
          </cell>
          <cell r="F383" t="str">
            <v>Cây na ĐK thân &gt; 10 cm</v>
          </cell>
        </row>
        <row r="384">
          <cell r="A384" t="str">
            <v>Cây khế</v>
          </cell>
          <cell r="F384" t="str">
            <v>Cây khế</v>
          </cell>
        </row>
        <row r="385">
          <cell r="A385" t="str">
            <v>Cây khế giống Loại cây ghép có chiều cao cây 40cm ≤ H &lt; 1m</v>
          </cell>
          <cell r="F385">
            <v>0</v>
          </cell>
        </row>
        <row r="386">
          <cell r="A386" t="str">
            <v>Cây khế giống Loại cây ghép có chiều cao cây H ≥ 1m</v>
          </cell>
          <cell r="F386" t="str">
            <v>Cây khế giống Loại cây ghép có chiều cao cây H ≥ 1m</v>
          </cell>
        </row>
        <row r="387">
          <cell r="A387" t="str">
            <v>Cây khế ĐK thân ≤ 5 cm</v>
          </cell>
          <cell r="F387" t="str">
            <v>Cây khế ĐK thân ≤ 5 cm</v>
          </cell>
        </row>
        <row r="388">
          <cell r="A388" t="str">
            <v>Cây khế đường kính thân 5 cm &lt; ĐK thân ≤ 10 cm</v>
          </cell>
          <cell r="F388" t="str">
            <v>Cây khế đường kính thân 5 cm &lt; ĐK thân ≤ 10 cm</v>
          </cell>
        </row>
        <row r="389">
          <cell r="A389" t="str">
            <v>Cây khế đường kính thân 10 cm &lt; ĐK thân ≤ 15 cm</v>
          </cell>
          <cell r="F389" t="str">
            <v>Cây khế đường kính thân 10 cm &lt; ĐK thân ≤ 15 cm</v>
          </cell>
        </row>
        <row r="390">
          <cell r="A390" t="str">
            <v>Cây khế đường kính thân 15 cm &lt; ĐK thân ≤ 20 cm</v>
          </cell>
          <cell r="F390" t="str">
            <v>Cây khế đường kính thân 15 cm &lt; ĐK thân ≤ 20 cm</v>
          </cell>
        </row>
        <row r="391">
          <cell r="A391" t="str">
            <v>Cây khế đường kính thân 20 cm &lt; ĐK thân ≤ 25 cm</v>
          </cell>
          <cell r="F391" t="str">
            <v>Cây khế đường kính thân 20 cm &lt; ĐK thân ≤ 25 cm</v>
          </cell>
        </row>
        <row r="392">
          <cell r="A392" t="str">
            <v>Cây khế ĐK thân &gt; 25 cm</v>
          </cell>
          <cell r="F392" t="str">
            <v>Cây khế ĐK thân &gt; 25 cm</v>
          </cell>
        </row>
        <row r="393">
          <cell r="A393" t="str">
            <v>Cây ổi</v>
          </cell>
          <cell r="F393" t="str">
            <v>Cây ổi</v>
          </cell>
        </row>
        <row r="394">
          <cell r="A394" t="str">
            <v>Cây ổi giống Loại cây ghép có chiều cao cây 40cm ≤ H &lt; 1m</v>
          </cell>
          <cell r="F394">
            <v>0</v>
          </cell>
        </row>
        <row r="395">
          <cell r="A395" t="str">
            <v>Cây ổi giống Loại cây ghép có chiều cao cây H ≥ 1m</v>
          </cell>
          <cell r="F395" t="str">
            <v>Cây ổi giống Loại cây ghép có chiều cao cây H ≥ 1m</v>
          </cell>
        </row>
        <row r="396">
          <cell r="A396" t="str">
            <v>Cây ổi giống Loại cây chiết có chiều cao cây 40cm ≤ H &lt; 1 m</v>
          </cell>
          <cell r="F396" t="str">
            <v>Cây ổi giống Loại cây chiết có chiều cao cây 40cm ≤ H &lt; 1 m</v>
          </cell>
        </row>
        <row r="397">
          <cell r="A397" t="str">
            <v>Cây ổi ĐK thân ≤ 5 cm</v>
          </cell>
          <cell r="F397" t="str">
            <v>Cây ổi ĐK thân ≤ 5 cm</v>
          </cell>
        </row>
        <row r="398">
          <cell r="A398" t="str">
            <v>Cây ổi đường kính thân 5 cm &lt; ĐK thân ≤ 10 cm</v>
          </cell>
          <cell r="F398" t="str">
            <v>Cây ổi đường kính thân 5 cm &lt; ĐK thân ≤ 10 cm</v>
          </cell>
        </row>
        <row r="399">
          <cell r="A399" t="str">
            <v>Cây ổi đường kính thân 10 cm &lt; ĐK thân ≤ 15 cm</v>
          </cell>
          <cell r="F399" t="str">
            <v>Cây ổi đường kính thân 10 cm &lt; ĐK thân ≤ 15 cm</v>
          </cell>
        </row>
        <row r="400">
          <cell r="A400" t="str">
            <v>Cây ổi đường kính thân 15 cm &lt; ĐK thân ≤ 20 cm</v>
          </cell>
          <cell r="F400" t="str">
            <v>Cây ổi đường kính thân 15 cm &lt; ĐK thân ≤ 20 cm</v>
          </cell>
        </row>
        <row r="401">
          <cell r="A401" t="str">
            <v>Cây ổi ĐK thân &gt; 20 cm</v>
          </cell>
          <cell r="F401" t="str">
            <v>Cây ổi ĐK thân &gt; 20 cm</v>
          </cell>
        </row>
        <row r="402">
          <cell r="A402" t="str">
            <v>Cây nhãn</v>
          </cell>
          <cell r="F402" t="str">
            <v>Cây nhãn</v>
          </cell>
        </row>
        <row r="403">
          <cell r="A403" t="str">
            <v>Cây nhãn giống Loại cây ghép có chiều cao cây 40cm ≤ H &lt; 1m</v>
          </cell>
          <cell r="F403">
            <v>0</v>
          </cell>
        </row>
        <row r="404">
          <cell r="A404" t="str">
            <v>Cây nhãn giống Loại cây ghép có chiều cao cây H ≥ 1m</v>
          </cell>
          <cell r="F404" t="str">
            <v>Cây nhãn giống Loại cây ghép có chiều cao cây H ≥ 1m</v>
          </cell>
        </row>
        <row r="405">
          <cell r="A405" t="str">
            <v>Cây nhãn giống Loại cây chiết cành có chiều cao 40cm  ≤ H &lt; 1m</v>
          </cell>
          <cell r="F405" t="str">
            <v>Cây nhãn giống Loại cây chiết cành có chiều cao 40cm  ≤ H &lt; 1m</v>
          </cell>
        </row>
        <row r="406">
          <cell r="A406" t="str">
            <v>Cây nhãn giống Loại cây chiết cành có chiều cao cây H ≥ 1m</v>
          </cell>
          <cell r="F406" t="str">
            <v>Cây nhãn giống Loại cây chiết cành có chiều cao cây H ≥ 1m</v>
          </cell>
        </row>
        <row r="407">
          <cell r="A407" t="str">
            <v>Cây nhãn ĐK thân ≤ 5 cm</v>
          </cell>
          <cell r="F407" t="str">
            <v>Cây nhãn ĐK thân ≤ 5 cm</v>
          </cell>
        </row>
        <row r="408">
          <cell r="A408" t="str">
            <v>Cây nhãn đường kính thân 5 cm &lt; ĐK thân ≤ 10cm</v>
          </cell>
          <cell r="F408" t="str">
            <v>Cây nhãn đường kính thân 5 cm &lt; ĐK thân ≤ 10cm</v>
          </cell>
        </row>
        <row r="409">
          <cell r="A409" t="str">
            <v>Cây nhãn đường kính thân 10 cm &lt; ĐK thân ≤ 15 cm</v>
          </cell>
          <cell r="F409" t="str">
            <v>Cây nhãn đường kính thân 10 cm &lt; ĐK thân ≤ 15 cm</v>
          </cell>
        </row>
        <row r="410">
          <cell r="A410" t="str">
            <v>Cây nhãn đường kính thân 15 cm &lt; ĐK thân ≤ 20 cm</v>
          </cell>
          <cell r="F410" t="str">
            <v>Cây nhãn đường kính thân 15 cm &lt; ĐK thân ≤ 20 cm</v>
          </cell>
        </row>
        <row r="411">
          <cell r="A411" t="str">
            <v>Cây nhãn đường kính thân 20 cm &lt; ĐK thân ≤ 25 cm</v>
          </cell>
          <cell r="F411" t="str">
            <v>Cây nhãn đường kính thân 20 cm &lt; ĐK thân ≤ 25 cm</v>
          </cell>
        </row>
        <row r="412">
          <cell r="A412" t="str">
            <v>Cây nhãn đường kính thân 25 cm &lt; ĐK thân ≤ 30 cm</v>
          </cell>
          <cell r="F412" t="str">
            <v>Cây nhãn đường kính thân 25 cm &lt; ĐK thân ≤ 30 cm</v>
          </cell>
        </row>
        <row r="413">
          <cell r="A413" t="str">
            <v>Cây nhãn đường kính thân 30 cm &lt; ĐK thân ≤ 40 cm</v>
          </cell>
          <cell r="F413" t="str">
            <v>Cây nhãn đường kính thân 30 cm &lt; ĐK thân ≤ 40 cm</v>
          </cell>
        </row>
        <row r="414">
          <cell r="A414" t="str">
            <v>Cây nhãn ĐK thân &gt; 40 cm</v>
          </cell>
          <cell r="F414" t="str">
            <v>Cây nhãn ĐK thân &gt; 40 cm</v>
          </cell>
        </row>
        <row r="415">
          <cell r="A415" t="str">
            <v>Cây vải</v>
          </cell>
          <cell r="F415" t="str">
            <v>Cây vải</v>
          </cell>
        </row>
        <row r="416">
          <cell r="A416" t="str">
            <v>Cây vải giống Loại cây ghép có chiều cao cây 40cm ≤ H &lt; 1m</v>
          </cell>
          <cell r="F416">
            <v>0</v>
          </cell>
        </row>
        <row r="417">
          <cell r="A417" t="str">
            <v>Cây vải giống Loại cây ghép có chiều cao cây H ≥ 1m</v>
          </cell>
          <cell r="F417" t="str">
            <v>Cây vải giống Loại cây ghép có chiều cao cây H ≥ 1m</v>
          </cell>
        </row>
        <row r="418">
          <cell r="A418" t="str">
            <v>Cây vải giống Loại cây chiết cành có chiều cao 40cm  ≤ H &lt; 1m</v>
          </cell>
          <cell r="F418" t="str">
            <v>Cây vải giống Loại cây chiết cành có chiều cao 40cm  ≤ H &lt; 1m</v>
          </cell>
        </row>
        <row r="419">
          <cell r="A419" t="str">
            <v>Cây vải giống Loại cây chiết cành có chiều cao cây H ≥ 1m</v>
          </cell>
          <cell r="F419" t="str">
            <v>Cây vải giống Loại cây chiết cành có chiều cao cây H ≥ 1m</v>
          </cell>
        </row>
        <row r="420">
          <cell r="A420" t="str">
            <v>Cây vải ĐK thân ≤ 5 cm</v>
          </cell>
          <cell r="F420" t="str">
            <v>Cây vải ĐK thân ≤ 5 cm</v>
          </cell>
        </row>
        <row r="421">
          <cell r="A421" t="str">
            <v>Cây vải đường kính thân 5 cm &lt; ĐK thân ≤ 10cm</v>
          </cell>
          <cell r="F421" t="str">
            <v>Cây vải đường kính thân 5 cm &lt; ĐK thân ≤ 10cm</v>
          </cell>
        </row>
        <row r="422">
          <cell r="A422" t="str">
            <v>Cây vải đường kính thân 10 cm &lt; ĐK thân ≤ 15 cm</v>
          </cell>
          <cell r="F422" t="str">
            <v>Cây vải đường kính thân 10 cm &lt; ĐK thân ≤ 15 cm</v>
          </cell>
        </row>
        <row r="423">
          <cell r="A423" t="str">
            <v>Cây vải đường kính thân 15 cm &lt; ĐK thân ≤ 20 cm</v>
          </cell>
          <cell r="F423" t="str">
            <v>Cây vải đường kính thân 15 cm &lt; ĐK thân ≤ 20 cm</v>
          </cell>
        </row>
        <row r="424">
          <cell r="A424" t="str">
            <v>Cây vải đường kính thân 20 cm &lt; ĐK thân ≤ 25 cm</v>
          </cell>
          <cell r="F424" t="str">
            <v>Cây vải đường kính thân 20 cm &lt; ĐK thân ≤ 25 cm</v>
          </cell>
        </row>
        <row r="425">
          <cell r="A425" t="str">
            <v>Cây vải đường kính thân 25 cm &lt; ĐK thân ≤ 30 cm</v>
          </cell>
          <cell r="F425" t="str">
            <v>Cây vải đường kính thân 25 cm &lt; ĐK thân ≤ 30 cm</v>
          </cell>
        </row>
        <row r="426">
          <cell r="A426" t="str">
            <v>Cây vải đường kính thân 30 cm &lt; ĐK thân ≤ 40 cm</v>
          </cell>
          <cell r="F426" t="str">
            <v>Cây vải đường kính thân 30 cm &lt; ĐK thân ≤ 40 cm</v>
          </cell>
        </row>
        <row r="427">
          <cell r="A427" t="str">
            <v>Cây vải ĐK thân &gt; 40 cm</v>
          </cell>
          <cell r="F427" t="str">
            <v>Cây vải ĐK thân &gt; 40 cm</v>
          </cell>
        </row>
        <row r="428">
          <cell r="A428" t="str">
            <v>Cây đu đủ</v>
          </cell>
          <cell r="F428" t="str">
            <v>Cây vải</v>
          </cell>
        </row>
        <row r="429">
          <cell r="A429" t="str">
            <v>Cây đu đủ giống đủ tiêu chuẩn mới trồng, chiều cao cây H ≥ 40cm</v>
          </cell>
          <cell r="F429" t="str">
            <v>Cây đu đủ giống đủ tiêu chuẩn mới trồng, chiều cao cây H ≥ 40cm</v>
          </cell>
        </row>
        <row r="430">
          <cell r="A430" t="str">
            <v>Cây đu đủ ĐK thân ≤ 3 cm</v>
          </cell>
          <cell r="F430" t="str">
            <v>Cây đu đủ ĐK thân ≤ 3 cm</v>
          </cell>
        </row>
        <row r="431">
          <cell r="A431" t="str">
            <v>Cây đu đủ đường kính thân 3 cm &lt; ĐK thân ≤ 7 cm</v>
          </cell>
          <cell r="F431" t="str">
            <v>Cây đu đủ đường kính thân 3 cm &lt; ĐK thân ≤ 7 cm</v>
          </cell>
        </row>
        <row r="432">
          <cell r="A432" t="str">
            <v>Cây đu đủ đường kính thân 7 cm &lt; ĐK thân ≤ 10 cm</v>
          </cell>
          <cell r="F432" t="str">
            <v>Cây đu đủ đường kính thân 7 cm &lt; ĐK thân ≤ 10 cm</v>
          </cell>
        </row>
        <row r="433">
          <cell r="A433" t="str">
            <v>Cây đu đủ đường kính thân ĐK thân &gt; 10 cm</v>
          </cell>
          <cell r="F433" t="str">
            <v>Cây đu đủ đường kính thân ĐK thân &gt; 10 cm</v>
          </cell>
        </row>
        <row r="434">
          <cell r="A434" t="str">
            <v>Cây trứng gà</v>
          </cell>
          <cell r="F434" t="str">
            <v>Cây trứng gà</v>
          </cell>
        </row>
        <row r="435">
          <cell r="A435" t="str">
            <v>Cây trứng gà giống đủ tiêu chuẩn mới trồng, chiều cao cây H  ≥ 40cm</v>
          </cell>
          <cell r="F435" t="str">
            <v>Cây trứng gà giống đủ tiêu chuẩn mới trồng, chiều cao cây H  ≥ 40cm</v>
          </cell>
        </row>
        <row r="436">
          <cell r="A436" t="str">
            <v>Cây trứng gà ĐK thân ≤5 cm</v>
          </cell>
          <cell r="F436" t="str">
            <v>Cây trứng gà ĐK thân ≤5 cm</v>
          </cell>
        </row>
        <row r="437">
          <cell r="A437" t="str">
            <v>Cây trứng gà đường kính thân 5 cm &lt; ĐK thân ≤ 10 cm</v>
          </cell>
          <cell r="F437" t="str">
            <v>Cây trứng gà đường kính thân 5 cm &lt; ĐK thân ≤ 10 cm</v>
          </cell>
        </row>
        <row r="438">
          <cell r="A438" t="str">
            <v>Cây trứng gà đường kính thân 10 cm &lt; ĐK thân ≤ 15 cm</v>
          </cell>
          <cell r="F438" t="str">
            <v>Cây trứng gà đường kính thân 10 cm &lt; ĐK thân ≤ 15 cm</v>
          </cell>
        </row>
        <row r="439">
          <cell r="A439" t="str">
            <v>Cây trứng gà đường kính thân 15 cm &lt; ĐK thân ≤ 20 cm</v>
          </cell>
          <cell r="F439" t="str">
            <v>Cây trứng gà đường kính thân 15 cm &lt; ĐK thân ≤ 20 cm</v>
          </cell>
        </row>
        <row r="440">
          <cell r="A440" t="str">
            <v>Cây trứng gà đường kính thân 20 cm &lt; ĐK thân ≤ 25 cm</v>
          </cell>
          <cell r="F440" t="str">
            <v>Cây trứng gà đường kính thân 20 cm &lt; ĐK thân ≤ 25 cm</v>
          </cell>
        </row>
        <row r="441">
          <cell r="A441" t="str">
            <v>Cây trứng gà ĐK thân &gt; 25 cm</v>
          </cell>
          <cell r="F441" t="str">
            <v>Cây trứng gà ĐK thân &gt; 25 cm</v>
          </cell>
        </row>
        <row r="442">
          <cell r="A442" t="str">
            <v>Cây dừa</v>
          </cell>
          <cell r="F442" t="str">
            <v>Cây dừa</v>
          </cell>
        </row>
        <row r="443">
          <cell r="A443" t="str">
            <v>Cây dừa giống đủ tiêu chuẩn mới trồng</v>
          </cell>
          <cell r="F443" t="str">
            <v>Cây dừa giống đủ tiêu chuẩn mới trồng</v>
          </cell>
        </row>
        <row r="444">
          <cell r="A444" t="str">
            <v>Cây dừa ĐK thân ≤ 10 cm</v>
          </cell>
          <cell r="F444" t="str">
            <v>Cây dừa ĐK thân ≤ 10 cm</v>
          </cell>
        </row>
        <row r="445">
          <cell r="A445" t="str">
            <v>Cây dừa đường kính thân 10 cm &lt; ĐK thân ≤ 15 cm</v>
          </cell>
          <cell r="F445" t="str">
            <v>Cây dừa đường kính thân 10 cm &lt; ĐK thân ≤ 15 cm</v>
          </cell>
        </row>
        <row r="446">
          <cell r="A446" t="str">
            <v>Cây dừa đường kính thân 15 cm &lt; ĐK thân ≤ 25 cm</v>
          </cell>
          <cell r="F446" t="str">
            <v>Cây dừa đường kính thân 15 cm &lt; ĐK thân ≤ 25 cm</v>
          </cell>
        </row>
        <row r="447">
          <cell r="A447" t="str">
            <v>Cây dừa đường kính thân 25 cm &lt; ĐK thân ≤ 40 cm</v>
          </cell>
          <cell r="F447" t="str">
            <v>Cây dừa đường kính thân 25 cm &lt; ĐK thân ≤ 40 cm</v>
          </cell>
        </row>
        <row r="448">
          <cell r="A448" t="str">
            <v>Cây dừa đường kính thân 40 cm &lt; ĐK thân ≤ 55 cm</v>
          </cell>
          <cell r="F448" t="str">
            <v>Cây dừa đường kính thân 40 cm &lt; ĐK thân ≤ 55 cm</v>
          </cell>
        </row>
        <row r="449">
          <cell r="A449" t="str">
            <v>Cây dừa ĐK thân &gt; 55 cm</v>
          </cell>
          <cell r="F449" t="str">
            <v>Cây dừa ĐK thân &gt; 55 cm</v>
          </cell>
        </row>
        <row r="450">
          <cell r="A450" t="str">
            <v>Cây me</v>
          </cell>
          <cell r="F450" t="str">
            <v>Cây me</v>
          </cell>
        </row>
        <row r="451">
          <cell r="A451" t="str">
            <v>Cây me giống đủ tiêu chuẩn mới trồng, chiều cao cây H  ≥ 40cm</v>
          </cell>
          <cell r="F451" t="str">
            <v>Cây me giống đủ tiêu chuẩn mới trồng, chiều cao cây H  ≥ 40cm</v>
          </cell>
        </row>
        <row r="452">
          <cell r="A452" t="str">
            <v>Cây me ĐK thân ≤ 5 cm</v>
          </cell>
          <cell r="F452" t="str">
            <v>Cây me ĐK thân ≤ 5 cm</v>
          </cell>
        </row>
        <row r="453">
          <cell r="A453" t="str">
            <v>Cây me đường kính thân 5 cm &lt; ĐK thân ≤ 10 cm</v>
          </cell>
          <cell r="F453" t="str">
            <v>Cây me đường kính thân 5 cm &lt; ĐK thân ≤ 10 cm</v>
          </cell>
        </row>
        <row r="454">
          <cell r="A454" t="str">
            <v>Cây me đường kính thân 10 cm &lt; ĐK thân ≤ 20 cm</v>
          </cell>
          <cell r="F454" t="str">
            <v>Cây me đường kính thân 10 cm &lt; ĐK thân ≤ 20 cm</v>
          </cell>
        </row>
        <row r="455">
          <cell r="A455" t="str">
            <v>Cây me đường kính thân 20 cm &lt; ĐK thân ≤ 30 cm</v>
          </cell>
          <cell r="F455" t="str">
            <v>Cây me đường kính thân 20 cm &lt; ĐK thân ≤ 30 cm</v>
          </cell>
        </row>
        <row r="456">
          <cell r="A456" t="str">
            <v>Cây me ĐK thân &gt; 30 cm</v>
          </cell>
          <cell r="F456" t="str">
            <v>Cây me ĐK thân &gt; 30 cm</v>
          </cell>
        </row>
        <row r="457">
          <cell r="A457" t="str">
            <v>Cây sấu</v>
          </cell>
          <cell r="F457" t="str">
            <v>Cây sấu</v>
          </cell>
        </row>
        <row r="458">
          <cell r="A458" t="str">
            <v>Cây sấu Giống đủ tiêu chuẩn mới trồng, chiều cao cây H ≥ 40cm</v>
          </cell>
          <cell r="F458" t="str">
            <v>Cây sấu Giống đủ tiêu chuẩn mới trồng, chiều cao cây H ≥ 40cm</v>
          </cell>
        </row>
        <row r="459">
          <cell r="A459" t="str">
            <v>Cây sấu ĐK thân ≤5 cm</v>
          </cell>
          <cell r="F459" t="str">
            <v>Cây sấu ĐK thân ≤5 cm</v>
          </cell>
        </row>
        <row r="460">
          <cell r="A460" t="str">
            <v>Cây sấu đường kính thân 5 cm &lt; ĐK thân ≤ 10 cm</v>
          </cell>
          <cell r="F460" t="str">
            <v>Cây sấu đường kính thân 5 cm &lt; ĐK thân ≤ 10 cm</v>
          </cell>
        </row>
        <row r="461">
          <cell r="A461" t="str">
            <v>Cây sấu đường kính thân 10 cm &lt; ĐK thân ≤ 15 cm</v>
          </cell>
          <cell r="F461" t="str">
            <v>Cây sấu đường kính thân 10 cm &lt; ĐK thân ≤ 15 cm</v>
          </cell>
        </row>
        <row r="462">
          <cell r="A462" t="str">
            <v>Cây sấu đường kính thân 15 cm &lt; ĐK thân ≤ 20 cm</v>
          </cell>
          <cell r="F462" t="str">
            <v>Cây sấu đường kính thân 15 cm &lt; ĐK thân ≤ 20 cm</v>
          </cell>
        </row>
        <row r="463">
          <cell r="A463" t="str">
            <v>Cây sấu đường kính thân 20 cm &lt; ĐK thân ≤ 30 cm</v>
          </cell>
          <cell r="F463" t="str">
            <v>Cây sấu đường kính thân 20 cm &lt; ĐK thân ≤ 30 cm</v>
          </cell>
        </row>
        <row r="464">
          <cell r="A464" t="str">
            <v>Cây sấu đường kính thân 30 cm &lt; ĐK thân ≤ 40 cm</v>
          </cell>
          <cell r="F464" t="str">
            <v>Cây sấu đường kính thân 30 cm &lt; ĐK thân ≤ 40 cm</v>
          </cell>
        </row>
        <row r="465">
          <cell r="A465" t="str">
            <v>Cây sấu ĐK thân &gt; 40 cm</v>
          </cell>
          <cell r="F465" t="str">
            <v>Cây sấu ĐK thân &gt; 40 cm</v>
          </cell>
        </row>
        <row r="466">
          <cell r="A466" t="str">
            <v>Cây vối</v>
          </cell>
          <cell r="F466" t="str">
            <v>Cây vối</v>
          </cell>
        </row>
        <row r="467">
          <cell r="A467" t="str">
            <v>Cây vối Giống đủ tiêu chuẩn mới trồng, chiều cao cây H &gt; 40cm</v>
          </cell>
          <cell r="F467" t="str">
            <v>Cây vối Giống đủ tiêu chuẩn mới trồng, chiều cao cây H &gt; 40cm</v>
          </cell>
        </row>
        <row r="468">
          <cell r="A468" t="str">
            <v>Cây vối ĐK thân ≤5 cm</v>
          </cell>
          <cell r="F468" t="str">
            <v>Cây vối ĐK thân ≤5 cm</v>
          </cell>
        </row>
        <row r="469">
          <cell r="A469" t="str">
            <v>Cây vối đường kính thân 5 cm &lt; ĐK thân ≤10 cm</v>
          </cell>
          <cell r="F469" t="str">
            <v>Cây vối đường kính thân 5 cm &lt; ĐK thân ≤10 cm</v>
          </cell>
        </row>
        <row r="470">
          <cell r="A470" t="str">
            <v>Cây vối đường kính thân 10 cm &lt; ĐK thân ≤15 cm</v>
          </cell>
          <cell r="F470" t="str">
            <v>Cây vối đường kính thân 10 cm &lt; ĐK thân ≤15 cm</v>
          </cell>
        </row>
        <row r="471">
          <cell r="A471" t="str">
            <v>Cây vối đường kính thân 15 cm &lt; ĐK thân ≤25 cm</v>
          </cell>
          <cell r="F471" t="str">
            <v>Cây vối đường kính thân 15 cm &lt; ĐK thân ≤25 cm</v>
          </cell>
        </row>
        <row r="472">
          <cell r="A472" t="str">
            <v>Cây vối ĐK thân &gt; 25 cm</v>
          </cell>
          <cell r="F472" t="str">
            <v>Cây vối ĐK thân &gt; 25 cm</v>
          </cell>
        </row>
        <row r="473">
          <cell r="A473" t="str">
            <v>Cây bơ</v>
          </cell>
          <cell r="F473" t="str">
            <v>Cây bơ</v>
          </cell>
        </row>
        <row r="474">
          <cell r="A474" t="str">
            <v>Cây bơ mới trồng &lt; 01 năm (cây từ hạt)</v>
          </cell>
          <cell r="F474" t="str">
            <v>Cây bơ mới trồng &lt; 01 năm (cây từ hạt)</v>
          </cell>
        </row>
        <row r="475">
          <cell r="A475" t="str">
            <v>Cây bơ mới trồng &lt; 01 năm (cây ghép)</v>
          </cell>
          <cell r="F475" t="str">
            <v>Cây bơ mới trồng &lt; 01 năm (cây ghép)</v>
          </cell>
        </row>
        <row r="476">
          <cell r="A476" t="str">
            <v>Cây bơ ĐK thân ≤5 cm</v>
          </cell>
          <cell r="F476" t="str">
            <v>Cây bơ ĐK thân ≤5 cm</v>
          </cell>
        </row>
        <row r="477">
          <cell r="A477" t="str">
            <v>Cây bơ đường kính thân 5 cm &lt; ĐK thân ≤10 cm</v>
          </cell>
          <cell r="F477" t="str">
            <v>Cây bơ đường kính thân 5 cm &lt; ĐK thân ≤10 cm</v>
          </cell>
        </row>
        <row r="478">
          <cell r="A478" t="str">
            <v>Cây bơ đường kính thân 10 cm &lt; ĐK thân ≤15 cm</v>
          </cell>
          <cell r="F478" t="str">
            <v>Cây bơ đường kính thân 10 cm &lt; ĐK thân ≤15 cm</v>
          </cell>
        </row>
        <row r="479">
          <cell r="A479" t="str">
            <v>Cây bơ ĐK thân &gt; 15 cm</v>
          </cell>
          <cell r="F479" t="str">
            <v>Cây bơ ĐK thân &gt; 15 cm</v>
          </cell>
        </row>
        <row r="480">
          <cell r="A480" t="str">
            <v>Cây cóc</v>
          </cell>
          <cell r="F480" t="str">
            <v>Cây cóc</v>
          </cell>
        </row>
        <row r="481">
          <cell r="A481" t="str">
            <v>Cây cóc ĐK thân ≤5 cm</v>
          </cell>
          <cell r="F481" t="str">
            <v>Cây cóc ĐK thân ≤5 cm</v>
          </cell>
        </row>
        <row r="482">
          <cell r="A482" t="str">
            <v>Cây cóc đường kính thân 5 cm &lt; ĐK thân ≤10 cm</v>
          </cell>
          <cell r="F482" t="str">
            <v>Cây cóc đường kính thân 5 cm &lt; ĐK thân ≤10 cm</v>
          </cell>
        </row>
        <row r="483">
          <cell r="A483" t="str">
            <v>Cây cóc đường kính thân 10 cm &lt; ĐK thân ≤15 cm</v>
          </cell>
          <cell r="F483" t="str">
            <v>Cây cóc đường kính thân 10 cm &lt; ĐK thân ≤15 cm</v>
          </cell>
        </row>
        <row r="484">
          <cell r="A484" t="str">
            <v>Cây cóc đường kính thân 15 cm &lt; ĐK thân ≤20 cm</v>
          </cell>
          <cell r="F484" t="str">
            <v>Cây cóc đường kính thân 15 cm &lt; ĐK thân ≤20 cm</v>
          </cell>
        </row>
        <row r="485">
          <cell r="A485" t="str">
            <v>Cây cóc đường kính thân 20 cm &lt; ĐK thân ≤30 cm</v>
          </cell>
          <cell r="F485" t="str">
            <v>Cây cóc đường kính thân 20 cm &lt; ĐK thân ≤30 cm</v>
          </cell>
        </row>
        <row r="486">
          <cell r="A486" t="str">
            <v>Cây cóc đường kính thân 30 cm &lt; ĐK thân ≤40 cm</v>
          </cell>
          <cell r="F486" t="str">
            <v>Cây cóc đường kính thân 30 cm &lt; ĐK thân ≤40 cm</v>
          </cell>
        </row>
        <row r="487">
          <cell r="A487" t="str">
            <v>Cây cóc ĐK thân &gt; 40 cm</v>
          </cell>
          <cell r="F487" t="str">
            <v>Cây cóc ĐK thân &gt; 40 cm</v>
          </cell>
        </row>
        <row r="488">
          <cell r="A488" t="str">
            <v>Cây quất hồng bì</v>
          </cell>
          <cell r="F488" t="str">
            <v>Cây quất hồng bì</v>
          </cell>
        </row>
        <row r="489">
          <cell r="A489" t="str">
            <v>Cây quất hồng bì ĐK thân ≤5 cm</v>
          </cell>
          <cell r="F489" t="str">
            <v>Cây quất hồng bì ĐK thân ≤5 cm</v>
          </cell>
        </row>
        <row r="490">
          <cell r="A490" t="str">
            <v>Cây quất hồng bì đường kính thân 5 cm &lt; ĐK thân ≤10 cm</v>
          </cell>
          <cell r="F490" t="str">
            <v>Cây quất hồng bì đường kính thân 5 cm &lt; ĐK thân ≤10 cm</v>
          </cell>
        </row>
        <row r="491">
          <cell r="A491" t="str">
            <v>Cây quất hồng bì đường kính thân 10 cm &lt; ĐK thân ≤15 cm</v>
          </cell>
          <cell r="F491" t="str">
            <v>Cây quất hồng bì đường kính thân 10 cm &lt; ĐK thân ≤15 cm</v>
          </cell>
        </row>
        <row r="492">
          <cell r="A492" t="str">
            <v>Cây quất hồng bì đường kính thân 15 cm &lt; ĐK thân ≤20 cm</v>
          </cell>
          <cell r="F492" t="str">
            <v>Cây quất hồng bì đường kính thân 15 cm &lt; ĐK thân ≤20 cm</v>
          </cell>
        </row>
        <row r="493">
          <cell r="A493" t="str">
            <v>Cây quất hồng bì đường kính thân 20 cm &lt; ĐK thân ≤30 cm</v>
          </cell>
          <cell r="F493" t="str">
            <v>Cây quất hồng bì đường kính thân 20 cm &lt; ĐK thân ≤30 cm</v>
          </cell>
        </row>
        <row r="494">
          <cell r="A494" t="str">
            <v>Cây quất hồng bì đường kính thân 30 cm &lt; ĐK thân ≤40 cm</v>
          </cell>
          <cell r="F494" t="str">
            <v>Cây quất hồng bì đường kính thân 30 cm &lt; ĐK thân ≤40 cm</v>
          </cell>
        </row>
        <row r="495">
          <cell r="A495" t="str">
            <v>Cây quất hồng bì ĐK thân &gt; 40 cm</v>
          </cell>
          <cell r="F495" t="str">
            <v>Cây quất hồng bì ĐK thân &gt; 40 cm</v>
          </cell>
        </row>
        <row r="496">
          <cell r="A496" t="str">
            <v>Cây sung quả</v>
          </cell>
          <cell r="F496" t="str">
            <v>Cây sung quả</v>
          </cell>
        </row>
        <row r="497">
          <cell r="A497" t="str">
            <v>Cây sung quả Giống đủ tiêu chuẩn mới trồng, chiều cao cây H ≥ 40cm</v>
          </cell>
          <cell r="F497" t="str">
            <v>Cây sung quả Giống đủ tiêu chuẩn mới trồng, chiều cao cây H ≥ 40cm</v>
          </cell>
        </row>
        <row r="498">
          <cell r="A498" t="str">
            <v>Cây sung quả ĐK thân ≤5 cm</v>
          </cell>
          <cell r="F498" t="str">
            <v>Cây sung quả ĐK thân ≤5 cm</v>
          </cell>
        </row>
        <row r="499">
          <cell r="A499" t="str">
            <v>Cây sung quả đường kính thân 5 cm &lt; ĐK thân ≤10 cm</v>
          </cell>
          <cell r="F499" t="str">
            <v>Cây sung quả đường kính thân 5 cm &lt; ĐK thân ≤10 cm</v>
          </cell>
        </row>
        <row r="500">
          <cell r="A500" t="str">
            <v>Cây sung quả đường kính thân 10 cm &lt; ĐK thân ≤15 cm</v>
          </cell>
          <cell r="F500" t="str">
            <v>Cây sung quả đường kính thân 10 cm &lt; ĐK thân ≤15 cm</v>
          </cell>
        </row>
        <row r="501">
          <cell r="A501" t="str">
            <v>Cây sung quả đường kính thân 15 cm &lt; ĐK thân ≤25 cm</v>
          </cell>
          <cell r="F501" t="str">
            <v>Cây sung quả đường kính thân 15 cm &lt; ĐK thân ≤25 cm</v>
          </cell>
        </row>
        <row r="502">
          <cell r="A502" t="str">
            <v>Cây sung quả đường kính thân 25 cm &lt; ĐK thân ≤40 cm</v>
          </cell>
          <cell r="F502" t="str">
            <v>Cây sung quả đường kính thân 25 cm &lt; ĐK thân ≤40 cm</v>
          </cell>
        </row>
        <row r="503">
          <cell r="A503" t="str">
            <v>Cây sung quả ĐK thân &gt; 40 cm</v>
          </cell>
          <cell r="F503" t="str">
            <v>Cây sung quả ĐK thân &gt; 40 cm</v>
          </cell>
        </row>
        <row r="504">
          <cell r="A504" t="str">
            <v>Cây thị</v>
          </cell>
          <cell r="F504" t="str">
            <v>Cây thị</v>
          </cell>
        </row>
        <row r="505">
          <cell r="A505" t="str">
            <v>Cây thị ĐK thân ≤5 cm</v>
          </cell>
          <cell r="F505" t="str">
            <v>Cây thị ĐK thân ≤5 cm</v>
          </cell>
        </row>
        <row r="506">
          <cell r="A506" t="str">
            <v>Cây thị đường kính thân 5 cm &lt; ĐK thân ≤10 cm</v>
          </cell>
          <cell r="F506" t="str">
            <v>Cây thị đường kính thân 5 cm &lt; ĐK thân ≤10 cm</v>
          </cell>
        </row>
        <row r="507">
          <cell r="A507" t="str">
            <v>Cây thị đường kính thân 10 cm &lt; ĐK thân ≤15 cm</v>
          </cell>
          <cell r="F507" t="str">
            <v>Cây thị đường kính thân 10 cm &lt; ĐK thân ≤15 cm</v>
          </cell>
        </row>
        <row r="508">
          <cell r="A508" t="str">
            <v>Cây thị đường kính thân 15 cm &lt; ĐK thân ≤25 cm</v>
          </cell>
          <cell r="F508" t="str">
            <v>Cây thị đường kính thân 15 cm &lt; ĐK thân ≤25 cm</v>
          </cell>
        </row>
        <row r="509">
          <cell r="A509" t="str">
            <v>Cây thị đường kính thân 25 cm &lt; ĐK thân ≤35 cm</v>
          </cell>
          <cell r="F509" t="str">
            <v>Cây thị đường kính thân 25 cm &lt; ĐK thân ≤35 cm</v>
          </cell>
        </row>
        <row r="510">
          <cell r="A510" t="str">
            <v>Cây thị đường kính thân 35 cm &lt; ĐK thân ≤50 cm</v>
          </cell>
          <cell r="F510" t="str">
            <v>Cây thị đường kính thân 35 cm &lt; ĐK thân ≤50 cm</v>
          </cell>
        </row>
        <row r="511">
          <cell r="A511" t="str">
            <v>Cây thị ĐK thân &gt; 50 cm</v>
          </cell>
          <cell r="F511" t="str">
            <v>Cây thị ĐK thân &gt; 50 cm</v>
          </cell>
        </row>
        <row r="512">
          <cell r="A512" t="str">
            <v>Cây dâu da xoan</v>
          </cell>
          <cell r="F512" t="str">
            <v>Cây dâu da xoan</v>
          </cell>
        </row>
        <row r="513">
          <cell r="A513" t="str">
            <v>Cây dâu da xoan giống đủ tiêu chuẩn mới trồng, chiều cao cây H ≥ 40cm</v>
          </cell>
          <cell r="F513" t="str">
            <v>Cây dâu da xoan giống đủ tiêu chuẩn mới trồng, chiều cao cây H ≥ 40cm</v>
          </cell>
        </row>
        <row r="514">
          <cell r="A514" t="str">
            <v>Cây dâu da xoan ĐK thân ≤5 cm</v>
          </cell>
          <cell r="F514" t="str">
            <v>Cây dâu da xoan ĐK thân ≤5 cm</v>
          </cell>
        </row>
        <row r="515">
          <cell r="A515" t="str">
            <v>Cây dâu da xoan đường kính thân 5 cm &lt; ĐK thân ≤10 cm</v>
          </cell>
          <cell r="F515" t="str">
            <v>Cây dâu da xoan đường kính thân 5 cm &lt; ĐK thân ≤10 cm</v>
          </cell>
        </row>
        <row r="516">
          <cell r="A516" t="str">
            <v>Cây dâu da xoan đường kính thân 10 cm &lt; ĐK thân ≤15 cm</v>
          </cell>
          <cell r="F516" t="str">
            <v>Cây dâu da xoan đường kính thân 10 cm &lt; ĐK thân ≤15 cm</v>
          </cell>
        </row>
        <row r="517">
          <cell r="A517" t="str">
            <v>Cây dâu da xoan đường kính thân 15 cm &lt; ĐK thân ≤25 cm</v>
          </cell>
          <cell r="F517" t="str">
            <v>Cây dâu da xoan đường kính thân 15 cm &lt; ĐK thân ≤25 cm</v>
          </cell>
        </row>
        <row r="518">
          <cell r="A518" t="str">
            <v>Cây dâu da xoan đường kính thân 25 cm &lt; ĐK thân ≤40 cm</v>
          </cell>
          <cell r="F518" t="str">
            <v>Cây dâu da xoan đường kính thân 25 cm &lt; ĐK thân ≤40 cm</v>
          </cell>
        </row>
        <row r="519">
          <cell r="A519" t="str">
            <v>Cây dâu da xoan đường kính thân 40 cm &lt; ĐK thân ≤60 cm</v>
          </cell>
          <cell r="F519" t="str">
            <v>Cây dâu da xoan đường kính thân 40 cm &lt; ĐK thân ≤60 cm</v>
          </cell>
        </row>
        <row r="520">
          <cell r="A520" t="str">
            <v>Cây dâu da xoan ĐK thân &gt; 60 cm</v>
          </cell>
          <cell r="F520">
            <v>0</v>
          </cell>
        </row>
        <row r="521">
          <cell r="A521" t="str">
            <v>Cây dâu tằm lấy quả</v>
          </cell>
          <cell r="F521" t="str">
            <v>Cây dâu tằm lấy quả</v>
          </cell>
        </row>
        <row r="522">
          <cell r="A522" t="str">
            <v>Cây dâu tằm lấy quả Cây giống đủ tiêu chuẩn mới trồng</v>
          </cell>
          <cell r="F522" t="str">
            <v>Cây dâu tằm lấy quả Cây giống đủ tiêu chuẩn mới trồng</v>
          </cell>
        </row>
        <row r="523">
          <cell r="A523" t="str">
            <v>Cây dâu tằm lấy quả ĐK thân &lt; 2 cm</v>
          </cell>
          <cell r="F523" t="str">
            <v>Cây dâu tằm lấy quả ĐK thân &lt; 2 cm</v>
          </cell>
        </row>
        <row r="524">
          <cell r="A524" t="str">
            <v>Cây dâu tằm lấy quả đường kính thân 2 cm ≤  ĐK thân &lt;4 cm</v>
          </cell>
          <cell r="F524" t="str">
            <v>Cây dâu tằm lấy quả đường kính thân 2 cm ≤  ĐK thân &lt;4 cm</v>
          </cell>
        </row>
        <row r="525">
          <cell r="A525" t="str">
            <v>Cây dâu tằm lấy quả đường kính thân 4 cm ≤ ĐK thân &lt;6 cm</v>
          </cell>
          <cell r="F525" t="str">
            <v>Cây dâu tằm lấy quả đường kính thân 4 cm ≤ ĐK thân &lt;6 cm</v>
          </cell>
        </row>
        <row r="526">
          <cell r="A526" t="str">
            <v>Cây dâu tằm lấy quả đường kính thân 6 cm ≤ ĐK thân ≤10 cm</v>
          </cell>
          <cell r="F526" t="str">
            <v>Cây dâu tằm lấy quả đường kính thân 6 cm ≤ ĐK thân ≤10 cm</v>
          </cell>
        </row>
        <row r="527">
          <cell r="A527" t="str">
            <v>Cây dâu tằm lấy quả ĐK thân &gt; 10 cm</v>
          </cell>
          <cell r="F527" t="str">
            <v>Cây dâu tằm lấy quả ĐK thân &gt; 10 cm</v>
          </cell>
        </row>
        <row r="528">
          <cell r="A528" t="str">
            <v>Cây Hoa hồng trồng cắt cành</v>
          </cell>
          <cell r="F528" t="str">
            <v>Cây Hoa hồng trồng cắt cành</v>
          </cell>
        </row>
        <row r="529">
          <cell r="A529" t="str">
            <v>Cây Hoa hồng trồng cắt cành ĐK thân ≤1 cm</v>
          </cell>
          <cell r="F529" t="str">
            <v>Cây Hoa hồng trồng cắt cành ĐK thân ≤1 cm</v>
          </cell>
        </row>
        <row r="530">
          <cell r="A530" t="str">
            <v>Cây Hoa hồng trồng cắt cành đường kính thân 1 cm &lt; ĐK thân ≤2 cm</v>
          </cell>
          <cell r="F530" t="str">
            <v>Cây Hoa hồng trồng cắt cành đường kính thân 1 cm &lt; ĐK thân ≤2 cm</v>
          </cell>
        </row>
        <row r="531">
          <cell r="A531" t="str">
            <v>Cây Hoa hồng trồng cắt cành đường kính thân 2 cm &lt; ĐK thân ≤3 cm</v>
          </cell>
          <cell r="F531" t="str">
            <v>Cây Hoa hồng trồng cắt cành đường kính thân 2 cm &lt; ĐK thân ≤3 cm</v>
          </cell>
        </row>
        <row r="532">
          <cell r="A532" t="str">
            <v>Cây Hoa hồng trồng cắt cành đường kính thân 3 cm &lt; ĐK thân ≤5 cm</v>
          </cell>
          <cell r="F532" t="str">
            <v>Cây Hoa hồng trồng cắt cành đường kính thân 3 cm &lt; ĐK thân ≤5 cm</v>
          </cell>
        </row>
        <row r="533">
          <cell r="A533" t="str">
            <v>Cây Hoa hồng trồng cắt cành ĐK thân &gt; 5 cm</v>
          </cell>
          <cell r="F533" t="str">
            <v>Cây Hoa hồng trồng cắt cành ĐK thân &gt; 5 cm</v>
          </cell>
        </row>
        <row r="534">
          <cell r="A534" t="str">
            <v>Cây lê</v>
          </cell>
          <cell r="F534" t="str">
            <v>Cây lê</v>
          </cell>
        </row>
        <row r="535">
          <cell r="A535" t="str">
            <v>Cây lê giống mới trồng</v>
          </cell>
          <cell r="F535" t="str">
            <v>Cây lê giống mới trồng</v>
          </cell>
        </row>
        <row r="536">
          <cell r="A536" t="str">
            <v>Cây lê ĐK thân ≤5 cm</v>
          </cell>
          <cell r="F536" t="str">
            <v>Cây lê ĐK thân ≤5 cm</v>
          </cell>
        </row>
        <row r="537">
          <cell r="A537" t="str">
            <v>Cây lê đường kính thân 5 cm &lt; ĐK thân ≤7 cm</v>
          </cell>
          <cell r="F537" t="str">
            <v>Cây lê đường kính thân 5 cm &lt; ĐK thân ≤7 cm</v>
          </cell>
        </row>
        <row r="538">
          <cell r="A538" t="str">
            <v>Cây lê đường kính thân 7 cm &lt; ĐK thân ≤11 cm</v>
          </cell>
          <cell r="F538" t="str">
            <v>Cây lê đường kính thân 7 cm &lt; ĐK thân ≤11 cm</v>
          </cell>
        </row>
        <row r="539">
          <cell r="A539" t="str">
            <v>Cây lê đường kính thân 11 cm &lt; ĐK thân ≤15 cm</v>
          </cell>
          <cell r="F539" t="str">
            <v>Cây lê đường kính thân 11 cm &lt; ĐK thân ≤15 cm</v>
          </cell>
        </row>
        <row r="540">
          <cell r="A540" t="str">
            <v>Cây lê đường kính thân 15 cm &lt; ĐK thân ≤20 cm</v>
          </cell>
          <cell r="F540" t="str">
            <v>Cây lê đường kính thân 15 cm &lt; ĐK thân ≤20 cm</v>
          </cell>
        </row>
        <row r="541">
          <cell r="A541" t="str">
            <v>Cây lê đường kính thân 20 cm &lt; ĐK thân ≤25 cm</v>
          </cell>
          <cell r="F541" t="str">
            <v>Cây lê đường kính thân 20 cm &lt; ĐK thân ≤25 cm</v>
          </cell>
        </row>
        <row r="542">
          <cell r="A542" t="str">
            <v>Cây lê ĐK thân &gt; 25 cm</v>
          </cell>
          <cell r="F542" t="str">
            <v>Cây lê ĐK thân &gt; 25 cm</v>
          </cell>
        </row>
        <row r="543">
          <cell r="A543" t="str">
            <v>Nho thân gỗ</v>
          </cell>
          <cell r="F543" t="str">
            <v>Cây đào cảnh chiều cao cây H &gt; 200 cm</v>
          </cell>
        </row>
        <row r="544">
          <cell r="A544" t="str">
            <v>Nho thân gỗ ĐK thân ≤5 cm</v>
          </cell>
          <cell r="F544" t="str">
            <v>Nho thân gỗ ĐK thân ≤5 cm</v>
          </cell>
        </row>
        <row r="545">
          <cell r="A545" t="str">
            <v>Nho thân gỗ đường kính thân 5 cm &lt; ĐK thân ≤10 cm</v>
          </cell>
          <cell r="F545" t="str">
            <v>Nho thân gỗ đường kính thân 5 cm &lt; ĐK thân ≤10 cm</v>
          </cell>
        </row>
        <row r="546">
          <cell r="A546" t="str">
            <v>Nho thân gỗ đường kính thân 10 cm &lt; ĐK thân  ≤15 cm</v>
          </cell>
          <cell r="F546" t="str">
            <v>Nho thân gỗ đường kính thân 10 cm &lt; ĐK thân  ≤15 cm</v>
          </cell>
        </row>
        <row r="547">
          <cell r="A547" t="str">
            <v>Nho thân gỗ đường kính thân 15 cm &lt; ĐK thân ≤25 cm</v>
          </cell>
          <cell r="F547" t="str">
            <v>Nho thân gỗ đường kính thân 15 cm &lt; ĐK thân ≤25 cm</v>
          </cell>
        </row>
        <row r="548">
          <cell r="A548" t="str">
            <v>Nho thân gỗ ĐK thân &gt; 25 cm</v>
          </cell>
          <cell r="F548" t="str">
            <v>Nho thân gỗ ĐK thân &gt; 25 cm</v>
          </cell>
        </row>
        <row r="549">
          <cell r="A549" t="str">
            <v>Cây mãng cầu</v>
          </cell>
          <cell r="F549" t="str">
            <v>Cây mãng cầu</v>
          </cell>
        </row>
        <row r="550">
          <cell r="A550" t="str">
            <v>Cây mãng cầu mới trồng &lt;01 năm (cây từ hạt)</v>
          </cell>
          <cell r="F550" t="str">
            <v>Cây mãng cầu mới trồng &lt;01 năm (cây từ hạt)</v>
          </cell>
        </row>
        <row r="551">
          <cell r="A551" t="str">
            <v>Cây mãng cầu mới trồng &lt; 01 năm (cây ghép)</v>
          </cell>
          <cell r="F551" t="str">
            <v>Cây mãng cầu mới trồng &lt; 01 năm (cây ghép)</v>
          </cell>
        </row>
        <row r="552">
          <cell r="A552" t="str">
            <v>Cây mãng cầu ĐK thân ≤5 cm</v>
          </cell>
          <cell r="F552" t="str">
            <v>Cây mãng cầu ĐK thân ≤5 cm</v>
          </cell>
        </row>
        <row r="553">
          <cell r="A553" t="str">
            <v>Cây mãng cầu đường kính thân 3 cm &lt; ĐK thân ≤5 cm</v>
          </cell>
          <cell r="F553" t="str">
            <v>Cây mãng cầu đường kính thân 3 cm &lt; ĐK thân ≤5 cm</v>
          </cell>
        </row>
        <row r="554">
          <cell r="A554" t="str">
            <v>Cây mãng cầu đường kính thân 5 cm &lt; ĐK thân ≤7 cm</v>
          </cell>
          <cell r="F554" t="str">
            <v>Cây mãng cầu đường kính thân 5 cm &lt; ĐK thân ≤7 cm</v>
          </cell>
        </row>
        <row r="555">
          <cell r="A555" t="str">
            <v>Cây mãng cầu đường kính thân 7 cm &lt; ĐK thân ≤10 cm</v>
          </cell>
          <cell r="F555" t="str">
            <v>Cây mãng cầu đường kính thân 7 cm &lt; ĐK thân ≤10 cm</v>
          </cell>
        </row>
        <row r="556">
          <cell r="A556" t="str">
            <v>Cây mãng cầu ĐK thân &gt; 10 cm</v>
          </cell>
          <cell r="F556" t="str">
            <v>Cây mãng cầu ĐK thân &gt; 10 cm</v>
          </cell>
        </row>
        <row r="557">
          <cell r="A557" t="str">
            <v>Cây sa kê</v>
          </cell>
          <cell r="F557" t="str">
            <v>Cây sa kê</v>
          </cell>
        </row>
        <row r="558">
          <cell r="A558" t="str">
            <v>Cây sa kê mới trồng &lt;01 năm (cây từ hạt)</v>
          </cell>
          <cell r="F558" t="str">
            <v>Cây sa kê mới trồng &lt;01 năm (cây từ hạt)</v>
          </cell>
        </row>
        <row r="559">
          <cell r="A559" t="str">
            <v>Cây sa kê mới trồng &lt; 01 năm (cây ghép)</v>
          </cell>
          <cell r="F559" t="str">
            <v>Cây sa kê mới trồng &lt; 01 năm (cây ghép)</v>
          </cell>
        </row>
        <row r="560">
          <cell r="A560" t="str">
            <v>Cây sa kê ĐK thân ≤5 cm</v>
          </cell>
          <cell r="F560" t="str">
            <v>Cây sa kê ĐK thân ≤5 cm</v>
          </cell>
        </row>
        <row r="561">
          <cell r="A561" t="str">
            <v>Cây sa kê đường kính thân 3 cm &lt; ĐK thân ≤5 cm</v>
          </cell>
          <cell r="F561" t="str">
            <v>Cây sa kê đường kính thân 3 cm &lt; ĐK thân ≤5 cm</v>
          </cell>
        </row>
        <row r="562">
          <cell r="A562" t="str">
            <v>Cây sa kê đường kính thân 5 cm &lt; ĐK thân ≤7 cm</v>
          </cell>
          <cell r="F562" t="str">
            <v>Cây sa kê đường kính thân 5 cm &lt; ĐK thân ≤7 cm</v>
          </cell>
        </row>
        <row r="563">
          <cell r="A563" t="str">
            <v>Cây sa kê đường kính thân 7 cm &lt; ĐK thân ≤10 cm</v>
          </cell>
          <cell r="F563" t="str">
            <v>Cây sa kê đường kính thân 7 cm &lt; ĐK thân ≤10 cm</v>
          </cell>
        </row>
        <row r="564">
          <cell r="A564" t="str">
            <v>Cây sa kê ĐK thân &gt; 10 cm</v>
          </cell>
          <cell r="F564" t="str">
            <v>Cây sa kê ĐK thân &gt; 10 cm</v>
          </cell>
        </row>
        <row r="565">
          <cell r="A565" t="str">
            <v>Cây phật thủ</v>
          </cell>
          <cell r="F565" t="str">
            <v>Cây sa kê</v>
          </cell>
        </row>
        <row r="566">
          <cell r="A566" t="str">
            <v>Cây phật thủ ĐK thân ≤5 cm</v>
          </cell>
          <cell r="F566" t="str">
            <v>Cây phật thủ ĐK thân ≤5 cm</v>
          </cell>
        </row>
        <row r="567">
          <cell r="A567" t="str">
            <v>Cây phật thủ đường kính thân 5 cm &lt; ĐK thân ≤10 cm</v>
          </cell>
          <cell r="F567" t="str">
            <v>Cây phật thủ đường kính thân 5 cm &lt; ĐK thân ≤10 cm</v>
          </cell>
        </row>
        <row r="568">
          <cell r="A568" t="str">
            <v>Cây phật thủ đường kính thân 10 cm &lt; ĐK thân ≤15 cm</v>
          </cell>
          <cell r="F568" t="str">
            <v>Cây phật thủ đường kính thân 10 cm &lt; ĐK thân ≤15 cm</v>
          </cell>
        </row>
        <row r="569">
          <cell r="A569" t="str">
            <v>Cây phật thủ đường kính thân 15 cm &lt; ĐK thân ≤20 cm</v>
          </cell>
          <cell r="F569" t="str">
            <v>Cây phật thủ đường kính thân 15 cm &lt; ĐK thân ≤20 cm</v>
          </cell>
        </row>
        <row r="570">
          <cell r="A570" t="str">
            <v>Cây phật thủ đường kính thân 20 cm &lt; ĐK thân ≤30 cm</v>
          </cell>
          <cell r="F570" t="str">
            <v>Cây phật thủ đường kính thân 20 cm &lt; ĐK thân ≤30 cm</v>
          </cell>
        </row>
        <row r="571">
          <cell r="A571" t="str">
            <v>Cây phật thủ ĐK thân &gt;30 cm</v>
          </cell>
          <cell r="F571" t="str">
            <v>Cây phật thủ ĐK thân &gt;30 cm</v>
          </cell>
        </row>
        <row r="572">
          <cell r="A572" t="str">
            <v>Cây đào tiên</v>
          </cell>
          <cell r="F572">
            <v>0</v>
          </cell>
        </row>
        <row r="573">
          <cell r="A573" t="str">
            <v>Cây đào tiên giống Loại cây ghép có chiều cao cây 40cm &lt; H ≤ 1m</v>
          </cell>
          <cell r="F573">
            <v>0</v>
          </cell>
        </row>
        <row r="574">
          <cell r="A574" t="str">
            <v>Cây đào tiên giống Loại cây ghép có chiêu cao cây H ≥ 1m</v>
          </cell>
          <cell r="F574" t="str">
            <v>Cây đào tiên giống Loại cây ghép có chiêu cao cây H ≥ 1m</v>
          </cell>
        </row>
        <row r="575">
          <cell r="A575" t="str">
            <v>Cây đào tiên giống Loại cây chiết cành có chiều cao cây 40cm ≤ H&lt; 1m</v>
          </cell>
          <cell r="F575" t="str">
            <v>Cây đào tiên giống Loại cây chiết cành có chiều cao cây 40cm ≤ H&lt; 1m</v>
          </cell>
        </row>
        <row r="576">
          <cell r="A576" t="str">
            <v>Cây đào tiên giống Loại cây chiết cành có chiều cao cây H ≥ 1m</v>
          </cell>
          <cell r="F576" t="str">
            <v>Cây đào tiên giống Loại cây chiết cành có chiều cao cây H ≥ 1m</v>
          </cell>
        </row>
        <row r="577">
          <cell r="A577" t="str">
            <v>Cây đào tiên đường kính thân 2 cm &lt; ĐK thân ≤5 cm</v>
          </cell>
          <cell r="F577" t="str">
            <v>Cây đào tiên đường kính thân 2 cm &lt; ĐK thân ≤5 cm</v>
          </cell>
        </row>
        <row r="578">
          <cell r="A578" t="str">
            <v>Cây đào tiên đường kính thân 5 cm &lt; ĐK thân ≤10 cm</v>
          </cell>
          <cell r="F578" t="str">
            <v>Cây đào tiên đường kính thân 5 cm &lt; ĐK thân ≤10 cm</v>
          </cell>
        </row>
        <row r="579">
          <cell r="A579" t="str">
            <v>Cây đào tiên đường kính thân 10cm &lt;ĐKthân≤20 cm</v>
          </cell>
          <cell r="F579" t="str">
            <v>Cây đào tiên đường kính thân 10cm &lt;ĐKthân≤20 cm</v>
          </cell>
        </row>
        <row r="580">
          <cell r="A580" t="str">
            <v>Cây đào tiên ĐK thân &gt;20 cm</v>
          </cell>
          <cell r="F580" t="str">
            <v>Cây đào tiên ĐK thân &gt;20 cm</v>
          </cell>
        </row>
        <row r="581">
          <cell r="A581" t="str">
            <v>Cây hoa sữa</v>
          </cell>
          <cell r="F581" t="str">
            <v>Cây hoa sữa</v>
          </cell>
        </row>
        <row r="582">
          <cell r="A582" t="str">
            <v>Cây hoa sữa giống mới trồng</v>
          </cell>
          <cell r="F582" t="str">
            <v>Cây hoa sữa giống mới trồng</v>
          </cell>
        </row>
        <row r="583">
          <cell r="A583" t="str">
            <v>Cây hoa sữa đường kính thân 2 cm &lt; ĐK thân ≤5 cm</v>
          </cell>
          <cell r="F583" t="str">
            <v>Cây hoa sữa đường kính thân 2 cm &lt; ĐK thân ≤5 cm</v>
          </cell>
        </row>
        <row r="584">
          <cell r="A584" t="str">
            <v>Cây hoa sữa đường kính thân 5 cm &lt; ĐK thân ≤10 cm</v>
          </cell>
          <cell r="F584" t="str">
            <v>Cây đào tiên giống Loại cây ghép có chiều cao cây 40cm &lt; H ≤ 1m</v>
          </cell>
        </row>
        <row r="585">
          <cell r="A585" t="str">
            <v>Cây hoa sữa đường kính thân 10 cm &lt; ĐK thân ≤15 cm</v>
          </cell>
          <cell r="F585" t="str">
            <v>Cây hoa sữa đường kính thân 10 cm &lt; ĐK thân ≤15 cm</v>
          </cell>
        </row>
        <row r="586">
          <cell r="A586" t="str">
            <v>Cây hoa sữa đường kính thân 15 cm &lt; ĐK thân ≤25 cm</v>
          </cell>
          <cell r="F586" t="str">
            <v>Cây hoa sữa đường kính thân 15 cm &lt; ĐK thân ≤25 cm</v>
          </cell>
        </row>
        <row r="587">
          <cell r="A587" t="str">
            <v>Cây hoa sữa đường kính thân 25 cm &lt; ĐK thân ≤40 cm</v>
          </cell>
          <cell r="F587" t="str">
            <v>Cây hoa sữa đường kính thân 25 cm &lt; ĐK thân ≤40 cm</v>
          </cell>
        </row>
        <row r="588">
          <cell r="A588" t="str">
            <v>Cây hoa sữa ĐK thân &gt; 40 cm</v>
          </cell>
          <cell r="F588" t="str">
            <v>Cây hoa sữa ĐK thân &gt; 40 cm</v>
          </cell>
        </row>
        <row r="589">
          <cell r="A589" t="str">
            <v>Cây hoa gạo</v>
          </cell>
          <cell r="F589" t="str">
            <v>Cây hoa gạo</v>
          </cell>
        </row>
        <row r="590">
          <cell r="A590" t="str">
            <v>Cây hoa gạo giống mới trồng</v>
          </cell>
          <cell r="F590" t="str">
            <v>Cây hoa gạo giống mới trồng</v>
          </cell>
        </row>
        <row r="591">
          <cell r="A591" t="str">
            <v>Cây hoa gạo đường kính thân 2 cm &lt; ĐK thân ≤5 cm</v>
          </cell>
          <cell r="F591" t="str">
            <v>Cây hoa gạo đường kính thân 2 cm &lt; ĐK thân ≤5 cm</v>
          </cell>
        </row>
        <row r="592">
          <cell r="A592" t="str">
            <v>Cây hoa gạo đường kính thân 5 cm &lt; ĐK thân ≤10 cm</v>
          </cell>
          <cell r="F592" t="str">
            <v>Cây hoa sữa</v>
          </cell>
        </row>
        <row r="593">
          <cell r="A593" t="str">
            <v>Cây hoa gạo đường kính thân 10 cm &lt; ĐK thân ≤15 cm</v>
          </cell>
          <cell r="F593" t="str">
            <v>Cây hoa gạo đường kính thân 10 cm &lt; ĐK thân ≤15 cm</v>
          </cell>
        </row>
        <row r="594">
          <cell r="A594" t="str">
            <v>Cây hoa gạo đường kính thân 15 cm &lt; ĐK thân ≤25 cm</v>
          </cell>
          <cell r="F594" t="str">
            <v>Cây hoa gạo đường kính thân 15 cm &lt; ĐK thân ≤25 cm</v>
          </cell>
        </row>
        <row r="595">
          <cell r="A595" t="str">
            <v>Cây hoa gạo đường kính thân 25 cm &lt; ĐK thân ≤40 cm</v>
          </cell>
          <cell r="F595" t="str">
            <v>Cây hoa gạo đường kính thân 25 cm &lt; ĐK thân ≤40 cm</v>
          </cell>
        </row>
        <row r="596">
          <cell r="A596" t="str">
            <v>Cây hoa gạo ĐK thân &gt; 40 cm</v>
          </cell>
          <cell r="F596" t="str">
            <v>Cây hoa gạo ĐK thân &gt; 40 cm</v>
          </cell>
        </row>
        <row r="597">
          <cell r="A597" t="str">
            <v>Cây hoa đại</v>
          </cell>
          <cell r="F597" t="str">
            <v>Cây hoa gạo</v>
          </cell>
        </row>
        <row r="598">
          <cell r="A598" t="str">
            <v>Cây hoa đại Cây giống mới trồng</v>
          </cell>
          <cell r="F598" t="str">
            <v>Cây hoa đại Cây giống mới trồng</v>
          </cell>
        </row>
        <row r="599">
          <cell r="A599" t="str">
            <v>Cây hoa đại đường kính thân 2 cm &lt; ĐK thân ≤5 cm</v>
          </cell>
          <cell r="F599" t="str">
            <v>Cây hoa đại đường kính thân 2 cm &lt; ĐK thân ≤5 cm</v>
          </cell>
        </row>
        <row r="600">
          <cell r="A600" t="str">
            <v>Cây hoa đại đường kính thân 5 cm &lt; ĐK thân ≤10 cm</v>
          </cell>
          <cell r="F600" t="str">
            <v>Cây hoa đại đường kính thân 5 cm &lt; ĐK thân ≤10 cm</v>
          </cell>
        </row>
        <row r="601">
          <cell r="A601" t="str">
            <v>Cây hoa đại đường kính thân 10 cm &lt; ĐK thân ≤15 cm</v>
          </cell>
          <cell r="F601" t="str">
            <v>Cây hoa đại đường kính thân 10 cm &lt; ĐK thân ≤15 cm</v>
          </cell>
        </row>
        <row r="602">
          <cell r="A602" t="str">
            <v>Cây hoa đại đường kính thân 15 cm &lt; ĐK thân ≤25 cm</v>
          </cell>
          <cell r="F602">
            <v>0</v>
          </cell>
        </row>
        <row r="603">
          <cell r="A603" t="str">
            <v>Cây hoa đại đường kính thân 25 cm &lt; ĐK thân ≤40 cm</v>
          </cell>
          <cell r="F603" t="str">
            <v>Cây hoa sữa đường kính thân 5 cm &lt; ĐK thân ≤10 cm</v>
          </cell>
        </row>
        <row r="604">
          <cell r="A604" t="str">
            <v>Cây hoa đại ĐK thân &gt; 40 cm</v>
          </cell>
          <cell r="F604" t="str">
            <v>Cây hoa đại ĐK thân &gt; 40 cm</v>
          </cell>
        </row>
        <row r="605">
          <cell r="A605" t="str">
            <v>Cây hoa ban</v>
          </cell>
          <cell r="F605" t="str">
            <v>Cây hoa ban</v>
          </cell>
        </row>
        <row r="606">
          <cell r="A606" t="str">
            <v>Cây hoa ban Cây giống mới trồng</v>
          </cell>
          <cell r="F606" t="str">
            <v>Cây hoa ban Cây giống mới trồng</v>
          </cell>
        </row>
        <row r="607">
          <cell r="A607" t="str">
            <v>Cây hoa ban đường kính thân 2 cm &lt; ĐK thân ≤5 cm</v>
          </cell>
          <cell r="F607" t="str">
            <v>Cây hoa ban đường kính thân 2 cm &lt; ĐK thân ≤5 cm</v>
          </cell>
        </row>
        <row r="608">
          <cell r="A608" t="str">
            <v>Cây hoa ban đường kính thân 5 cm &lt; ĐK thân ≤10 cm</v>
          </cell>
          <cell r="F608" t="str">
            <v>Cây hoa ban đường kính thân 5 cm &lt; ĐK thân ≤10 cm</v>
          </cell>
        </row>
        <row r="609">
          <cell r="A609" t="str">
            <v>Cây hoa ban đường kính thân 10 cm &lt; ĐK thân ≤15 cm</v>
          </cell>
          <cell r="F609" t="str">
            <v>Cây hoa ban đường kính thân 10 cm &lt; ĐK thân ≤15 cm</v>
          </cell>
        </row>
        <row r="610">
          <cell r="A610" t="str">
            <v>Cây hoa ban đường kính thân 15 cm &lt; ĐK thân ≤25 cm</v>
          </cell>
          <cell r="F610" t="str">
            <v>Cây hoa ban đường kính thân 15 cm &lt; ĐK thân ≤25 cm</v>
          </cell>
        </row>
        <row r="611">
          <cell r="A611" t="str">
            <v>Cây hoa ban đường kính thân 25 cm &lt; ĐK thân ≤40 cm</v>
          </cell>
          <cell r="F611" t="str">
            <v>Cây hoa ban đường kính thân 25 cm &lt; ĐK thân ≤40 cm</v>
          </cell>
        </row>
        <row r="612">
          <cell r="A612" t="str">
            <v>Cây hoa ban ĐK thân &gt;40 cm</v>
          </cell>
          <cell r="F612" t="str">
            <v>Cây hoa ban ĐK thân &gt;40 cm</v>
          </cell>
        </row>
        <row r="613">
          <cell r="A613" t="str">
            <v>Cây móng bò</v>
          </cell>
          <cell r="F613" t="str">
            <v>Cây móng bò</v>
          </cell>
        </row>
        <row r="614">
          <cell r="A614" t="str">
            <v>Cây móng bò Cây giống mới trồng</v>
          </cell>
          <cell r="F614" t="str">
            <v>Cây móng bò Cây giống mới trồng</v>
          </cell>
        </row>
        <row r="615">
          <cell r="A615" t="str">
            <v>Cây móng bò đường kính thân 2 cm &lt; ĐK thân ≤5 cm</v>
          </cell>
          <cell r="F615" t="str">
            <v>Cây móng bò đường kính thân 2 cm &lt; ĐK thân ≤5 cm</v>
          </cell>
        </row>
        <row r="616">
          <cell r="A616" t="str">
            <v>Cây móng bò đường kính thân 5 cm &lt; ĐK thân ≤10 cm</v>
          </cell>
          <cell r="F616" t="str">
            <v>Cây móng bò đường kính thân 5 cm &lt; ĐK thân ≤10 cm</v>
          </cell>
        </row>
        <row r="617">
          <cell r="A617" t="str">
            <v>Cây móng bò đường kính thân 10 cm &lt; ĐK thân ≤15 cm</v>
          </cell>
          <cell r="F617" t="str">
            <v>Cây móng bò đường kính thân 10 cm &lt; ĐK thân ≤15 cm</v>
          </cell>
        </row>
        <row r="618">
          <cell r="A618" t="str">
            <v>Cây móng bò đường kính thân 15 cm &lt; ĐK thân ≤25 cm</v>
          </cell>
          <cell r="F618" t="str">
            <v>Cây móng bò đường kính thân 15 cm &lt; ĐK thân ≤25 cm</v>
          </cell>
        </row>
        <row r="619">
          <cell r="A619" t="str">
            <v>Cây móng bò đường kính thân 25 cm &lt; ĐK thân ≤40 cm</v>
          </cell>
          <cell r="F619" t="str">
            <v>Cây móng bò đường kính thân 25 cm &lt; ĐK thân ≤40 cm</v>
          </cell>
        </row>
        <row r="620">
          <cell r="A620" t="str">
            <v>Cây móng bò ĐK thân &gt;40 cm</v>
          </cell>
          <cell r="F620" t="str">
            <v>Cây móng bò ĐK thân &gt;40 cm</v>
          </cell>
        </row>
        <row r="621">
          <cell r="A621" t="str">
            <v>Cây phượng vĩ (bằng lăng, muồng, lim xẹt)</v>
          </cell>
          <cell r="F621" t="str">
            <v>Cây móng bò</v>
          </cell>
        </row>
        <row r="622">
          <cell r="A622" t="str">
            <v>Cây phượng vĩ (bằng lăng, muồng, lim xẹt) Cây giống mới trồng</v>
          </cell>
          <cell r="F622" t="str">
            <v>Cây phượng vĩ (bằng lăng, muồng, lim xẹt) Cây giống mới trồng</v>
          </cell>
        </row>
        <row r="623">
          <cell r="A623" t="str">
            <v>Cây phượng vĩ (bằng lăng, muồng, lim xẹt) đường kính thân 2 cm &lt; ĐK thân ≤5 cm</v>
          </cell>
          <cell r="F623">
            <v>0</v>
          </cell>
        </row>
        <row r="624">
          <cell r="A624" t="str">
            <v>Cây phượng vĩ (bằng lăng, muồng, lim xẹt) đường kính thân 5 cm &lt; ĐK thân ≤10 cm</v>
          </cell>
          <cell r="F624" t="str">
            <v>Cây phượng vĩ (bằng lăng, muồng, lim xẹt) đường kính thân 5 cm &lt; ĐK thân ≤10 cm</v>
          </cell>
        </row>
        <row r="625">
          <cell r="A625" t="str">
            <v>Cây phượng vĩ (bằng lăng, muồng, lim xẹt) đường kính thân 10 cm &lt; ĐK thân ≤15 cm</v>
          </cell>
          <cell r="F625" t="str">
            <v>Cây phượng vĩ (bằng lăng, muồng, lim xẹt) đường kính thân 10 cm &lt; ĐK thân ≤15 cm</v>
          </cell>
        </row>
        <row r="626">
          <cell r="A626" t="str">
            <v>Cây phượng vĩ (bằng lăng, muồng, lim xẹt) đường kính thân 15 cm &lt; ĐK thân ≤25 cm</v>
          </cell>
          <cell r="F626" t="str">
            <v>Cây phượng vĩ (bằng lăng, muồng, lim xẹt) đường kính thân 15 cm &lt; ĐK thân ≤25 cm</v>
          </cell>
        </row>
        <row r="627">
          <cell r="A627" t="str">
            <v>Cây phượng vĩ (bằng lăng, muồng, lim xẹt) đường kính thân 25 cm &lt; ĐK thân ≤40 cm</v>
          </cell>
          <cell r="F627" t="str">
            <v>Cây phượng vĩ (bằng lăng, muồng, lim xẹt) đường kính thân 25 cm &lt; ĐK thân ≤40 cm</v>
          </cell>
        </row>
        <row r="628">
          <cell r="A628" t="str">
            <v>Cây phượng vĩ (bằng lăng, muồng, lim xẹt) đường kính thân 40 cm &lt; ĐK thân ≤60 cm</v>
          </cell>
          <cell r="F628" t="str">
            <v>Cây phượng vĩ (bằng lăng, muồng, lim xẹt) đường kính thân 40 cm &lt; ĐK thân ≤60 cm</v>
          </cell>
        </row>
        <row r="629">
          <cell r="A629" t="str">
            <v>Cây phượng vĩ (bằng lăng, muồng, lim xẹt) ĐK thân &gt; 60 cm</v>
          </cell>
          <cell r="F629" t="str">
            <v>Cây phượng vĩ (bằng lăng, muồng, lim xẹt) ĐK thân &gt; 60 cm</v>
          </cell>
        </row>
        <row r="630">
          <cell r="A630" t="str">
            <v>Cây long não, bồ đề</v>
          </cell>
          <cell r="F630" t="str">
            <v>Cây long não, bồ đề</v>
          </cell>
        </row>
        <row r="631">
          <cell r="A631" t="str">
            <v>Cây long não, bồ đề Giống đủ tiêu chuẩn mới trồng, chiều cao cây H ≤40cm</v>
          </cell>
          <cell r="F631" t="str">
            <v>Cây long não, bồ đề Giống đủ tiêu chuẩn mới trồng, chiều cao cây H ≤40cm</v>
          </cell>
        </row>
        <row r="632">
          <cell r="A632" t="str">
            <v>Cây long não, bồ đề đường kính gốc 1cm &lt; ĐK gốc &lt; 3cm</v>
          </cell>
          <cell r="F632" t="str">
            <v>Cây long não, bồ đề đường kính gốc 1cm &lt; ĐK gốc &lt; 3cm</v>
          </cell>
        </row>
        <row r="633">
          <cell r="A633" t="str">
            <v>Cây long não, bồ đề đường kính gốc 3 cm ≤ ĐK gốc &lt; 5 cm</v>
          </cell>
          <cell r="F633" t="str">
            <v>Cây long não, bồ đề đường kính gốc 3 cm ≤ ĐK gốc &lt; 5 cm</v>
          </cell>
        </row>
        <row r="634">
          <cell r="A634" t="str">
            <v>Cây long não, bồ đề đường kính gốc 5cm ≤ ĐK gốc &lt; 10cm</v>
          </cell>
          <cell r="F634" t="str">
            <v>Cây long não, bồ đề đường kính gốc 5cm ≤ ĐK gốc &lt; 10cm</v>
          </cell>
        </row>
        <row r="635">
          <cell r="A635" t="str">
            <v>Cây long não, bồ đề đường kính gốc 10cm ≤ ĐK gốc &lt; 15cm</v>
          </cell>
          <cell r="F635" t="str">
            <v>Cây long não, bồ đề đường kính gốc 10cm ≤ ĐK gốc &lt; 15cm</v>
          </cell>
        </row>
        <row r="636">
          <cell r="A636" t="str">
            <v>Cây long não, bồ đề đường kính gốc 15cm ≤ ĐK gôc &lt; 20cm</v>
          </cell>
          <cell r="F636" t="str">
            <v>Cây long não, bồ đề đường kính gốc 15cm ≤ ĐK gôc &lt; 20cm</v>
          </cell>
        </row>
        <row r="637">
          <cell r="A637" t="str">
            <v>Cây long não, bồ đề đường kính gốc 20cm ≤ ĐK gốc &lt; 30cm</v>
          </cell>
          <cell r="F637" t="str">
            <v>Cây long não, bồ đề đường kính gốc 20cm ≤ ĐK gốc &lt; 30cm</v>
          </cell>
        </row>
        <row r="638">
          <cell r="A638" t="str">
            <v>Cây long não, bồ đề đường kính gốc 30cm ≤ ĐK gốc &lt; 40cm</v>
          </cell>
          <cell r="F638" t="str">
            <v>Cây long não, bồ đề đường kính gốc 30cm ≤ ĐK gốc &lt; 40cm</v>
          </cell>
        </row>
        <row r="639">
          <cell r="A639" t="str">
            <v>Cây long não, bồ đề ĐK gốc ≥ 40cm</v>
          </cell>
          <cell r="F639" t="str">
            <v>Cây long não, bồ đề ĐK gốc ≥ 40cm</v>
          </cell>
        </row>
        <row r="640">
          <cell r="A640" t="str">
            <v>Sao đen</v>
          </cell>
          <cell r="F640" t="str">
            <v>Sao đen</v>
          </cell>
        </row>
        <row r="641">
          <cell r="A641" t="str">
            <v>Sao đen đường kính gốc 1 cm ≤ ĐK gốc &lt; 3cm</v>
          </cell>
          <cell r="F641" t="str">
            <v>Sao đen đường kính gốc 1 cm ≤ ĐK gốc &lt; 3cm</v>
          </cell>
        </row>
        <row r="642">
          <cell r="A642" t="str">
            <v>Sao đen đường kính gốc 3 cm ≤ ĐK gốc &lt; 5cm</v>
          </cell>
          <cell r="F642" t="str">
            <v>Sao đen đường kính gốc 3 cm ≤ ĐK gốc &lt; 5cm</v>
          </cell>
        </row>
        <row r="643">
          <cell r="A643" t="str">
            <v>Sao đen đường kính gốc 5cm ≤ ĐK gốc &lt; 7cm</v>
          </cell>
          <cell r="F643" t="str">
            <v>Sao đen đường kính gốc 5cm ≤ ĐK gốc &lt; 7cm</v>
          </cell>
        </row>
        <row r="644">
          <cell r="A644" t="str">
            <v>Sao đen đường kính gốc 7cm ≤ ĐK gốc &lt; 9cm</v>
          </cell>
          <cell r="F644" t="str">
            <v>Sao đen đường kính gốc 7cm ≤ ĐK gốc &lt; 9cm</v>
          </cell>
        </row>
        <row r="645">
          <cell r="A645" t="str">
            <v>Sao đen ĐK gốc ≥ 9cm</v>
          </cell>
          <cell r="F645" t="str">
            <v>Sao đen ĐK gốc ≥ 9cm</v>
          </cell>
        </row>
        <row r="646">
          <cell r="A646" t="str">
            <v>Cây sưa</v>
          </cell>
          <cell r="F646" t="str">
            <v>Cây sưa</v>
          </cell>
        </row>
        <row r="647">
          <cell r="A647" t="str">
            <v>Cây sưa Cây giống đủ tiêu chuẩn, mới trồng, chiều cao cây H ≥ 30cm</v>
          </cell>
          <cell r="F647" t="str">
            <v>Cây sưa Cây giống đủ tiêu chuẩn, mới trồng, chiều cao cây H ≥ 30cm</v>
          </cell>
        </row>
        <row r="648">
          <cell r="A648" t="str">
            <v>Cây sưa đường kính thân 2 cm &lt; ĐK thân ≤5 cm</v>
          </cell>
          <cell r="F648" t="str">
            <v>Cây sưa đường kính thân 2 cm &lt; ĐK thân ≤5 cm</v>
          </cell>
        </row>
        <row r="649">
          <cell r="A649" t="str">
            <v>Cây sưa đường kính thân 5 cm &lt; ĐK thân ≤10 cm</v>
          </cell>
          <cell r="F649" t="str">
            <v>Cây sưa đường kính thân 5 cm &lt; ĐK thân ≤10 cm</v>
          </cell>
        </row>
        <row r="650">
          <cell r="A650" t="str">
            <v>Cây sưa đường kính thân 10 cm &lt; ĐK thân ≤15 cm</v>
          </cell>
          <cell r="F650" t="str">
            <v>Cây sưa đường kính thân 10 cm &lt; ĐK thân ≤15 cm</v>
          </cell>
        </row>
        <row r="651">
          <cell r="A651" t="str">
            <v>Cây sưa đường kính thân 15 cm &lt; ĐK thân ≤25 cm</v>
          </cell>
          <cell r="F651" t="str">
            <v>Cây sưa đường kính thân 15 cm &lt; ĐK thân ≤25 cm</v>
          </cell>
        </row>
        <row r="652">
          <cell r="A652" t="str">
            <v>Cây sưa đường kính thân 25 cm &lt; ĐK thân ≤40 cm</v>
          </cell>
          <cell r="F652" t="str">
            <v>Cây sưa đường kính thân 25 cm &lt; ĐK thân ≤40 cm</v>
          </cell>
        </row>
        <row r="653">
          <cell r="A653" t="str">
            <v>Cây sưa đường kính thân 40 cm &lt; ĐK thân ≤ 60 cm</v>
          </cell>
          <cell r="F653" t="str">
            <v>Cây sưa đường kính thân 40 cm &lt; ĐK thân ≤ 60 cm</v>
          </cell>
        </row>
        <row r="654">
          <cell r="A654" t="str">
            <v>Cây sưa ĐK thân &gt; 60 cm</v>
          </cell>
          <cell r="F654" t="str">
            <v>Cây sưa ĐK thân &gt; 60 cm</v>
          </cell>
        </row>
        <row r="655">
          <cell r="A655" t="str">
            <v>Cây trám</v>
          </cell>
          <cell r="F655" t="str">
            <v>Cây trám</v>
          </cell>
        </row>
        <row r="656">
          <cell r="A656" t="str">
            <v>Cây trám Mới trồng, đường kính gốc &lt; 2cm</v>
          </cell>
          <cell r="F656" t="str">
            <v>Cây trám Mới trồng, đường kính gốc &lt; 2cm</v>
          </cell>
        </row>
        <row r="657">
          <cell r="A657" t="str">
            <v>Cây trám đường kính gốc 2 cm &lt; ĐK gốc ≤ 5 cm</v>
          </cell>
          <cell r="F657" t="str">
            <v>Cây trám đường kính gốc 2 cm &lt; ĐK gốc ≤ 5 cm</v>
          </cell>
        </row>
        <row r="658">
          <cell r="A658" t="str">
            <v>Cây trám đường kính gốc 5 cm &lt; ĐK gốc ≤ 10 cm</v>
          </cell>
          <cell r="F658" t="str">
            <v>Cây trám đường kính gốc 5 cm &lt; ĐK gốc ≤ 10 cm</v>
          </cell>
        </row>
        <row r="659">
          <cell r="A659" t="str">
            <v>Cây trám đường kính gốc 10 cm &lt; ĐK gôc ≤ 15 cm</v>
          </cell>
          <cell r="F659" t="str">
            <v>Cây trám đường kính gốc 10 cm &lt; ĐK gôc ≤ 15 cm</v>
          </cell>
        </row>
        <row r="660">
          <cell r="A660" t="str">
            <v>Cây trám đường kính gốc 15 cm &lt; ĐK gốc ≤ 20 cm</v>
          </cell>
          <cell r="F660" t="str">
            <v>Cây trám đường kính gốc 15 cm &lt; ĐK gốc ≤ 20 cm</v>
          </cell>
        </row>
        <row r="661">
          <cell r="A661" t="str">
            <v>Cây trám đường kính gốc 20 cm &lt; ĐK gốc ≤ 25 cm</v>
          </cell>
          <cell r="F661" t="str">
            <v>Cây trám đường kính gốc 20 cm &lt; ĐK gốc ≤ 25 cm</v>
          </cell>
        </row>
        <row r="662">
          <cell r="A662" t="str">
            <v>Cây trám đường kính gốc 25 cm &lt; ĐK gốc ≤ 30 cm</v>
          </cell>
          <cell r="F662" t="str">
            <v>Cây trám đường kính gốc 25 cm &lt; ĐK gốc ≤ 30 cm</v>
          </cell>
        </row>
        <row r="663">
          <cell r="A663" t="str">
            <v>Cây trám ĐK gốc &gt; 30cm</v>
          </cell>
          <cell r="F663" t="str">
            <v>Cây trám ĐK gốc &gt; 30cm</v>
          </cell>
        </row>
        <row r="664">
          <cell r="A664" t="str">
            <v>Cây xoan</v>
          </cell>
          <cell r="F664" t="str">
            <v>Cây xoan</v>
          </cell>
        </row>
        <row r="665">
          <cell r="A665" t="str">
            <v>Cây xoan Cây giống mới trồng</v>
          </cell>
          <cell r="F665" t="str">
            <v>Cây xoan Cây giống mới trồng</v>
          </cell>
        </row>
        <row r="666">
          <cell r="A666" t="str">
            <v>Cây xoan đường kính thân 2 cm &lt; ĐK thân ≤5 cm</v>
          </cell>
          <cell r="F666" t="str">
            <v>Cây xoan đường kính thân 2 cm &lt; ĐK thân ≤5 cm</v>
          </cell>
        </row>
        <row r="667">
          <cell r="A667" t="str">
            <v>Cây xoan đường kính thân 5 cm &lt; ĐK thân ≤10 cm</v>
          </cell>
          <cell r="F667" t="str">
            <v>Cây xoan đường kính thân 5 cm &lt; ĐK thân ≤10 cm</v>
          </cell>
        </row>
        <row r="668">
          <cell r="A668" t="str">
            <v>Cây xoan đường kính thân 10 cm &lt; ĐK thân ≤15 cm</v>
          </cell>
          <cell r="F668" t="str">
            <v>Cây xoan đường kính thân 10 cm &lt; ĐK thân ≤15 cm</v>
          </cell>
        </row>
        <row r="669">
          <cell r="A669" t="str">
            <v>Cây xoan đường kính thân 15 cm &lt; ĐK thân ≤20 cm</v>
          </cell>
          <cell r="F669" t="str">
            <v>Cây xoan đường kính thân 15 cm &lt; ĐK thân ≤20 cm</v>
          </cell>
        </row>
        <row r="670">
          <cell r="A670" t="str">
            <v>Cây xoan đường kính thân 20 cm &lt; ĐK thân ≤30 cm</v>
          </cell>
          <cell r="F670" t="str">
            <v>Cây xoan đường kính thân 20 cm &lt; ĐK thân ≤30 cm</v>
          </cell>
        </row>
        <row r="671">
          <cell r="A671" t="str">
            <v>Cây xoan ĐK thân &gt; 30 cm</v>
          </cell>
          <cell r="F671" t="str">
            <v>Cây xoan ĐK thân &gt; 30 cm</v>
          </cell>
        </row>
        <row r="672">
          <cell r="A672" t="str">
            <v>Cây xà cừ (lát, sồi, lim xanh)</v>
          </cell>
          <cell r="F672" t="str">
            <v>Cây xà cừ (lát, sồi, lim xanh)</v>
          </cell>
        </row>
        <row r="673">
          <cell r="A673" t="str">
            <v>Cây xà cừ (lát, sồi, lim xanh) Cây giống mới trồng</v>
          </cell>
          <cell r="F673" t="str">
            <v>Cây xà cừ (lát, sồi, lim xanh) Cây giống mới trồng</v>
          </cell>
        </row>
        <row r="674">
          <cell r="A674" t="str">
            <v>Cây xà cừ (lát, sồi, lim xanh) đường kính thân 2 cm &lt; ĐK thân ≤5 cm</v>
          </cell>
          <cell r="F674" t="str">
            <v>Cây xà cừ (lát, sồi, lim xanh) đường kính thân 2 cm &lt; ĐK thân ≤5 cm</v>
          </cell>
        </row>
        <row r="675">
          <cell r="A675" t="str">
            <v>Cây xà cừ (lát, sồi, lim xanh) 5 cm &lt; ĐK thân ≤10 cm</v>
          </cell>
          <cell r="F675" t="str">
            <v>Cây xà cừ (lát, sồi, lim xanh) 5 cm &lt; ĐK thân ≤10 cm</v>
          </cell>
        </row>
        <row r="676">
          <cell r="A676" t="str">
            <v>Cây xà cừ (lát, sồi, lim xanh) 10 cm &lt; ĐK thân ≤15 cm</v>
          </cell>
          <cell r="F676" t="str">
            <v>Cây xà cừ (lát, sồi, lim xanh) 10 cm &lt; ĐK thân ≤15 cm</v>
          </cell>
        </row>
        <row r="677">
          <cell r="A677" t="str">
            <v>Cây xà cừ (lát, sồi, lim xanh) 15 cm &lt; ĐK thân ≤25 cm</v>
          </cell>
          <cell r="F677">
            <v>0</v>
          </cell>
        </row>
        <row r="678">
          <cell r="A678" t="str">
            <v>Cây xà cừ (lát, sồi, lim xanh) 25 &lt; ĐK thân ≤40 cm</v>
          </cell>
          <cell r="F678" t="str">
            <v>Cây phượng vĩ (bằng lăng, muồng, lim xẹt) đường kính thân 2 cm &lt; ĐK thân ≤5 cm</v>
          </cell>
        </row>
        <row r="679">
          <cell r="A679" t="str">
            <v>Cây xà cừ (lát, sồi, lim xanh) 40 cm &lt; ĐK thân ≤60 cm</v>
          </cell>
          <cell r="F679" t="str">
            <v>Cây xà cừ (lát, sồi, lim xanh) 40 cm &lt; ĐK thân ≤60 cm</v>
          </cell>
        </row>
        <row r="680">
          <cell r="A680" t="str">
            <v>Cây xà cừ (lát, sồi, lim xanh) ĐK thân &gt; 60 cm</v>
          </cell>
          <cell r="F680" t="str">
            <v>Cây xà cừ (lát, sồi, lim xanh) ĐK thân &gt; 60 cm</v>
          </cell>
        </row>
        <row r="681">
          <cell r="A681" t="str">
            <v>Cây bàng</v>
          </cell>
          <cell r="F681" t="str">
            <v>Cây bàng</v>
          </cell>
        </row>
        <row r="682">
          <cell r="A682" t="str">
            <v>Cây bàng giống mới trồng</v>
          </cell>
          <cell r="F682" t="str">
            <v>Cây bàng giống mới trồng</v>
          </cell>
        </row>
        <row r="683">
          <cell r="A683" t="str">
            <v>Cây bàng đường kính thân 2 cm &lt; ĐK thân ≤5 cm</v>
          </cell>
          <cell r="F683" t="str">
            <v>Cây bàng đường kính thân 2 cm &lt; ĐK thân ≤5 cm</v>
          </cell>
        </row>
        <row r="684">
          <cell r="A684" t="str">
            <v>Cây bàng đường kính thân 5 cm &lt; ĐK thân ≤10 cm</v>
          </cell>
          <cell r="F684" t="str">
            <v>Cây bàng đường kính thân 5 cm &lt; ĐK thân ≤10 cm</v>
          </cell>
        </row>
        <row r="685">
          <cell r="A685" t="str">
            <v>Cây bàng đường kính thân 10 cm &lt; ĐK thân ≤15 cm</v>
          </cell>
          <cell r="F685" t="str">
            <v>Cây bàng đường kính thân 10 cm &lt; ĐK thân ≤15 cm</v>
          </cell>
        </row>
        <row r="686">
          <cell r="A686" t="str">
            <v>Cây bàng đường kính thân 15 cm &lt; ĐK thân ≤20 cm</v>
          </cell>
          <cell r="F686" t="str">
            <v>Cây bàng đường kính thân 15 cm &lt; ĐK thân ≤20 cm</v>
          </cell>
        </row>
        <row r="687">
          <cell r="A687" t="str">
            <v>Cây bàng đường kính thân 20 cm &lt; ĐK thân ≤30 cm</v>
          </cell>
          <cell r="F687" t="str">
            <v>Cây bàng đường kính thân 20 cm &lt; ĐK thân ≤30 cm</v>
          </cell>
        </row>
        <row r="688">
          <cell r="A688" t="str">
            <v>Cây bàng ĐK thân &gt; 30 cm</v>
          </cell>
          <cell r="F688" t="str">
            <v>Cây bàng ĐK thân &gt; 30 cm</v>
          </cell>
        </row>
        <row r="689">
          <cell r="A689" t="str">
            <v>Cây trứng cá</v>
          </cell>
          <cell r="F689" t="str">
            <v>Cây trứng cá</v>
          </cell>
        </row>
        <row r="690">
          <cell r="A690" t="str">
            <v>Cây trứng cá giống mới trồng</v>
          </cell>
          <cell r="F690" t="str">
            <v>Cây trứng cá giống mới trồng</v>
          </cell>
        </row>
        <row r="691">
          <cell r="A691" t="str">
            <v>Cây trứng cá đường kính thân 2 cm &lt; ĐK thân ≤5 cm</v>
          </cell>
          <cell r="F691" t="str">
            <v>Cây trứng cá đường kính thân 2 cm &lt; ĐK thân ≤5 cm</v>
          </cell>
        </row>
        <row r="692">
          <cell r="A692" t="str">
            <v>Cây trứng cá đường kính thân 5 cm &lt; ĐK thân ≤10 cm</v>
          </cell>
          <cell r="F692" t="str">
            <v>Cây trứng cá đường kính thân 5 cm &lt; ĐK thân ≤10 cm</v>
          </cell>
        </row>
        <row r="693">
          <cell r="A693" t="str">
            <v>Cây trứng cá đường kính thân 10 cm &lt; ĐK thân ≤15 cm</v>
          </cell>
          <cell r="F693" t="str">
            <v>Cây trứng cá đường kính thân 10 cm &lt; ĐK thân ≤15 cm</v>
          </cell>
        </row>
        <row r="694">
          <cell r="A694" t="str">
            <v>Cây trứng cá đường kính thân 15 cm &lt; ĐK thân ≤20 cm</v>
          </cell>
          <cell r="F694" t="str">
            <v>Cây trứng cá đường kính thân 15 cm &lt; ĐK thân ≤20 cm</v>
          </cell>
        </row>
        <row r="695">
          <cell r="A695" t="str">
            <v>Cây trứng cá đường kính thân 20 cm &lt; ĐK thân ≤30 cm</v>
          </cell>
          <cell r="F695" t="str">
            <v>Cây trứng cá đường kính thân 20 cm &lt; ĐK thân ≤30 cm</v>
          </cell>
        </row>
        <row r="696">
          <cell r="A696" t="str">
            <v>Cây trứng cá ĐK thân &gt; 30 cm</v>
          </cell>
          <cell r="F696" t="str">
            <v>Cây trứng cá ĐK thân &gt; 30 cm</v>
          </cell>
        </row>
        <row r="697">
          <cell r="A697" t="str">
            <v>Cây bạch đàn</v>
          </cell>
          <cell r="F697" t="str">
            <v>Cây trứng cá</v>
          </cell>
        </row>
        <row r="698">
          <cell r="A698" t="str">
            <v>Cây bạch đàn Cây giống mới trồng</v>
          </cell>
          <cell r="F698" t="str">
            <v>Cây bạch đàn Cây giống mới trồng</v>
          </cell>
        </row>
        <row r="699">
          <cell r="A699" t="str">
            <v>Cây bạch đàn đường kính thân 2 cm &lt; ĐK thân ≤5 cm</v>
          </cell>
          <cell r="F699" t="str">
            <v>Cây bạch đàn đường kính thân 2 cm &lt; ĐK thân ≤5 cm</v>
          </cell>
        </row>
        <row r="700">
          <cell r="A700" t="str">
            <v>Cây bạch đàn đường kính thân 5 cm &lt; ĐK thân ≤10 cm</v>
          </cell>
          <cell r="F700" t="str">
            <v>Cây bạch đàn đường kính thân 5 cm &lt; ĐK thân ≤10 cm</v>
          </cell>
        </row>
        <row r="701">
          <cell r="A701" t="str">
            <v>Cây bạch đàn đường kính thân 10 cm &lt; ĐK thân ≤20 cm</v>
          </cell>
          <cell r="F701" t="str">
            <v>Cây bạch đàn đường kính thân 10 cm &lt; ĐK thân ≤20 cm</v>
          </cell>
        </row>
        <row r="702">
          <cell r="A702" t="str">
            <v>Cây bạch đàn đường kính thân 20 cm &lt; ĐK thân ≤30 cm</v>
          </cell>
          <cell r="F702" t="str">
            <v>Cây bạch đàn đường kính thân 20 cm &lt; ĐK thân ≤30 cm</v>
          </cell>
        </row>
        <row r="703">
          <cell r="A703" t="str">
            <v>Cây bạch đàn đường kính thân 30 cm &lt; ĐK thân ≤40 cm</v>
          </cell>
          <cell r="F703" t="str">
            <v>Cây bạch đàn đường kính thân 30 cm &lt; ĐK thân ≤40 cm</v>
          </cell>
        </row>
        <row r="704">
          <cell r="A704" t="str">
            <v>Cây bạch đàn ĐK thân &gt; 40 cm</v>
          </cell>
          <cell r="F704" t="str">
            <v>Cây bạch đàn ĐK thân &gt; 40 cm</v>
          </cell>
        </row>
        <row r="705">
          <cell r="A705" t="str">
            <v>Cây phi lao, thông</v>
          </cell>
          <cell r="F705" t="str">
            <v>Cây phi lao, thông</v>
          </cell>
        </row>
        <row r="706">
          <cell r="A706" t="str">
            <v>Cây phi lao giống mới trồng</v>
          </cell>
          <cell r="F706" t="str">
            <v>Cây phi lao giống mới trồng</v>
          </cell>
        </row>
        <row r="707">
          <cell r="A707" t="str">
            <v>Cây phi lao đường kính thân 2 cm &lt; ĐK thân ≤5 cm</v>
          </cell>
          <cell r="F707" t="str">
            <v>Cây phi lao đường kính thân 2 cm &lt; ĐK thân ≤5 cm</v>
          </cell>
        </row>
        <row r="708">
          <cell r="A708" t="str">
            <v>Cây phi lao đường kính thân 5 cm &lt; ĐK thân ≤10 cm</v>
          </cell>
          <cell r="F708" t="str">
            <v>Cây phi lao đường kính thân 5 cm &lt; ĐK thân ≤10 cm</v>
          </cell>
        </row>
        <row r="709">
          <cell r="A709" t="str">
            <v>Cây phi lao đường kính thân 10 cm &lt; ĐK thân ≤20 cm</v>
          </cell>
          <cell r="F709" t="str">
            <v>Cây phi lao đường kính thân 10 cm &lt; ĐK thân ≤20 cm</v>
          </cell>
        </row>
        <row r="710">
          <cell r="A710" t="str">
            <v>Cây phi lao đường kính thân 20cm &lt; ĐK thân ≤30 cm</v>
          </cell>
          <cell r="F710" t="str">
            <v>Cây phi lao đường kính thân 20cm &lt; ĐK thân ≤30 cm</v>
          </cell>
        </row>
        <row r="711">
          <cell r="A711" t="str">
            <v>Cây phi lao đường kính thân 30 cm &lt; ĐK thân ≤40 cm</v>
          </cell>
          <cell r="F711" t="str">
            <v>Cây phi lao đường kính thân 30 cm &lt; ĐK thân ≤40 cm</v>
          </cell>
        </row>
        <row r="712">
          <cell r="A712" t="str">
            <v>Cây phi lao ĐK thân &gt; 40 cm</v>
          </cell>
          <cell r="F712" t="str">
            <v>Cây phi lao ĐK thân &gt; 40 cm</v>
          </cell>
        </row>
        <row r="713">
          <cell r="A713" t="str">
            <v>Cây keo tai tượng</v>
          </cell>
          <cell r="F713" t="str">
            <v>Cây keo tai tượng</v>
          </cell>
        </row>
        <row r="714">
          <cell r="A714" t="str">
            <v>Cây keo tai tượng giống mới trồng</v>
          </cell>
          <cell r="F714" t="str">
            <v>Cây keo tai tượng giống mới trồng</v>
          </cell>
        </row>
        <row r="715">
          <cell r="A715" t="str">
            <v>Cây keo tai tượng đường kính thân 2 cm &lt; ĐK thân ≤5 cm</v>
          </cell>
          <cell r="F715" t="str">
            <v>Cây keo tai tượng đường kính thân 2 cm &lt; ĐK thân ≤5 cm</v>
          </cell>
        </row>
        <row r="716">
          <cell r="A716" t="str">
            <v>Cây keo tai tượng đường kính thân 5 cm &lt; ĐK thân &lt;10 cm</v>
          </cell>
          <cell r="F716" t="str">
            <v>Cây keo tai tượng đường kính thân 5 cm &lt; ĐK thân &lt;10 cm</v>
          </cell>
        </row>
        <row r="717">
          <cell r="A717" t="str">
            <v>Cây keo tai tượng đường kính thân 10 cm &lt; ĐK thân ≤20 cm</v>
          </cell>
          <cell r="F717" t="str">
            <v>Cây keo tai tượng đường kính thân 10 cm &lt; ĐK thân ≤20 cm</v>
          </cell>
        </row>
        <row r="718">
          <cell r="A718" t="str">
            <v>Cây keo tai tượng đường kính thân 20 cm &lt; ĐK thân ≤30 cm</v>
          </cell>
          <cell r="F718" t="str">
            <v>Cây keo tai tượng đường kính thân 20 cm &lt; ĐK thân ≤30 cm</v>
          </cell>
        </row>
        <row r="719">
          <cell r="A719" t="str">
            <v>Cây keo tai tượng đường kính thân 30 cm &lt; ĐK thân ≤40 cm</v>
          </cell>
          <cell r="F719" t="str">
            <v>Cây keo tai tượng đường kính thân 30 cm &lt; ĐK thân ≤40 cm</v>
          </cell>
        </row>
        <row r="720">
          <cell r="A720" t="str">
            <v>Cây keo tai tượng ĐK thân &gt; 40 cm</v>
          </cell>
          <cell r="F720" t="str">
            <v>Cây keo tai tượng ĐK thân &gt; 40 cm</v>
          </cell>
        </row>
        <row r="721">
          <cell r="A721" t="str">
            <v>Cây liễu</v>
          </cell>
          <cell r="F721" t="str">
            <v>Cây liễu</v>
          </cell>
        </row>
        <row r="722">
          <cell r="A722" t="str">
            <v>Cây liễu giống mới trồng</v>
          </cell>
          <cell r="F722" t="str">
            <v>Cây liễu giống mới trồng</v>
          </cell>
        </row>
        <row r="723">
          <cell r="A723" t="str">
            <v>Cây liễu đường kính thân 2 cm &lt; ĐK thân ≤5 cm</v>
          </cell>
          <cell r="F723" t="str">
            <v>Cây liễu đường kính thân 2 cm &lt; ĐK thân ≤5 cm</v>
          </cell>
        </row>
        <row r="724">
          <cell r="A724" t="str">
            <v>Cây liễu đường kính thân 5 cm &lt; ĐK thân ≤10 cm</v>
          </cell>
          <cell r="F724" t="str">
            <v>Cây liễu đường kính thân 5 cm &lt; ĐK thân ≤10 cm</v>
          </cell>
        </row>
        <row r="725">
          <cell r="A725" t="str">
            <v>Cây liễu đường kính thân 10 cm &lt; ĐK thân ≤15 cm</v>
          </cell>
          <cell r="F725" t="str">
            <v>Cây liễu đường kính thân 10 cm &lt; ĐK thân ≤15 cm</v>
          </cell>
        </row>
        <row r="726">
          <cell r="A726" t="str">
            <v>Cây liễu đường kính thân 15 cm &lt; ĐK thân ≤25 cm</v>
          </cell>
          <cell r="F726" t="str">
            <v>Cây liễu đường kính thân 15 cm &lt; ĐK thân ≤25 cm</v>
          </cell>
        </row>
        <row r="727">
          <cell r="A727" t="str">
            <v>Cây liễu ĐK thân &gt; 25 cm</v>
          </cell>
          <cell r="F727" t="str">
            <v>Cây liễu ĐK thân &gt; 25 cm</v>
          </cell>
        </row>
        <row r="728">
          <cell r="A728" t="str">
            <v>Cây lộc vừng</v>
          </cell>
          <cell r="F728" t="str">
            <v>Cây lộc vừng</v>
          </cell>
        </row>
        <row r="729">
          <cell r="A729" t="str">
            <v>Cây lộc vừng giống mới trồng</v>
          </cell>
          <cell r="F729" t="str">
            <v>Cây lộc vừng giống mới trồng</v>
          </cell>
        </row>
        <row r="730">
          <cell r="A730" t="str">
            <v>Cây lộc vừng đường kính thân 2 cm &lt; ĐK thân ≤5 cm</v>
          </cell>
          <cell r="F730" t="str">
            <v>Cây lộc vừng đường kính thân 2 cm &lt; ĐK thân ≤5 cm</v>
          </cell>
        </row>
        <row r="731">
          <cell r="A731" t="str">
            <v>Cây lộc vừng đường kính thân 5 cm &lt; ĐK thân ≤10 cm</v>
          </cell>
          <cell r="F731" t="str">
            <v>Cây lộc vừng đường kính thân 5 cm &lt; ĐK thân ≤10 cm</v>
          </cell>
        </row>
        <row r="732">
          <cell r="A732" t="str">
            <v>Cây lộc vừng đường kính thân 10 cm &lt; ĐK thân ≤15 cm</v>
          </cell>
        </row>
        <row r="733">
          <cell r="A733" t="str">
            <v>Cây lộc vừng đường kính thân 15 cm &lt; ĐK thân ≤20 cm</v>
          </cell>
          <cell r="F733">
            <v>0</v>
          </cell>
        </row>
        <row r="734">
          <cell r="A734" t="str">
            <v>Cây lộc vừng đường kính thân 20 cm &lt; ĐK thân ≤25 cm</v>
          </cell>
          <cell r="F734" t="str">
            <v>Cây lộc vừng đường kính thân 20 cm &lt; ĐK thân ≤25 cm</v>
          </cell>
        </row>
        <row r="735">
          <cell r="A735" t="str">
            <v>Cây lộc vừng đường kính thân 25 cm &lt; ĐK thân ≤30 cm</v>
          </cell>
          <cell r="F735" t="str">
            <v>Cây lộc vừng đường kính thân 25 cm &lt; ĐK thân ≤30 cm</v>
          </cell>
        </row>
        <row r="736">
          <cell r="A736" t="str">
            <v>Cây lộc vừng ĐK thân &gt;30 cm</v>
          </cell>
          <cell r="F736" t="str">
            <v>Cây lộc vừng ĐK thân &gt;30 cm</v>
          </cell>
        </row>
        <row r="737">
          <cell r="A737" t="str">
            <v>Cây móng rồng</v>
          </cell>
          <cell r="F737" t="str">
            <v>Cây móng rồng</v>
          </cell>
        </row>
        <row r="738">
          <cell r="A738" t="str">
            <v>Cây móng rồng giống</v>
          </cell>
          <cell r="F738" t="str">
            <v>Cây móng rồng giống</v>
          </cell>
        </row>
        <row r="739">
          <cell r="A739" t="str">
            <v>Cây móng rồng đường kính thân 1 cm &lt; ĐK thân ≤3 cm</v>
          </cell>
          <cell r="F739" t="str">
            <v>Cây móng rồng đường kính thân 1 cm &lt; ĐK thân ≤3 cm</v>
          </cell>
        </row>
        <row r="740">
          <cell r="A740" t="str">
            <v>Cây móng rồng đường kính thân 3 cm &lt; ĐK thân ≤5 cm</v>
          </cell>
          <cell r="F740" t="str">
            <v>Cây móng rồng đường kính thân 3 cm &lt; ĐK thân ≤5 cm</v>
          </cell>
        </row>
        <row r="741">
          <cell r="A741" t="str">
            <v>Cây móng rồng đường kính thân 5 cm &lt; ĐK thân ≤10 cm</v>
          </cell>
          <cell r="F741" t="str">
            <v>Cây móng rồng đường kính thân 5 cm &lt; ĐK thân ≤10 cm</v>
          </cell>
        </row>
        <row r="742">
          <cell r="A742" t="str">
            <v>Cây móng rồng đường kính thân 10 cm &lt; ĐK thân ≤15 cm</v>
          </cell>
          <cell r="F742" t="str">
            <v>Cây móng rồng đường kính thân 10 cm &lt; ĐK thân ≤15 cm</v>
          </cell>
        </row>
        <row r="743">
          <cell r="A743" t="str">
            <v>Cây móng rồng ĐK thân &gt; 15 cm</v>
          </cell>
          <cell r="F743" t="str">
            <v>Cây móng rồng ĐK thân &gt; 15 cm</v>
          </cell>
        </row>
        <row r="744">
          <cell r="A744" t="str">
            <v>Cây đa (sanh, si, duối, bồ đề)</v>
          </cell>
          <cell r="F744" t="str">
            <v>Cây đa (sanh, si, duối, bồ đề)</v>
          </cell>
        </row>
        <row r="745">
          <cell r="A745" t="str">
            <v>Cây đa (sanh, si, duối, bồ đề) Cây giống mới trồng</v>
          </cell>
          <cell r="F745" t="str">
            <v>Cây đa (sanh, si, duối, bồ đề) Cây giống mới trồng</v>
          </cell>
        </row>
        <row r="746">
          <cell r="A746" t="str">
            <v>Cây đa (sanh, si, duối, bồ đề) đường kính thân 2 cm &lt; ĐK thân ≤5 cm</v>
          </cell>
          <cell r="F746" t="str">
            <v>Cây đa (sanh, si, duối, bồ đề) đường kính thân 2 cm &lt; ĐK thân ≤5 cm</v>
          </cell>
        </row>
        <row r="747">
          <cell r="A747" t="str">
            <v>Cây đa (sanh, si, duối, bồ đề) đường kính thân 5 cm &lt; ĐK thân ≤10 cm</v>
          </cell>
          <cell r="F747" t="str">
            <v>Cây đa (sanh, si, duối, bồ đề) đường kính thân 5 cm &lt; ĐK thân ≤10 cm</v>
          </cell>
        </row>
        <row r="748">
          <cell r="A748" t="str">
            <v>Cây đa (sanh, si, duối, bồ đề) đường kính thân 10 cm &lt; ĐK thân ≤15 cm</v>
          </cell>
          <cell r="F748" t="str">
            <v>Cây đa (sanh, si, duối, bồ đề) đường kính thân 10 cm &lt; ĐK thân ≤15 cm</v>
          </cell>
        </row>
        <row r="749">
          <cell r="A749" t="str">
            <v>Cây đa (sanh, si, duối, bồ đề) đường kính thân 15 cm &lt; ĐK thân ≤25 cm</v>
          </cell>
          <cell r="F749" t="str">
            <v>Cây đa (sanh, si, duối, bồ đề) đường kính thân 15 cm &lt; ĐK thân ≤25 cm</v>
          </cell>
        </row>
        <row r="750">
          <cell r="A750" t="str">
            <v>Cây đa (sanh, si, duối, bồ đề) đường kính thân 25 cm &lt; ĐK thân ≤40 cm</v>
          </cell>
          <cell r="F750" t="str">
            <v>Cây đa (sanh, si, duối, bồ đề) đường kính thân 25 cm &lt; ĐK thân ≤40 cm</v>
          </cell>
        </row>
        <row r="751">
          <cell r="A751" t="str">
            <v>Cây đa (sanh, si, duối, bồ đề) đường kính thân 40 cm &lt; ĐK thân ≤60 cm</v>
          </cell>
          <cell r="F751" t="str">
            <v>Cây đa (sanh, si, duối, bồ đề) đường kính thân 40 cm &lt; ĐK thân ≤60 cm</v>
          </cell>
        </row>
        <row r="752">
          <cell r="A752" t="str">
            <v>Cây đa (sanh, si, duối, bồ đề) ĐK thân &gt; 60 cm</v>
          </cell>
          <cell r="F752" t="str">
            <v>Cây đa (sanh, si, duối, bồ đề) ĐK thân &gt; 60 cm</v>
          </cell>
        </row>
        <row r="753">
          <cell r="A753" t="str">
            <v>Cây sộp (Túc)</v>
          </cell>
          <cell r="F753" t="str">
            <v>Cây sộp (Túc)</v>
          </cell>
        </row>
        <row r="754">
          <cell r="A754" t="str">
            <v>Cây sộp (Túc) Cây giống đủ tiêu chuẩn mới trồng, chiều cao cây H &lt; 40cm</v>
          </cell>
          <cell r="F754" t="str">
            <v>Cây sộp (Túc) Cây giống đủ tiêu chuẩn mới trồng, chiều cao cây H &lt; 40cm</v>
          </cell>
        </row>
        <row r="755">
          <cell r="A755" t="str">
            <v>Cây sộp (Túc) đường kính thân 10 cm &lt; ĐK thân ≤15 cm</v>
          </cell>
          <cell r="F755" t="str">
            <v>Cây sộp (Túc) đường kính thân 10 cm &lt; ĐK thân ≤15 cm</v>
          </cell>
        </row>
        <row r="756">
          <cell r="A756" t="str">
            <v>Cây sộp (Túc) đường kính thân 15 cm &lt; ĐK thân ≤20 cm</v>
          </cell>
          <cell r="F756" t="str">
            <v>Cây sộp (Túc) đường kính thân 15 cm &lt; ĐK thân ≤20 cm</v>
          </cell>
        </row>
        <row r="757">
          <cell r="A757" t="str">
            <v>Cây sộp (Túc) đường kính thân 20 cm &lt; ĐK thân ≤30 cm</v>
          </cell>
          <cell r="F757" t="str">
            <v>Cây sộp (Túc) đường kính thân 20 cm &lt; ĐK thân ≤30 cm</v>
          </cell>
        </row>
        <row r="758">
          <cell r="A758" t="str">
            <v>Cây sộp (Túc) đường kính thân 30 cm&lt; ĐK thân ≤40cm</v>
          </cell>
          <cell r="F758" t="str">
            <v>Cây sộp (Túc) đường kính thân 30 cm&lt; ĐK thân ≤40cm</v>
          </cell>
        </row>
        <row r="759">
          <cell r="A759" t="str">
            <v>Cây sộp (Túc) ĐK thân &gt; 40 cm</v>
          </cell>
          <cell r="F759" t="str">
            <v>Cây sộp (Túc) ĐK thân &gt; 40 cm</v>
          </cell>
        </row>
        <row r="760">
          <cell r="A760" t="str">
            <v>Cây gáo</v>
          </cell>
          <cell r="F760" t="str">
            <v>Cây gáo</v>
          </cell>
        </row>
        <row r="761">
          <cell r="A761" t="str">
            <v>Cây gáo Giống đủ tiêu chuẩn mới trồng, chiều cao cây H ≥ 40cm</v>
          </cell>
          <cell r="F761" t="str">
            <v>Cây gáo Giống đủ tiêu chuẩn mới trồng, chiều cao cây H ≥ 40cm</v>
          </cell>
        </row>
        <row r="762">
          <cell r="A762" t="str">
            <v>Cây gáo đường kính gốc 1cm ≤ ĐK gốc &lt; 3cm</v>
          </cell>
          <cell r="F762" t="str">
            <v>Cây gáo đường kính gốc 1cm ≤ ĐK gốc &lt; 3cm</v>
          </cell>
        </row>
        <row r="763">
          <cell r="A763" t="str">
            <v>Cây gáo đường kính gốc 3 cm ≤ ĐK gốc &lt; 5 cm</v>
          </cell>
          <cell r="F763" t="str">
            <v>Cây gáo đường kính gốc 3 cm ≤ ĐK gốc &lt; 5 cm</v>
          </cell>
        </row>
        <row r="764">
          <cell r="A764" t="str">
            <v>Cây gáo đường kính gốc 5cm ≤ ĐK gốc &lt; 10cm</v>
          </cell>
          <cell r="F764" t="str">
            <v>Cây gáo đường kính gốc 5cm ≤ ĐK gốc &lt; 10cm</v>
          </cell>
        </row>
        <row r="765">
          <cell r="A765" t="str">
            <v>Cây gáo đường kính gốc 10cm ≤ ĐK gốc &lt; 15cm</v>
          </cell>
          <cell r="F765" t="str">
            <v>Cây gáo đường kính gốc 10cm ≤ ĐK gốc &lt; 15cm</v>
          </cell>
        </row>
        <row r="766">
          <cell r="A766" t="str">
            <v>Cây gáo đường kính gốc 15cm ≤ ĐK gốc &lt; 20cm</v>
          </cell>
          <cell r="F766" t="str">
            <v>Cây gáo đường kính gốc 15cm ≤ ĐK gốc &lt; 20cm</v>
          </cell>
        </row>
        <row r="767">
          <cell r="A767" t="str">
            <v>Cây gáo đường kính gốc 20cm ≤ ĐK gốc &lt; 30cm</v>
          </cell>
          <cell r="F767" t="str">
            <v>Cây gáo đường kính gốc 20cm ≤ ĐK gốc &lt; 30cm</v>
          </cell>
        </row>
        <row r="768">
          <cell r="A768" t="str">
            <v>Cây gáo đường kính gốc 30cm ≤ ĐK gốc &lt; 40cm</v>
          </cell>
          <cell r="F768" t="str">
            <v>Cây gáo đường kính gốc 30cm ≤ ĐK gốc &lt; 40cm</v>
          </cell>
        </row>
        <row r="769">
          <cell r="A769" t="str">
            <v>Cây gáo ĐK gốc ≥  40cm</v>
          </cell>
          <cell r="F769" t="str">
            <v>Cây gáo ĐK gốc ≥  40cm</v>
          </cell>
        </row>
        <row r="770">
          <cell r="A770" t="str">
            <v>Cây vọng cách</v>
          </cell>
          <cell r="F770" t="str">
            <v>Cây vọng cách</v>
          </cell>
        </row>
        <row r="771">
          <cell r="A771" t="str">
            <v>Cây vọng cách Cây giống mới trồng</v>
          </cell>
          <cell r="F771" t="str">
            <v>Cây vọng cách Cây giống mới trồng</v>
          </cell>
        </row>
        <row r="772">
          <cell r="A772" t="str">
            <v>Cây vọng cách đường kính thân 2 cm &lt; ĐK thân ≤5 cm</v>
          </cell>
          <cell r="F772" t="str">
            <v>Cây vọng cách đường kính thân 2 cm &lt; ĐK thân ≤5 cm</v>
          </cell>
        </row>
        <row r="773">
          <cell r="A773" t="str">
            <v>Cây vọng cách đường kính thân 5 cm &lt; ĐK thân ≤10 cm</v>
          </cell>
          <cell r="F773" t="str">
            <v>Cây vọng cách đường kính thân 5 cm &lt; ĐK thân ≤10 cm</v>
          </cell>
        </row>
        <row r="774">
          <cell r="A774" t="str">
            <v>Cây vọng cách đường kính thân 10 cm &lt; ĐK thân ≤15 cm</v>
          </cell>
          <cell r="F774" t="str">
            <v>Cây vọng cách đường kính thân 10 cm &lt; ĐK thân ≤15 cm</v>
          </cell>
        </row>
        <row r="775">
          <cell r="A775" t="str">
            <v>Cây vọng cách đường kính thân 15 cm &lt; ĐK thân ≤20 cm</v>
          </cell>
          <cell r="F775" t="str">
            <v>Cây vọng cách đường kính thân 15 cm &lt; ĐK thân ≤20 cm</v>
          </cell>
        </row>
        <row r="776">
          <cell r="A776" t="str">
            <v>Cây vọng cách đường kính thân 20 cm &lt; ĐK thân ≤30 cm</v>
          </cell>
          <cell r="F776" t="str">
            <v>Cây vọng cách đường kính thân 20 cm &lt; ĐK thân ≤30 cm</v>
          </cell>
        </row>
        <row r="777">
          <cell r="A777" t="str">
            <v>Cây vọng cách đường kính thân 30 cm &lt; ĐK thân ≤40 cm</v>
          </cell>
          <cell r="F777" t="str">
            <v>Cây vọng cách đường kính thân 30 cm &lt; ĐK thân ≤40 cm</v>
          </cell>
        </row>
        <row r="778">
          <cell r="A778" t="str">
            <v>Cây vọng cách ĐK thân &gt; 40 cm</v>
          </cell>
          <cell r="F778" t="str">
            <v>Cây vọng cách ĐK thân &gt; 40 cm</v>
          </cell>
        </row>
        <row r="779">
          <cell r="A779" t="str">
            <v>Muồng Hoàng yến (Osaka vàng)</v>
          </cell>
          <cell r="F779" t="str">
            <v>Muồng Hoàng yến (Osaka vàng)</v>
          </cell>
        </row>
        <row r="780">
          <cell r="A780" t="str">
            <v>Muồng Hoàng yến (Osaka vàng) Giống đủ tiêu chuẩn mới trồng, chiều cao cây H  ≤40cm</v>
          </cell>
          <cell r="F780" t="str">
            <v>Muồng Hoàng yến (Osaka vàng) Giống đủ tiêu chuẩn mới trồng, chiều cao cây H  ≤40cm</v>
          </cell>
        </row>
        <row r="781">
          <cell r="A781" t="str">
            <v>Muồng Hoàng yến (Osaka vàng) đường kính gốc 1 cm  ≤ ĐK gốc &lt; 3 cm</v>
          </cell>
          <cell r="F781" t="str">
            <v>Muồng Hoàng yến (Osaka vàng) đường kính gốc 1 cm  ≤ ĐK gốc &lt; 3 cm</v>
          </cell>
        </row>
        <row r="782">
          <cell r="A782" t="str">
            <v>Muồng Hoàng yến (Osaka vàng) đường kính gốc 3 cm  ≤ ĐK gốc &lt; 5 cm</v>
          </cell>
          <cell r="F782" t="str">
            <v>Muồng Hoàng yến (Osaka vàng) đường kính gốc 3 cm  ≤ ĐK gốc &lt; 5 cm</v>
          </cell>
        </row>
        <row r="783">
          <cell r="A783" t="str">
            <v>Muồng Hoàng yến (Osaka vàng) đường kính gốc 5cm  ≤ ĐK gốc &lt; 10cm</v>
          </cell>
          <cell r="F783" t="str">
            <v>Muồng Hoàng yến (Osaka vàng) đường kính gốc 5cm  ≤ ĐK gốc &lt; 10cm</v>
          </cell>
        </row>
        <row r="784">
          <cell r="A784" t="str">
            <v>Muồng Hoàng yến (Osaka vàng) đường kính gốc 10cm  ≤ ĐK gốc &lt; 15cm</v>
          </cell>
          <cell r="F784" t="str">
            <v>Muồng Hoàng yến (Osaka vàng) đường kính gốc 10cm  ≤ ĐK gốc &lt; 15cm</v>
          </cell>
        </row>
        <row r="785">
          <cell r="A785" t="str">
            <v>Muồng Hoàng yến (Osaka vàng) đường kính gốc 15cm  ≤ ĐK gốc &lt; 20cm</v>
          </cell>
          <cell r="F785" t="str">
            <v>Muồng Hoàng yến (Osaka vàng) đường kính gốc 15cm  ≤ ĐK gốc &lt; 20cm</v>
          </cell>
        </row>
        <row r="786">
          <cell r="A786" t="str">
            <v>Muồng Hoàng yến (Osaka vàng) đường kính gốc 20cm  ≤ ĐK gốc &lt; 30cm</v>
          </cell>
          <cell r="F786" t="str">
            <v>Muồng Hoàng yến (Osaka vàng) đường kính gốc 20cm  ≤ ĐK gốc &lt; 30cm</v>
          </cell>
        </row>
        <row r="787">
          <cell r="A787" t="str">
            <v>Muồng Hoàng yến (Osaka vàng) đường kính gốc 30cm  ≤ ĐK gốc &lt; 40cm</v>
          </cell>
          <cell r="F787" t="str">
            <v>Muồng Hoàng yến (Osaka vàng) đường kính gốc 30cm  ≤ ĐK gốc &lt; 40cm</v>
          </cell>
        </row>
        <row r="788">
          <cell r="A788" t="str">
            <v>Muồng Hoàng yến (Osaka vàng) ĐK gốc ≥ 40cm</v>
          </cell>
          <cell r="F788" t="str">
            <v>Muồng Hoàng yến (Osaka vàng) ĐK gốc ≥ 40cm</v>
          </cell>
        </row>
        <row r="789">
          <cell r="A789" t="str">
            <v>Cây bồ kết</v>
          </cell>
          <cell r="F789" t="str">
            <v>Cây bồ kết</v>
          </cell>
        </row>
        <row r="790">
          <cell r="A790" t="str">
            <v>Cây bồ kết Cây giống đủ tiêu chuẩn mới trồng, chiều cao cây H ≥ 40cm</v>
          </cell>
          <cell r="F790" t="str">
            <v>Cây vọng cách đường kính thân 20 cm &lt; ĐK thân ≤30 cm</v>
          </cell>
        </row>
        <row r="791">
          <cell r="A791" t="str">
            <v>Cây bồ kết đường kính gốc 1 cm ≤ ĐK gốc &lt; 2cm</v>
          </cell>
          <cell r="F791" t="str">
            <v>Cây bồ kết đường kính gốc 1 cm ≤ ĐK gốc &lt; 2cm</v>
          </cell>
        </row>
        <row r="792">
          <cell r="A792" t="str">
            <v>Cây bồ kết đường kính gốc 2cm ≤ ĐK gốc &lt; 5cm</v>
          </cell>
          <cell r="F792" t="str">
            <v>Cây bồ kết đường kính gốc 2cm ≤ ĐK gốc &lt; 5cm</v>
          </cell>
        </row>
        <row r="793">
          <cell r="A793" t="str">
            <v>Cây bồ kết đường kính gốc 5cm ≤ ĐK gốc &lt; 7cm</v>
          </cell>
          <cell r="F793" t="str">
            <v>Cây bồ kết đường kính gốc 5cm ≤ ĐK gốc &lt; 7cm</v>
          </cell>
        </row>
        <row r="794">
          <cell r="A794" t="str">
            <v>Cây bồ kết đường kính gốc 7cm ≤ ĐK gốc &lt; 9cm</v>
          </cell>
          <cell r="F794" t="str">
            <v>Cây bồ kết đường kính gốc 7cm ≤ ĐK gốc &lt; 9cm</v>
          </cell>
        </row>
        <row r="795">
          <cell r="A795" t="str">
            <v>Cây bồ kết đường kính gốc 9cm ≤ ĐK gốc &lt; 12cm</v>
          </cell>
          <cell r="F795" t="str">
            <v>Cây bồ kết đường kính gốc 9cm ≤ ĐK gốc &lt; 12cm</v>
          </cell>
        </row>
        <row r="796">
          <cell r="A796" t="str">
            <v>Cây bồ kết đường kính gốc 12cm ≤ ĐK gốc &lt; 15cm</v>
          </cell>
          <cell r="F796" t="str">
            <v>Cây bồ kết đường kính gốc 12cm ≤ ĐK gốc &lt; 15cm</v>
          </cell>
        </row>
        <row r="797">
          <cell r="A797" t="str">
            <v>Cây bồ kết đường kính gốc 15cm ≤ ĐK gốc &lt; 20cm</v>
          </cell>
          <cell r="F797" t="str">
            <v>Cây bồ kết đường kính gốc 15cm ≤ ĐK gốc &lt; 20cm</v>
          </cell>
        </row>
        <row r="798">
          <cell r="A798" t="str">
            <v>Cây bồ kết đường kính gốc 20cm ≤ ĐK gốc &lt; 25cm</v>
          </cell>
          <cell r="F798" t="str">
            <v>Cây bồ kết đường kính gốc 20cm ≤ ĐK gốc &lt; 25cm</v>
          </cell>
        </row>
        <row r="799">
          <cell r="A799" t="str">
            <v>Cây bồ kết đường kính gốc 25cm ≤ ĐK gốc &lt; 30cm</v>
          </cell>
          <cell r="F799" t="str">
            <v>Cây bồ kết đường kính gốc 25cm ≤ ĐK gốc &lt; 30cm</v>
          </cell>
        </row>
        <row r="800">
          <cell r="A800" t="str">
            <v>Cây bồ kết đường kính gốc 30cm ≤ ĐK gốc &lt; 35cm</v>
          </cell>
          <cell r="F800" t="str">
            <v>Cây bồ kết đường kính gốc 30cm ≤ ĐK gốc &lt; 35cm</v>
          </cell>
        </row>
        <row r="801">
          <cell r="A801" t="str">
            <v>Cây bồ kết đường kính gốc 35cm ≤ ĐK gốc &lt; 50cm</v>
          </cell>
          <cell r="F801" t="str">
            <v>Cây bồ kết đường kính gốc 35cm ≤ ĐK gốc &lt; 50cm</v>
          </cell>
        </row>
        <row r="802">
          <cell r="A802" t="str">
            <v>Cây bồ kết ĐK gốc ≥ 50cm</v>
          </cell>
          <cell r="F802" t="str">
            <v>Cây bồ kết ĐK gốc ≥ 50cm</v>
          </cell>
        </row>
        <row r="803">
          <cell r="A803" t="str">
            <v>Cây vông</v>
          </cell>
          <cell r="F803" t="str">
            <v>Cây vông</v>
          </cell>
        </row>
        <row r="804">
          <cell r="A804" t="str">
            <v>Cây vông giống mới trồng</v>
          </cell>
          <cell r="F804" t="str">
            <v>Cây vông giống mới trồng</v>
          </cell>
        </row>
        <row r="805">
          <cell r="A805" t="str">
            <v>Cây vông đường kính thân 2 cm &lt; ĐK thân ≤5 cm</v>
          </cell>
          <cell r="F805" t="str">
            <v>Cây vông đường kính thân 2 cm &lt; ĐK thân ≤5 cm</v>
          </cell>
        </row>
        <row r="806">
          <cell r="A806" t="str">
            <v>Cây vông đường kính thân 5 cm &lt; ĐK thân ≤10 cm</v>
          </cell>
          <cell r="F806" t="str">
            <v>Cây vông đường kính thân 5 cm &lt; ĐK thân ≤10 cm</v>
          </cell>
        </row>
        <row r="807">
          <cell r="A807" t="str">
            <v>Cây vông đường kính thân 10 cm &lt; ĐK thân ≤15 cm</v>
          </cell>
          <cell r="F807" t="str">
            <v>Cây vông đường kính thân 10 cm &lt; ĐK thân ≤15 cm</v>
          </cell>
        </row>
        <row r="808">
          <cell r="A808" t="str">
            <v>Cây vông đường kính thân 15 cm &lt; ĐK thân ≤25 cm</v>
          </cell>
          <cell r="F808" t="str">
            <v>Cây vông đường kính thân 15 cm &lt; ĐK thân ≤25 cm</v>
          </cell>
        </row>
        <row r="809">
          <cell r="A809" t="str">
            <v>Cây vông đường kính thân 25 cm &lt; ĐK thân ≤40 cm</v>
          </cell>
          <cell r="F809" t="str">
            <v>Cây vông đường kính thân 25 cm &lt; ĐK thân ≤40 cm</v>
          </cell>
        </row>
        <row r="810">
          <cell r="A810" t="str">
            <v>Cây vông đường kính thân 40 cm &lt; ĐK thân ≤60 cm</v>
          </cell>
          <cell r="F810" t="str">
            <v>Cây vông đường kính thân 40 cm &lt; ĐK thân ≤60 cm</v>
          </cell>
        </row>
        <row r="811">
          <cell r="A811" t="str">
            <v>Cây vông ĐK thân &gt; 60 cm</v>
          </cell>
          <cell r="F811" t="str">
            <v>Cây vông ĐK thân &gt; 60 cm</v>
          </cell>
        </row>
        <row r="812">
          <cell r="A812" t="str">
            <v>Cây tre hóa</v>
          </cell>
          <cell r="F812" t="str">
            <v>Cây tre hóa</v>
          </cell>
        </row>
        <row r="813">
          <cell r="A813" t="str">
            <v>Cây tre hóa Cây giống đủ tiêu chuẩn mới trồng</v>
          </cell>
          <cell r="F813" t="str">
            <v>Cây tre hóa Cây giống đủ tiêu chuẩn mới trồng</v>
          </cell>
        </row>
        <row r="814">
          <cell r="A814" t="str">
            <v>Cây tre hóa đường kính thân 2 cm &lt; ĐK thân ≤5 cm</v>
          </cell>
          <cell r="F814" t="str">
            <v>Cây tre hóa đường kính thân 2 cm &lt; ĐK thân ≤5 cm</v>
          </cell>
        </row>
        <row r="815">
          <cell r="A815" t="str">
            <v>Cây tre hóa đường kính thân 5 cm &lt; ĐK thân ≤10 cm</v>
          </cell>
          <cell r="F815" t="str">
            <v>Cây bồ kết đường kính gốc 25cm ≤ ĐK gốc &lt; 30cm</v>
          </cell>
        </row>
        <row r="816">
          <cell r="A816" t="str">
            <v>Cây tre hóa ĐK thân &gt; 10 cm</v>
          </cell>
          <cell r="F816">
            <v>0</v>
          </cell>
        </row>
        <row r="817">
          <cell r="A817" t="str">
            <v>Cây cau bụng</v>
          </cell>
          <cell r="F817" t="str">
            <v>Cây cau bụng</v>
          </cell>
        </row>
        <row r="818">
          <cell r="A818" t="str">
            <v>Cây cau bụng Cây giống mới trồng</v>
          </cell>
          <cell r="F818" t="str">
            <v>Cây cau bụng Cây giống mới trồng</v>
          </cell>
        </row>
        <row r="819">
          <cell r="A819" t="str">
            <v>Cây cau bụng đường kính thân 2 cm&lt; ĐK thân ≤5 cm</v>
          </cell>
          <cell r="F819" t="str">
            <v>Cây cau bụng đường kính thân 2 cm&lt; ĐK thân ≤5 cm</v>
          </cell>
        </row>
        <row r="820">
          <cell r="A820" t="str">
            <v>Cây cau bụng đường kính thân 5 cm &lt; ĐK thân ≤10 cm</v>
          </cell>
          <cell r="F820" t="str">
            <v>Cây cau bụng đường kính thân 5 cm &lt; ĐK thân ≤10 cm</v>
          </cell>
        </row>
        <row r="821">
          <cell r="A821" t="str">
            <v>Cây cau bụng đường kính thân 10 cm &lt; ĐK thân ≤15 cm</v>
          </cell>
          <cell r="F821" t="str">
            <v>Cây cau bụng đường kính thân 10 cm &lt; ĐK thân ≤15 cm</v>
          </cell>
        </row>
        <row r="822">
          <cell r="A822" t="str">
            <v>Cây cau bụng đường kính thân 15 cm &lt; ĐK thân ≤25 cm</v>
          </cell>
          <cell r="F822" t="str">
            <v>Cây cau bụng đường kính thân 15 cm &lt; ĐK thân ≤25 cm</v>
          </cell>
        </row>
        <row r="823">
          <cell r="A823" t="str">
            <v>Cây cau bụng đường kính thân 25 cm &lt; ĐK thân ≤40 cm</v>
          </cell>
          <cell r="F823" t="str">
            <v>Cây cau bụng đường kính thân 25 cm &lt; ĐK thân ≤40 cm</v>
          </cell>
        </row>
        <row r="824">
          <cell r="A824" t="str">
            <v>Cây cau bụng ĐK thân &gt; 40 cm</v>
          </cell>
          <cell r="F824" t="str">
            <v>Cây cau bụng ĐK thân &gt; 40 cm</v>
          </cell>
        </row>
        <row r="825">
          <cell r="A825" t="str">
            <v>Cây cau sâm panh</v>
          </cell>
          <cell r="F825" t="str">
            <v>Cây cau sâm panh</v>
          </cell>
        </row>
        <row r="826">
          <cell r="A826" t="str">
            <v>Cây cau sâm panh Cây giống mới trồng</v>
          </cell>
          <cell r="F826" t="str">
            <v>Cây cau sâm panh Cây giống mới trồng</v>
          </cell>
        </row>
        <row r="827">
          <cell r="A827" t="str">
            <v>Cây cau sâm panh đường kính thân 2 cm &lt; ĐK thân ≤5 cm</v>
          </cell>
          <cell r="F827" t="str">
            <v>Cây cau sâm panh đường kính thân 2 cm &lt; ĐK thân ≤5 cm</v>
          </cell>
        </row>
        <row r="828">
          <cell r="A828" t="str">
            <v>Cây cau sâm panh đường kính thân 5 cm &lt; ĐK thân ≤10 cm</v>
          </cell>
          <cell r="F828" t="str">
            <v>Cây cau sâm panh đường kính thân 5 cm &lt; ĐK thân ≤10 cm</v>
          </cell>
        </row>
        <row r="829">
          <cell r="A829" t="str">
            <v>Cây cau sâm panh đường kính thân 10 cm &lt; ĐK thân ≤15 cm</v>
          </cell>
          <cell r="F829" t="str">
            <v>Cây cau sâm panh đường kính thân 10 cm &lt; ĐK thân ≤15 cm</v>
          </cell>
        </row>
        <row r="830">
          <cell r="A830" t="str">
            <v>Cây cau sâm panh đường kính thân 15 cm &lt; ĐK thân ≤25 cm</v>
          </cell>
          <cell r="F830" t="str">
            <v>Cây cau sâm panh đường kính thân 15 cm &lt; ĐK thân ≤25 cm</v>
          </cell>
        </row>
        <row r="831">
          <cell r="A831" t="str">
            <v>Cây cau sâm panh đường kính thân 25 cm &lt; ĐK thân ≤40 cm</v>
          </cell>
          <cell r="F831" t="str">
            <v>Cây cau sâm panh đường kính thân 25 cm &lt; ĐK thân ≤40 cm</v>
          </cell>
        </row>
        <row r="832">
          <cell r="A832" t="str">
            <v>Cây cau sâm panh đường kính thân 40 cm &lt; ĐK thân ≤60 cm</v>
          </cell>
          <cell r="F832" t="str">
            <v>Cây cau sâm panh đường kính thân 40 cm &lt; ĐK thân ≤60 cm</v>
          </cell>
        </row>
        <row r="833">
          <cell r="A833" t="str">
            <v>Cây cau sâm panh ĐK thân &gt; 60 cm</v>
          </cell>
          <cell r="F833" t="str">
            <v>Cây cau sâm panh ĐK thân &gt; 60 cm</v>
          </cell>
        </row>
        <row r="834">
          <cell r="A834" t="str">
            <v>Cây cần thăng</v>
          </cell>
          <cell r="F834" t="str">
            <v>Cây cần thăng</v>
          </cell>
        </row>
        <row r="835">
          <cell r="A835" t="str">
            <v>Cây cần thăng Cây giống mới trồng</v>
          </cell>
          <cell r="F835" t="str">
            <v>Cây cần thăng Cây giống mới trồng</v>
          </cell>
        </row>
        <row r="836">
          <cell r="A836" t="str">
            <v>Cây cần thăng đường kính thân 2 cm &lt; ĐK thân ≤5 cm</v>
          </cell>
          <cell r="F836" t="str">
            <v>Cây cần thăng đường kính thân 2 cm &lt; ĐK thân ≤5 cm</v>
          </cell>
        </row>
        <row r="837">
          <cell r="A837" t="str">
            <v>Cây cần thăng đường kính thân 5 cm &lt; ĐK thân ≤  10 cm</v>
          </cell>
          <cell r="F837" t="str">
            <v>Cây cần thăng đường kính thân 5 cm &lt; ĐK thân ≤  10 cm</v>
          </cell>
        </row>
        <row r="838">
          <cell r="A838" t="str">
            <v>Cây cần thăng đường kính thân 10 cm &lt; ĐK thân ≤ 15 cm</v>
          </cell>
          <cell r="F838" t="str">
            <v>Cây cần thăng đường kính thân 10 cm &lt; ĐK thân ≤ 15 cm</v>
          </cell>
        </row>
        <row r="839">
          <cell r="A839" t="str">
            <v>Cây cần thăng ĐK thân &gt; 15 cm</v>
          </cell>
          <cell r="F839">
            <v>0</v>
          </cell>
        </row>
        <row r="840">
          <cell r="A840" t="str">
            <v>Cây hoa trà</v>
          </cell>
          <cell r="F840" t="str">
            <v>Cây tre hóa ĐK thân &gt; 10 cm</v>
          </cell>
        </row>
        <row r="841">
          <cell r="A841" t="str">
            <v>Cây hoa trà Cây giống mới trồng</v>
          </cell>
          <cell r="F841" t="str">
            <v>Cây hoa trà Cây giống mới trồng</v>
          </cell>
        </row>
        <row r="842">
          <cell r="A842" t="str">
            <v>Cây hoa trà đường kính thân 0,5 cm &lt; ĐK thân ≤3 cm</v>
          </cell>
          <cell r="F842" t="str">
            <v>Cây hoa trà đường kính thân 0,5 cm &lt; ĐK thân ≤3 cm</v>
          </cell>
        </row>
        <row r="843">
          <cell r="A843" t="str">
            <v>Cây hoa trà đường kính thân 3 cm &lt; ĐK thân ≤5 cm</v>
          </cell>
          <cell r="F843" t="str">
            <v>Cây hoa trà đường kính thân 3 cm &lt; ĐK thân ≤5 cm</v>
          </cell>
        </row>
        <row r="844">
          <cell r="A844" t="str">
            <v>Cây hoa trà đường kính thân 5 cm &lt; ĐK thân ≤8 cm</v>
          </cell>
          <cell r="F844" t="str">
            <v>Cây hoa trà đường kính thân 5 cm &lt; ĐK thân ≤8 cm</v>
          </cell>
        </row>
        <row r="845">
          <cell r="A845" t="str">
            <v>Cây hoa trà ĐK thân &gt; 8 cm</v>
          </cell>
          <cell r="F845" t="str">
            <v>Cây hoa trà ĐK thân &gt; 8 cm</v>
          </cell>
        </row>
        <row r="846">
          <cell r="A846" t="str">
            <v>Cây hải đường</v>
          </cell>
          <cell r="F846" t="str">
            <v>Cây hải đường</v>
          </cell>
        </row>
        <row r="847">
          <cell r="A847" t="str">
            <v>Cây hải đường Cây giống đủ tiêu chuẩn mới trồng</v>
          </cell>
          <cell r="F847" t="str">
            <v>Cây hải đường Cây giống đủ tiêu chuẩn mới trồng</v>
          </cell>
        </row>
        <row r="848">
          <cell r="A848" t="str">
            <v>Cây hải đường  đường kính thân 0,5 cm &lt; ĐK thân ≤3 cm</v>
          </cell>
          <cell r="F848" t="str">
            <v>Cây hải đường  đường kính thân 0,5 cm &lt; ĐK thân ≤3 cm</v>
          </cell>
        </row>
        <row r="849">
          <cell r="A849" t="str">
            <v>Cây hải đường  đường kính thân 3 cm &lt; ĐK thân ≤5 cm</v>
          </cell>
          <cell r="F849" t="str">
            <v>Cây hải đường  đường kính thân 3 cm &lt; ĐK thân ≤5 cm</v>
          </cell>
        </row>
        <row r="850">
          <cell r="A850" t="str">
            <v>Cây hải đường  đường kính thân 5 cm &lt; ĐK thân ≤8 cm</v>
          </cell>
          <cell r="F850" t="str">
            <v>Cây hải đường  đường kính thân 5 cm &lt; ĐK thân ≤8 cm</v>
          </cell>
        </row>
        <row r="851">
          <cell r="A851" t="str">
            <v>Cây hải đường ĐK thân &gt; 8 cm</v>
          </cell>
          <cell r="F851" t="str">
            <v>Cây hải đường ĐK thân &gt; 8 cm</v>
          </cell>
        </row>
        <row r="852">
          <cell r="A852" t="str">
            <v>Cây tường vi</v>
          </cell>
          <cell r="F852" t="str">
            <v>Cây tường vi</v>
          </cell>
        </row>
        <row r="853">
          <cell r="A853" t="str">
            <v>Cây tường vi Cây giống mới trồng</v>
          </cell>
          <cell r="F853" t="str">
            <v>Cây tường vi Cây giống mới trồng</v>
          </cell>
        </row>
        <row r="854">
          <cell r="A854" t="str">
            <v>Cây tường vi đường kính thân 2 cm &lt; ĐK thân ≤5 cm</v>
          </cell>
          <cell r="F854" t="str">
            <v>Cây tường vi đường kính thân 2 cm &lt; ĐK thân ≤5 cm</v>
          </cell>
        </row>
        <row r="855">
          <cell r="A855" t="str">
            <v>Cây tường vi đường kính thân 5 cm &lt; ĐK thân ≤10 cm</v>
          </cell>
          <cell r="F855">
            <v>0</v>
          </cell>
        </row>
        <row r="856">
          <cell r="A856" t="str">
            <v>Cây tường vi ĐKthân&gt; 10 cm</v>
          </cell>
          <cell r="F856" t="str">
            <v>Cây tường vi ĐKthân&gt; 10 cm</v>
          </cell>
        </row>
        <row r="857">
          <cell r="A857" t="str">
            <v>Cây mai tứ quý</v>
          </cell>
          <cell r="F857" t="str">
            <v>Cây mai tứ quý</v>
          </cell>
        </row>
        <row r="858">
          <cell r="A858" t="str">
            <v>Cây mai tứ quý Cây giống mới trồng</v>
          </cell>
          <cell r="F858" t="str">
            <v>Cây mai tứ quý Cây giống mới trồng</v>
          </cell>
        </row>
        <row r="859">
          <cell r="A859" t="str">
            <v>Cây mai tứ quý đường kính thân 2 cm &lt; ĐK thân ≤5 cm</v>
          </cell>
          <cell r="F859" t="str">
            <v>Cây mai tứ quý đường kính thân 2 cm &lt; ĐK thân ≤5 cm</v>
          </cell>
        </row>
        <row r="860">
          <cell r="A860" t="str">
            <v>Cây mai tứ quý đường kính thân 5 cm &lt; ĐK thân ≤10 cm</v>
          </cell>
          <cell r="F860" t="str">
            <v>Cây mai tứ quý đường kính thân 5 cm &lt; ĐK thân ≤10 cm</v>
          </cell>
        </row>
        <row r="861">
          <cell r="A861" t="str">
            <v>Cây mai tứ quý đường kính thân 10 cm &lt; ĐK thân ≤15 cm</v>
          </cell>
          <cell r="F861" t="str">
            <v>Cây mai tứ quý đường kính thân 10 cm &lt; ĐK thân ≤15 cm</v>
          </cell>
        </row>
        <row r="862">
          <cell r="A862" t="str">
            <v>Cây mai tứ quý ĐKthân&gt; 15 cm</v>
          </cell>
          <cell r="F862" t="str">
            <v>Cây mai tứ quý ĐKthân&gt; 15 cm</v>
          </cell>
        </row>
        <row r="863">
          <cell r="A863" t="str">
            <v>Cây mai chiếu thủy</v>
          </cell>
          <cell r="F863" t="str">
            <v>Cây mai chiếu thủy</v>
          </cell>
        </row>
        <row r="864">
          <cell r="A864" t="str">
            <v>Cây mai chiếu thủy Cây giống mới trồng</v>
          </cell>
          <cell r="F864" t="str">
            <v>Cây mai chiếu thủy Cây giống mới trồng</v>
          </cell>
        </row>
        <row r="865">
          <cell r="A865" t="str">
            <v>Cây mai chiếu thủy đường kính thân 2 cm &lt; ĐK thân ≤5 cm</v>
          </cell>
          <cell r="F865" t="str">
            <v>Cây mai chiếu thủy đường kính thân 2 cm &lt; ĐK thân ≤5 cm</v>
          </cell>
        </row>
        <row r="866">
          <cell r="A866" t="str">
            <v>Cây mai chiếu thủy đường kính thân 5 cm &lt; ĐK thân ≤10 cm</v>
          </cell>
          <cell r="F866" t="str">
            <v>Cây mai chiếu thủy đường kính thân 5 cm &lt; ĐK thân ≤10 cm</v>
          </cell>
        </row>
        <row r="867">
          <cell r="A867" t="str">
            <v>Cây mai chiếu thủy đường kính thân 10 cm &lt; ĐK thân ≤15 cm</v>
          </cell>
          <cell r="F867" t="str">
            <v>Cây mai chiếu thủy đường kính thân 10 cm &lt; ĐK thân ≤15 cm</v>
          </cell>
        </row>
        <row r="868">
          <cell r="A868" t="str">
            <v>Cây mai chiếu thủy ĐKthân&gt;15cm</v>
          </cell>
          <cell r="F868" t="str">
            <v>Cây mai chiếu thủy ĐKthân&gt;15cm</v>
          </cell>
        </row>
        <row r="869">
          <cell r="A869" t="str">
            <v>Cây mộc hương, cây hạnh phúc</v>
          </cell>
          <cell r="F869" t="str">
            <v>Cây mộc hương, cây hạnh phúc</v>
          </cell>
        </row>
        <row r="870">
          <cell r="A870" t="str">
            <v>Cây mộc hương, cây hạnh phúc Cây giống mới trồng</v>
          </cell>
          <cell r="F870" t="str">
            <v>Cây mộc hương, cây hạnh phúc Cây giống mới trồng</v>
          </cell>
        </row>
        <row r="871">
          <cell r="A871" t="str">
            <v>Cây mộc hương, cây hạnh phúc đường kính thân 2 cm &lt; ĐK thân ≤5 cm</v>
          </cell>
          <cell r="F871" t="str">
            <v>Cây mộc hương, cây hạnh phúc đường kính thân 2 cm &lt; ĐK thân ≤5 cm</v>
          </cell>
        </row>
        <row r="872">
          <cell r="A872" t="str">
            <v>Cây mộc hương, cây hạnh phúc đường kính thân 5 cm &lt; ĐK thân ≤10 cm</v>
          </cell>
          <cell r="F872">
            <v>0</v>
          </cell>
        </row>
        <row r="873">
          <cell r="A873" t="str">
            <v>Cây mộc hương, cây hạnh phúc đường kính thân 10 cm &lt; ĐK thân ≤15 cm</v>
          </cell>
          <cell r="F873" t="str">
            <v>Cây tường vi đường kính thân 5 cm &lt; ĐK thân ≤10 cm</v>
          </cell>
        </row>
        <row r="874">
          <cell r="A874" t="str">
            <v>Cây mộc hương, cây hạnh phúc ĐK thân &gt; 15 cm</v>
          </cell>
          <cell r="F874" t="str">
            <v>Cây mộc hương, cây hạnh phúc ĐK thân &gt; 15 cm</v>
          </cell>
        </row>
        <row r="875">
          <cell r="A875" t="str">
            <v>Cây hoa giấy</v>
          </cell>
          <cell r="F875" t="str">
            <v>Cây hoa giấy</v>
          </cell>
        </row>
        <row r="876">
          <cell r="A876" t="str">
            <v>Cây hoa giấy Cây giống mới trồng</v>
          </cell>
          <cell r="F876" t="str">
            <v>Cây hoa giấy Cây giống mới trồng</v>
          </cell>
        </row>
        <row r="877">
          <cell r="A877" t="str">
            <v>Cây hoa giấy ĐK thân ≤2 cm</v>
          </cell>
          <cell r="F877" t="str">
            <v>Cây hoa giấy ĐK thân ≤2 cm</v>
          </cell>
        </row>
        <row r="878">
          <cell r="A878" t="str">
            <v>Cây hoa giấy đường kính thân 2 cm &lt; ĐK thân ≤5 cm</v>
          </cell>
          <cell r="F878" t="str">
            <v>Cây hoa giấy đường kính thân 2 cm &lt; ĐK thân ≤5 cm</v>
          </cell>
        </row>
        <row r="879">
          <cell r="A879" t="str">
            <v>Cây hoa giấy đường kính thân 5 cm &lt; ĐK thân ≤10 cm</v>
          </cell>
          <cell r="F879" t="str">
            <v>Cây hoa giấy đường kính thân 5 cm &lt; ĐK thân ≤10 cm</v>
          </cell>
        </row>
        <row r="880">
          <cell r="A880" t="str">
            <v>Cây hoa giấy đường kính thân 10 cm &lt; ĐK thân ≤15 cm</v>
          </cell>
          <cell r="F880" t="str">
            <v>Cây hoa giấy đường kính thân 10 cm &lt; ĐK thân ≤15 cm</v>
          </cell>
        </row>
        <row r="881">
          <cell r="A881" t="str">
            <v>Cây hoa giấy đường kính thân 15 cm &lt; ĐK thân ≤20 cm</v>
          </cell>
          <cell r="F881" t="str">
            <v>Cây hoa giấy đường kính thân 15 cm &lt; ĐK thân ≤20 cm</v>
          </cell>
        </row>
        <row r="882">
          <cell r="A882" t="str">
            <v>Cây hoa giấy đường kính thân 20 cm&lt; ĐK thân ≤25 cm</v>
          </cell>
          <cell r="F882" t="str">
            <v>Cây hoa giấy đường kính thân 20 cm&lt; ĐK thân ≤25 cm</v>
          </cell>
        </row>
        <row r="883">
          <cell r="A883" t="str">
            <v>Cây hoa giấy ĐK thân &gt; 25 cm</v>
          </cell>
          <cell r="F883" t="str">
            <v>Cây hoa giấy ĐK thân &gt; 25 cm</v>
          </cell>
        </row>
        <row r="884">
          <cell r="A884" t="str">
            <v>Cây lan bình rượu (náng đế)</v>
          </cell>
          <cell r="F884" t="str">
            <v>Cây lan bình rượu (náng đế)</v>
          </cell>
        </row>
        <row r="885">
          <cell r="A885" t="str">
            <v>Cây lan bình rượu (náng đế) Cây giống mới trồng</v>
          </cell>
          <cell r="F885" t="str">
            <v>Cây lan bình rượu (náng đế) Cây giống mới trồng</v>
          </cell>
        </row>
        <row r="886">
          <cell r="A886" t="str">
            <v>Cây lan bình rượu (náng đế) đường kính thân 2 cm &lt; ĐK thân ≤5 cm</v>
          </cell>
          <cell r="F886" t="str">
            <v>Cây lan bình rượu (náng đế) đường kính thân 2 cm &lt; ĐK thân ≤5 cm</v>
          </cell>
        </row>
        <row r="887">
          <cell r="A887" t="str">
            <v>Cây lan bình rượu (náng đế) đường kính thân 5 cm &lt; ĐK thân ≤10 cm</v>
          </cell>
          <cell r="F887" t="str">
            <v>Cây lan bình rượu (náng đế) đường kính thân 5 cm &lt; ĐK thân ≤10 cm</v>
          </cell>
        </row>
        <row r="888">
          <cell r="A888" t="str">
            <v>Cây lan bình rượu (náng đế) đường kính thân 10 cm &lt; ĐK thân ≤15 cm</v>
          </cell>
          <cell r="F888" t="str">
            <v>Cây lan bình rượu (náng đế) đường kính thân 10 cm &lt; ĐK thân ≤15 cm</v>
          </cell>
        </row>
        <row r="889">
          <cell r="A889" t="str">
            <v>Cây lan bình rượu (náng đế) đường kính thân 15 cm &lt; ĐK thân ≤25 cm</v>
          </cell>
          <cell r="F889" t="str">
            <v>Cây lan bình rượu (náng đế) đường kính thân 15 cm &lt; ĐK thân ≤25 cm</v>
          </cell>
        </row>
        <row r="890">
          <cell r="A890" t="str">
            <v>Cây lan bình rượu (náng đế) ĐK thân &gt; 25 cm</v>
          </cell>
          <cell r="F890" t="str">
            <v>Cây lan bình rượu (náng đế) ĐK thân &gt; 25 cm</v>
          </cell>
        </row>
        <row r="891">
          <cell r="A891" t="str">
            <v>Cây mắc mật (Móc mật)</v>
          </cell>
          <cell r="F891" t="str">
            <v>Cây mắc mật (Móc mật)</v>
          </cell>
        </row>
        <row r="892">
          <cell r="A892" t="str">
            <v>Cây mắc mật (Móc mật) Cây mới trồng, ĐK thân ≤2cm</v>
          </cell>
          <cell r="F892" t="str">
            <v>Cây mắc mật (Móc mật) Cây mới trồng, ĐK thân ≤2cm</v>
          </cell>
        </row>
        <row r="893">
          <cell r="A893" t="str">
            <v>Cây mắc mật (Móc mật) đường kính gốc 2 cm &lt; ĐK gốc ≤ 5 cm</v>
          </cell>
          <cell r="F893" t="str">
            <v>Cây mắc mật (Móc mật) đường kính gốc 2 cm &lt; ĐK gốc ≤ 5 cm</v>
          </cell>
        </row>
        <row r="894">
          <cell r="A894" t="str">
            <v>Cây mắc mật (Móc mật) đường kính gốc 5 cm &lt; ĐK gốc ≤ 10 cm</v>
          </cell>
          <cell r="F894" t="str">
            <v>Cây mắc mật (Móc mật) đường kính gốc 5 cm &lt; ĐK gốc ≤ 10 cm</v>
          </cell>
        </row>
        <row r="895">
          <cell r="A895" t="str">
            <v>Cây mắc mật (Móc mật) đường kính gốc 10 cm &lt; ĐK gốc ≤ 150 cm</v>
          </cell>
          <cell r="F895" t="str">
            <v>Cây mắc mật (Móc mật) đường kính gốc 10 cm &lt; ĐK gốc ≤ 150 cm</v>
          </cell>
        </row>
        <row r="896">
          <cell r="A896" t="str">
            <v>Cây mắc mật (Móc mật) đường kính gốc 15 cm &lt; ĐK gốc ≤ 20 cm</v>
          </cell>
          <cell r="F896" t="str">
            <v>Cây mắc mật (Móc mật) đường kính gốc 15 cm &lt; ĐK gốc ≤ 20 cm</v>
          </cell>
        </row>
        <row r="897">
          <cell r="A897" t="str">
            <v>Cây mắc mật (Móc mật) ĐK gốc &gt; 20 cm</v>
          </cell>
          <cell r="F897" t="str">
            <v>Cây mắc mật (Móc mật) ĐK gốc &gt; 20 cm</v>
          </cell>
        </row>
        <row r="898">
          <cell r="A898" t="str">
            <v>Cây sim</v>
          </cell>
          <cell r="F898" t="str">
            <v>Cây sim</v>
          </cell>
        </row>
        <row r="899">
          <cell r="A899" t="str">
            <v>Cây sim Cây giống mới trồng</v>
          </cell>
          <cell r="F899" t="str">
            <v>Cây sim Cây giống mới trồng</v>
          </cell>
        </row>
        <row r="900">
          <cell r="A900" t="str">
            <v>Cây sim ĐK thân ≤5 cm</v>
          </cell>
          <cell r="F900" t="str">
            <v>Cây sim ĐK thân ≤5 cm</v>
          </cell>
        </row>
        <row r="901">
          <cell r="A901" t="str">
            <v>Cây sim đường kính thân 5 cm &lt; ĐK thân ≤7 cm</v>
          </cell>
          <cell r="F901" t="str">
            <v>Cây sim đường kính thân 5 cm &lt; ĐK thân ≤7 cm</v>
          </cell>
        </row>
        <row r="902">
          <cell r="A902" t="str">
            <v>Cây sim đường kính thân 7 cm &lt; ĐK thân ≤10 cm</v>
          </cell>
          <cell r="F902" t="str">
            <v>Cây sim đường kính thân 7 cm &lt; ĐK thân ≤10 cm</v>
          </cell>
        </row>
        <row r="903">
          <cell r="A903" t="str">
            <v>Cây sim ĐK thân &gt; 10 cm</v>
          </cell>
          <cell r="F903" t="str">
            <v>Cây sim ĐK thân &gt; 10 cm</v>
          </cell>
        </row>
        <row r="904">
          <cell r="A904" t="str">
            <v>Cây tùng bách tán</v>
          </cell>
          <cell r="F904" t="str">
            <v>Cây tùng bách tán</v>
          </cell>
        </row>
        <row r="905">
          <cell r="A905" t="str">
            <v>Cây tùng bách tán Cây giống mới trồng</v>
          </cell>
          <cell r="F905" t="str">
            <v>Cây tùng bách tán Cây giống mới trồng</v>
          </cell>
        </row>
        <row r="906">
          <cell r="A906" t="str">
            <v>Cây tùng bách tán ĐK thân ≤2 cm</v>
          </cell>
          <cell r="F906" t="str">
            <v>Cây tùng bách tán ĐK thân ≤2 cm</v>
          </cell>
        </row>
        <row r="907">
          <cell r="A907" t="str">
            <v>Cây tùng bách tán đường kính thân 2 cm &lt; ĐK thân ≤5 cm</v>
          </cell>
          <cell r="F907" t="str">
            <v>Cây tùng bách tán đường kính thân 2 cm &lt; ĐK thân ≤5 cm</v>
          </cell>
        </row>
        <row r="908">
          <cell r="A908" t="str">
            <v>Cây tùng bách tán đường kính thân 5 cm &lt; ĐK thân ≤10 cm</v>
          </cell>
          <cell r="F908" t="str">
            <v>Cây tùng bách tán đường kính thân 5 cm &lt; ĐK thân ≤10 cm</v>
          </cell>
        </row>
        <row r="909">
          <cell r="A909" t="str">
            <v>Cây tùng bách tán đường kính thân 10 cm &lt; ĐK thân ≤15 cm</v>
          </cell>
          <cell r="F909" t="str">
            <v>Cây tùng bách tán đường kính thân 10 cm &lt; ĐK thân ≤15 cm</v>
          </cell>
        </row>
        <row r="910">
          <cell r="A910" t="str">
            <v>Cây tùng bách tán đường kính thân 15 cm &lt; ĐK thân ≤20 cm</v>
          </cell>
          <cell r="F910" t="str">
            <v>Cây tùng bách tán đường kính thân 15 cm &lt; ĐK thân ≤20 cm</v>
          </cell>
        </row>
        <row r="911">
          <cell r="A911" t="str">
            <v>Cây tùng bách tán đường kính thân 20 cm &lt; ĐK thân ≤25 cm</v>
          </cell>
          <cell r="F911" t="str">
            <v>Cây tùng bách tán đường kính thân 20 cm &lt; ĐK thân ≤25 cm</v>
          </cell>
        </row>
        <row r="912">
          <cell r="A912" t="str">
            <v>Cây tùng bách tán ĐK thân &gt; 25 cm</v>
          </cell>
          <cell r="F912" t="str">
            <v>Cây tùng bách tán ĐK thân &gt; 25 cm</v>
          </cell>
        </row>
        <row r="913">
          <cell r="A913" t="str">
            <v>Cây tùng la hán</v>
          </cell>
          <cell r="F913" t="str">
            <v>Cây tùng la hán</v>
          </cell>
        </row>
        <row r="914">
          <cell r="A914" t="str">
            <v>Cây tùng la hán Cây giống mới trồng</v>
          </cell>
          <cell r="F914" t="str">
            <v>Cây tùng la hán Cây giống mới trồng</v>
          </cell>
        </row>
        <row r="915">
          <cell r="A915" t="str">
            <v>Cây tùng la hán ĐK thân ≤2 cm</v>
          </cell>
          <cell r="F915" t="str">
            <v>Cây tùng la hán ĐK thân ≤2 cm</v>
          </cell>
        </row>
        <row r="916">
          <cell r="A916" t="str">
            <v>Cây tùng la hán đường kính thân 2 cm &lt; ĐK thân ≤5 cm</v>
          </cell>
          <cell r="F916" t="str">
            <v>Cây tùng la hán đường kính thân 2 cm &lt; ĐK thân ≤5 cm</v>
          </cell>
        </row>
        <row r="917">
          <cell r="A917" t="str">
            <v>Cây tùng la hán đường kính thân 5 cm &lt; ĐK thân ≤10 cm</v>
          </cell>
          <cell r="F917" t="str">
            <v>Cây tùng la hán đường kính thân 5 cm &lt; ĐK thân ≤10 cm</v>
          </cell>
        </row>
        <row r="918">
          <cell r="A918" t="str">
            <v>Cây tùng la hán đường kính thân 10 cm &lt; ĐK thân ≤15 cm</v>
          </cell>
          <cell r="F918" t="str">
            <v>Cây tùng la hán đường kính thân 10 cm &lt; ĐK thân ≤15 cm</v>
          </cell>
        </row>
        <row r="919">
          <cell r="A919" t="str">
            <v>Cây tùng la hán đường kính thân 15 cm &lt; ĐK thân ≤20 cm</v>
          </cell>
          <cell r="F919" t="str">
            <v>Cây tùng la hán đường kính thân 15 cm &lt; ĐK thân ≤20 cm</v>
          </cell>
        </row>
        <row r="920">
          <cell r="A920" t="str">
            <v>Cây tùng la hán đường kính thân 20 cm &lt; ĐK thân ≤25 cm</v>
          </cell>
          <cell r="F920" t="str">
            <v>Cây tùng la hán đường kính thân 20 cm &lt; ĐK thân ≤25 cm</v>
          </cell>
        </row>
        <row r="921">
          <cell r="A921" t="str">
            <v>Cây tùng la hán ĐK thân &gt; 25 cm</v>
          </cell>
          <cell r="F921" t="str">
            <v>Cây tùng la hán ĐK thân &gt; 25 cm</v>
          </cell>
        </row>
        <row r="922">
          <cell r="A922" t="str">
            <v>Cây tùng kim</v>
          </cell>
          <cell r="F922" t="str">
            <v>Cây tùng kim</v>
          </cell>
        </row>
        <row r="923">
          <cell r="A923" t="str">
            <v>Cây tùng kim Cây giống mới trồng</v>
          </cell>
          <cell r="F923" t="str">
            <v>Cây tùng kim Cây giống mới trồng</v>
          </cell>
        </row>
        <row r="924">
          <cell r="A924" t="str">
            <v>Cây tùng kim ĐK thân ≤2 cm</v>
          </cell>
          <cell r="F924" t="str">
            <v>Cây tùng kim ĐK thân ≤2 cm</v>
          </cell>
        </row>
        <row r="925">
          <cell r="A925" t="str">
            <v>Cây tùng kim đường kính thân 2 cm &lt; ĐK thân ≤5 cm</v>
          </cell>
          <cell r="F925" t="str">
            <v>Cây tùng kim đường kính thân 2 cm &lt; ĐK thân ≤5 cm</v>
          </cell>
        </row>
        <row r="926">
          <cell r="A926" t="str">
            <v>Cây tùng kim đường kính thân 5 cm &lt; ĐK thân ≤10 cm</v>
          </cell>
          <cell r="F926" t="str">
            <v>Cây tùng kim đường kính thân 5 cm &lt; ĐK thân ≤10 cm</v>
          </cell>
        </row>
        <row r="927">
          <cell r="A927" t="str">
            <v>Cây tùng kim đường kính thân 10 cm &lt; ĐK thân ≤15 cm</v>
          </cell>
          <cell r="F927" t="str">
            <v>Cây tùng kim đường kính thân 10 cm &lt; ĐK thân ≤15 cm</v>
          </cell>
        </row>
        <row r="928">
          <cell r="A928" t="str">
            <v>Cây tùng kim đường kính thân 15 cm &lt; ĐK thân ≤20 cm</v>
          </cell>
          <cell r="F928" t="str">
            <v>Cây tùng kim đường kính thân 15 cm &lt; ĐK thân ≤20 cm</v>
          </cell>
        </row>
        <row r="929">
          <cell r="A929" t="str">
            <v>Cây tùng kim đường kính thân 20 cm &lt; ĐK thân ≤25 cm</v>
          </cell>
          <cell r="F929" t="str">
            <v>Cây tùng kim đường kính thân 20 cm &lt; ĐK thân ≤25 cm</v>
          </cell>
        </row>
        <row r="930">
          <cell r="A930" t="str">
            <v>Cây tùng kim ĐK thân &gt; 25 cm</v>
          </cell>
          <cell r="F930" t="str">
            <v>Cây tùng kim ĐK thân &gt; 25 cm</v>
          </cell>
        </row>
        <row r="931">
          <cell r="A931" t="str">
            <v>Bàng Đài Loan</v>
          </cell>
          <cell r="F931" t="str">
            <v>Bàng Đài Loan</v>
          </cell>
        </row>
        <row r="932">
          <cell r="A932" t="str">
            <v>Bàng Đài Loan Giống đủ tiêu chuẩn mới trồng, chiều cao cây H  ≤ 40cm</v>
          </cell>
          <cell r="F932" t="str">
            <v>Bàng Đài Loan Giống đủ tiêu chuẩn mới trồng, chiều cao cây H  ≤ 40cm</v>
          </cell>
        </row>
        <row r="933">
          <cell r="A933" t="str">
            <v>Bàng Đài Loan đường kính gốc 1cm  ≤ ĐK gốc &lt; 3cm</v>
          </cell>
          <cell r="F933" t="str">
            <v>Bàng Đài Loan đường kính gốc 1cm  ≤ ĐK gốc &lt; 3cm</v>
          </cell>
        </row>
        <row r="934">
          <cell r="A934" t="str">
            <v>Bàng Đài Loan đường kính gốc 3cm  ≤ ĐK gốc &lt; 5cm</v>
          </cell>
          <cell r="F934" t="str">
            <v>Bàng Đài Loan đường kính gốc 3cm  ≤ ĐK gốc &lt; 5cm</v>
          </cell>
        </row>
        <row r="935">
          <cell r="A935" t="str">
            <v>Bàng Đài Loan đường kính gốc 5cm  ≤ ĐK gốc &lt; 10cm</v>
          </cell>
          <cell r="F935" t="str">
            <v>Bàng Đài Loan đường kính gốc 5cm  ≤ ĐK gốc &lt; 10cm</v>
          </cell>
        </row>
        <row r="936">
          <cell r="A936" t="str">
            <v>Bàng Đài Loan đường kính gốc 10cm  ≤ ĐK gốc &lt; 15cm</v>
          </cell>
          <cell r="F936" t="str">
            <v>Bàng Đài Loan đường kính gốc 10cm  ≤ ĐK gốc &lt; 15cm</v>
          </cell>
        </row>
        <row r="937">
          <cell r="A937" t="str">
            <v>Bàng Đài Loan đường kính gốc 15cm  ≤ ĐK gốc &lt; 20cm</v>
          </cell>
          <cell r="F937" t="str">
            <v>Bàng Đài Loan đường kính gốc 15cm  ≤ ĐK gốc &lt; 20cm</v>
          </cell>
        </row>
        <row r="938">
          <cell r="A938" t="str">
            <v>Bàng Đài Loan đường kính gốc 20cm  ≤ ĐK gốc &lt; 25cm</v>
          </cell>
          <cell r="F938" t="str">
            <v>Bàng Đài Loan đường kính gốc 20cm  ≤ ĐK gốc &lt; 25cm</v>
          </cell>
        </row>
        <row r="939">
          <cell r="A939" t="str">
            <v>Bàng Đài Loan đường kính gốc 25cm  ≤ ĐK gốc &lt; 30cm</v>
          </cell>
          <cell r="F939" t="str">
            <v>Bàng Đài Loan đường kính gốc 25cm  ≤ ĐK gốc &lt; 30cm</v>
          </cell>
        </row>
        <row r="940">
          <cell r="A940" t="str">
            <v>Bàng Đài Loan ĐK gốc ≥ 30cm</v>
          </cell>
          <cell r="F940" t="str">
            <v>Bàng Đài Loan ĐK gốc ≥ 30cm</v>
          </cell>
        </row>
        <row r="941">
          <cell r="A941" t="str">
            <v>Tùng Ấn Độ</v>
          </cell>
          <cell r="F941" t="str">
            <v>Tùng Ấn Độ</v>
          </cell>
        </row>
        <row r="942">
          <cell r="A942" t="str">
            <v>Tùng Ấn Độ Cây giống đủ tiêu chuẩn mới trồng, chiều cao cây H &lt; 40cm</v>
          </cell>
          <cell r="F942" t="str">
            <v>Tùng Ấn Độ Cây giống đủ tiêu chuẩn mới trồng, chiều cao cây H &lt; 40cm</v>
          </cell>
        </row>
        <row r="943">
          <cell r="A943" t="str">
            <v>Tùng Ấn Độ đường kính gốc 1 cm  ≤ ĐK gốc &lt; 3cm</v>
          </cell>
          <cell r="F943" t="str">
            <v>Tùng Ấn Độ đường kính gốc 1 cm  ≤ ĐK gốc &lt; 3cm</v>
          </cell>
        </row>
        <row r="944">
          <cell r="A944" t="str">
            <v>Tùng Ấn Độ đường kính gốc 3cm  ≤ ĐK gốc &lt; 5cm</v>
          </cell>
          <cell r="F944" t="str">
            <v>Tùng Ấn Độ đường kính gốc 3cm  ≤ ĐK gốc &lt; 5cm</v>
          </cell>
        </row>
        <row r="945">
          <cell r="A945" t="str">
            <v>Tùng Ấn Độ đường kính gốc 5cm  ≤ ĐK gốc &lt; 10cm</v>
          </cell>
          <cell r="F945" t="str">
            <v>Tùng Ấn Độ đường kính gốc 5cm  ≤ ĐK gốc &lt; 10cm</v>
          </cell>
        </row>
        <row r="946">
          <cell r="A946" t="str">
            <v>Tùng Ấn Độ đường kính gốc 10cm  ≤ ĐK gốc &lt; 15cm</v>
          </cell>
          <cell r="F946" t="str">
            <v>Tùng Ấn Độ đường kính gốc 10cm  ≤ ĐK gốc &lt; 15cm</v>
          </cell>
        </row>
        <row r="947">
          <cell r="A947" t="str">
            <v>Tùng Ấn Độ ĐK gốc ≥ 15cm</v>
          </cell>
          <cell r="F947" t="str">
            <v>Tùng Ấn Độ ĐK gốc ≥ 15cm</v>
          </cell>
        </row>
        <row r="948">
          <cell r="A948" t="str">
            <v>Sầu riêng</v>
          </cell>
          <cell r="F948" t="str">
            <v>Sầu riêng</v>
          </cell>
        </row>
        <row r="949">
          <cell r="A949" t="str">
            <v>Sầu riêng Cây mới trồng &lt;01 năm (cây từ hạt)</v>
          </cell>
          <cell r="F949" t="str">
            <v>Sầu riêng Cây mới trồng &lt;01 năm (cây từ hạt)</v>
          </cell>
        </row>
        <row r="950">
          <cell r="A950" t="str">
            <v>Sầu riêng Cây mới trồng &lt; 01 năm (cây ghép)</v>
          </cell>
          <cell r="F950" t="str">
            <v>Sầu riêng Cây mới trồng &lt; 01 năm (cây ghép)</v>
          </cell>
        </row>
        <row r="951">
          <cell r="A951" t="str">
            <v>Sầu riêng Cây trồng ≥  01 năm, chiều cao thân cây &lt; 1m chưa có quả</v>
          </cell>
          <cell r="F951" t="str">
            <v>Sầu riêng Cây trồng ≥  01 năm, chiều cao thân cây &lt; 1m chưa có quả</v>
          </cell>
        </row>
        <row r="952">
          <cell r="A952" t="str">
            <v>Sầu riêng Cây trồng có chiều cao thân cây từ ≥1 m chưa có quả</v>
          </cell>
          <cell r="F952" t="str">
            <v>Sầu riêng Cây trồng có chiều cao thân cây từ ≥1 m chưa có quả</v>
          </cell>
        </row>
        <row r="953">
          <cell r="A953" t="str">
            <v>Sầu riêng Cây có quả đường kính gốc &lt; 20cm</v>
          </cell>
          <cell r="F953" t="str">
            <v>Sầu riêng Cây có quả đường kính gốc &lt; 20cm</v>
          </cell>
        </row>
        <row r="954">
          <cell r="A954" t="str">
            <v>Sầu riêng Cây có quả tốt đường kính thân ≥ 20cm đến &lt; 45cm</v>
          </cell>
          <cell r="F954" t="str">
            <v>Sầu riêng Cây có quả tốt đường kính thân ≥ 20cm đến &lt; 45cm</v>
          </cell>
        </row>
        <row r="955">
          <cell r="A955" t="str">
            <v>Sầu riêng Cây có quả thu hoạch tốt đường kính gốc ≥ 45 cm</v>
          </cell>
          <cell r="F955" t="str">
            <v>Sầu riêng Cây có quả thu hoạch tốt đường kính gốc ≥ 45 cm</v>
          </cell>
        </row>
        <row r="956">
          <cell r="A956" t="str">
            <v>Cây Dẻ lấy quả</v>
          </cell>
          <cell r="F956" t="str">
            <v>Cây Dẻ lấy quả</v>
          </cell>
        </row>
        <row r="957">
          <cell r="A957" t="str">
            <v>Cây Dẻ lấy quả Mới trồng, ĐK gốc &lt; 5 cm</v>
          </cell>
          <cell r="F957" t="str">
            <v>Cây Dẻ lấy quả Mới trồng, ĐK gốc &lt; 5 cm</v>
          </cell>
        </row>
        <row r="958">
          <cell r="A958" t="str">
            <v>Cây Dẻ lấy quả đường kính gốc 5 cm ≤ ĐK gốc &lt;10cm</v>
          </cell>
          <cell r="F958" t="str">
            <v>Cây Dẻ lấy quả đường kính gốc 5 cm ≤ ĐK gốc &lt;10cm</v>
          </cell>
        </row>
        <row r="959">
          <cell r="A959" t="str">
            <v>Cây Dẻ lấy quả đường kính gốc 10cm ≤ ĐK gốc &lt; 20cm</v>
          </cell>
          <cell r="F959" t="str">
            <v>Cây Dẻ lấy quả đường kính gốc 10cm ≤ ĐK gốc &lt; 20cm</v>
          </cell>
        </row>
        <row r="960">
          <cell r="A960" t="str">
            <v>Cây Dẻ lấy quả đường kính gốc 20cm ≤ ĐK gốc &lt; 30cm</v>
          </cell>
          <cell r="F960" t="str">
            <v>Cây Dẻ lấy quả đường kính gốc 20cm ≤ ĐK gốc &lt; 30cm</v>
          </cell>
        </row>
        <row r="961">
          <cell r="A961" t="str">
            <v>Cây Dẻ lấy quả ĐK gốc &gt; 30cm</v>
          </cell>
          <cell r="F961" t="str">
            <v>Cây Dẻ lấy quả ĐK gốc &gt; 30cm</v>
          </cell>
        </row>
        <row r="962">
          <cell r="A962" t="str">
            <v>Cây lựu</v>
          </cell>
          <cell r="F962" t="str">
            <v>Cây lựu</v>
          </cell>
        </row>
        <row r="963">
          <cell r="A963" t="str">
            <v>Cây lựu Mới trồng, chiều cao cây H ≥ 40cm</v>
          </cell>
          <cell r="F963" t="str">
            <v>Cây lựu Mới trồng, chiều cao cây H ≥ 40cm</v>
          </cell>
        </row>
        <row r="964">
          <cell r="A964" t="str">
            <v>Cây lựu đường kính gốc 1 cm  ≤ ĐK gốc &lt; 2cm</v>
          </cell>
          <cell r="F964" t="str">
            <v>Cây lựu đường kính gốc 1 cm  ≤ ĐK gốc &lt; 2cm</v>
          </cell>
        </row>
        <row r="965">
          <cell r="A965" t="str">
            <v>Cây lựu đường kính gốc 2cm  ≤ ĐK gốc &lt; 5cm</v>
          </cell>
          <cell r="F965" t="str">
            <v>Cây lựu đường kính gốc 2cm  ≤ ĐK gốc &lt; 5cm</v>
          </cell>
        </row>
        <row r="966">
          <cell r="A966" t="str">
            <v>Cây lựu đường kính gốc 5cm  ≤ ĐK gốc &lt; 7cm</v>
          </cell>
          <cell r="F966" t="str">
            <v>Cây lựu đường kính gốc 5cm  ≤ ĐK gốc &lt; 7cm</v>
          </cell>
        </row>
        <row r="967">
          <cell r="A967" t="str">
            <v>Cây lựu đường kính gốc 7cm  ≤ ĐK gốc &lt; 9cm</v>
          </cell>
          <cell r="F967" t="str">
            <v>Cây lựu đường kính gốc 7cm  ≤ ĐK gốc &lt; 9cm</v>
          </cell>
        </row>
        <row r="968">
          <cell r="A968" t="str">
            <v>Cây lựu đường kính gốc 9cm  ≤ ĐK gốc &lt; 12cm</v>
          </cell>
          <cell r="F968" t="str">
            <v>Cây lựu đường kính gốc 9cm  ≤ ĐK gốc &lt; 12cm</v>
          </cell>
        </row>
        <row r="969">
          <cell r="A969" t="str">
            <v>Cây lựu đường kính gốc 12cm  ≤ ĐK gốc &lt; 15cm</v>
          </cell>
          <cell r="F969" t="str">
            <v>Cây lựu đường kính gốc 12cm  ≤ ĐK gốc &lt; 15cm</v>
          </cell>
        </row>
        <row r="970">
          <cell r="A970" t="str">
            <v>Cây lựu đường kính gốc 15cm  ≤ ĐK gốc &lt; 20cm</v>
          </cell>
          <cell r="F970" t="str">
            <v>Cây lựu đường kính gốc 15cm  ≤ ĐK gốc &lt; 20cm</v>
          </cell>
        </row>
        <row r="971">
          <cell r="A971" t="str">
            <v>Cây lựu ĐK gốc ≥ 20cm</v>
          </cell>
          <cell r="F971" t="str">
            <v>Cây lựu ĐK gốc ≥ 20cm</v>
          </cell>
        </row>
        <row r="972">
          <cell r="A972" t="str">
            <v>Cây mai vàng</v>
          </cell>
          <cell r="F972" t="str">
            <v>Cây mai vàng</v>
          </cell>
        </row>
        <row r="973">
          <cell r="A973" t="str">
            <v>Cây mai vàng đường kính gốc 0,5cm ≤ ĐK gốc &lt; 1cm</v>
          </cell>
          <cell r="F973" t="str">
            <v>Cây mai vàng đường kính gốc 0,5cm ≤ ĐK gốc &lt; 1cm</v>
          </cell>
        </row>
        <row r="974">
          <cell r="A974" t="str">
            <v>Cây mai vàng đường kính gốc 1 cm ≤ ĐK gốc &lt; 2cm</v>
          </cell>
          <cell r="F974" t="str">
            <v>Cây mai vàng đường kính gốc 1 cm ≤ ĐK gốc &lt; 2cm</v>
          </cell>
        </row>
        <row r="975">
          <cell r="A975" t="str">
            <v>Cây mai vàng đường kính gốc 2cm ≤ ĐK gốc &lt; 4cm</v>
          </cell>
          <cell r="F975" t="str">
            <v>Cây mai vàng đường kính gốc 2cm ≤ ĐK gốc &lt; 4cm</v>
          </cell>
        </row>
        <row r="976">
          <cell r="A976" t="str">
            <v>Cây mai vàng đường kính gốc 4cm ≤ ĐK gôc &lt; 6cm</v>
          </cell>
          <cell r="F976" t="str">
            <v>Cây mai vàng đường kính gốc 4cm ≤ ĐK gôc &lt; 6cm</v>
          </cell>
        </row>
        <row r="977">
          <cell r="A977" t="str">
            <v>Cây mai vàng đường kính gốc 6cm ≤ ĐK gốc &lt; 10cm</v>
          </cell>
          <cell r="F977" t="str">
            <v>Cây mai vàng đường kính gốc 6cm ≤ ĐK gốc &lt; 10cm</v>
          </cell>
        </row>
        <row r="978">
          <cell r="A978" t="str">
            <v>Cây mai vàng ĐK gốc ≥ 10cm</v>
          </cell>
          <cell r="F978" t="str">
            <v>Cây mai vàng ĐK gốc ≥ 10cm</v>
          </cell>
        </row>
        <row r="979">
          <cell r="A979" t="str">
            <v>Vạn Tuế</v>
          </cell>
          <cell r="F979" t="str">
            <v>Vạn Tuế</v>
          </cell>
        </row>
        <row r="980">
          <cell r="A980" t="str">
            <v>Vạn Tuế ĐK gốc &lt; 10 cm</v>
          </cell>
          <cell r="F980" t="str">
            <v>Vạn Tuế ĐK gốc &lt; 10 cm</v>
          </cell>
        </row>
        <row r="981">
          <cell r="A981" t="str">
            <v>Vạn Tuế đường kính gốc 10 cm ≤ ĐK gốc &lt; 20 cm</v>
          </cell>
          <cell r="F981" t="str">
            <v>Vạn Tuế đường kính gốc 10 cm ≤ ĐK gốc &lt; 20 cm</v>
          </cell>
        </row>
        <row r="982">
          <cell r="A982" t="str">
            <v>Vạn Tuế đường kính gốc 20 cm ≤ ĐK gốc &lt; 30 cm</v>
          </cell>
          <cell r="F982" t="str">
            <v>Vạn Tuế đường kính gốc 20 cm ≤ ĐK gốc &lt; 30 cm</v>
          </cell>
        </row>
        <row r="983">
          <cell r="A983" t="str">
            <v>Vạn Tuế ĐK gốc ≥ 30 cm</v>
          </cell>
          <cell r="F983" t="str">
            <v>Vạn Tuế ĐK gốc ≥ 30 cm</v>
          </cell>
        </row>
        <row r="984">
          <cell r="A984" t="str">
            <v>NHÓM CÂY TÍNH THEO ĐƯỜNG KÍNH TÁN</v>
          </cell>
          <cell r="F984">
            <v>0</v>
          </cell>
        </row>
        <row r="985">
          <cell r="A985" t="str">
            <v>Cây hồng xiêm</v>
          </cell>
          <cell r="F985" t="str">
            <v>Cây hồng xiêm</v>
          </cell>
        </row>
        <row r="986">
          <cell r="A986" t="str">
            <v>Cây hồng xiêm Cây giống đủ tiêu chuẩn mới trồng</v>
          </cell>
          <cell r="F986" t="str">
            <v>Cây hồng xiêm Cây giống đủ tiêu chuẩn mới trồng</v>
          </cell>
        </row>
        <row r="987">
          <cell r="A987" t="str">
            <v>Cây hồng xiêm ĐK tán ≤ 1,5 m</v>
          </cell>
          <cell r="F987" t="str">
            <v>Cây hồng xiêm ĐK tán ≤ 1,5 m</v>
          </cell>
        </row>
        <row r="988">
          <cell r="A988" t="str">
            <v>Cây hồng xiêm đường kính tán 1,5 m &lt; ĐK tán ≤2,5 m</v>
          </cell>
          <cell r="F988" t="str">
            <v>Cây hồng xiêm đường kính tán 1,5 m &lt; ĐK tán ≤2,5 m</v>
          </cell>
        </row>
        <row r="989">
          <cell r="A989" t="str">
            <v>Cây hồng xiêm đường kính tán 2,5 m &lt; ĐK tán ≤ 3,5 m</v>
          </cell>
          <cell r="F989" t="str">
            <v>Cây hồng xiêm đường kính tán 2,5 m &lt; ĐK tán ≤ 3,5 m</v>
          </cell>
        </row>
        <row r="990">
          <cell r="A990" t="str">
            <v>Cây hồng xiêm đường kính tán 3,5 m &lt; ĐK tán ≤ 4,5 m</v>
          </cell>
          <cell r="F990" t="str">
            <v>Cây hồng xiêm đường kính tán 3,5 m &lt; ĐK tán ≤ 4,5 m</v>
          </cell>
        </row>
        <row r="991">
          <cell r="A991" t="str">
            <v>Cây hồng xiêm đường kính tán 4,5 m &lt; ĐK tán ≤ 5,5 m</v>
          </cell>
          <cell r="F991" t="str">
            <v>Cây hồng xiêm đường kính tán 4,5 m &lt; ĐK tán ≤ 5,5 m</v>
          </cell>
        </row>
        <row r="992">
          <cell r="A992" t="str">
            <v>Cây hồng xiêm đường kính tán 5,5 m &lt; ĐK tán ≤ 8 m</v>
          </cell>
          <cell r="F992" t="str">
            <v>Cây hồng xiêm đường kính tán 5,5 m &lt; ĐK tán ≤ 8 m</v>
          </cell>
        </row>
        <row r="993">
          <cell r="A993" t="str">
            <v>Cây hồng xiêm đường kính tán 8 m &lt; ĐK tán &lt; 10 m</v>
          </cell>
          <cell r="F993" t="str">
            <v>Cây hồng xiêm đường kính tán 8 m &lt; ĐK tán &lt; 10 m</v>
          </cell>
        </row>
        <row r="994">
          <cell r="A994" t="str">
            <v>Cây hồng xiêm ĐKtán &gt; 10 m</v>
          </cell>
          <cell r="F994" t="str">
            <v>Cây hồng xiêm ĐKtán &gt; 10 m</v>
          </cell>
        </row>
        <row r="995">
          <cell r="A995" t="str">
            <v>Cây roi</v>
          </cell>
          <cell r="F995" t="str">
            <v>Cây roi</v>
          </cell>
        </row>
        <row r="996">
          <cell r="A996" t="str">
            <v>Cây roi Cây giống đủ tiêu chuẩn mới trồng</v>
          </cell>
          <cell r="F996" t="str">
            <v>Cây roi Cây giống đủ tiêu chuẩn mới trồng</v>
          </cell>
        </row>
        <row r="997">
          <cell r="A997" t="str">
            <v>Cây roi đường kính tán 0,7m &lt; ĐK tán ≤ 1m</v>
          </cell>
          <cell r="F997" t="str">
            <v>Cây roi đường kính tán 0,7m &lt; ĐK tán ≤ 1m</v>
          </cell>
        </row>
        <row r="998">
          <cell r="A998" t="str">
            <v>Cây roi đường kính tán 1 m ≤ĐK tán &lt; l,5m</v>
          </cell>
          <cell r="F998" t="str">
            <v>Cây roi đường kính tán 1 m ≤ĐK tán &lt; l,5m</v>
          </cell>
        </row>
        <row r="999">
          <cell r="A999" t="str">
            <v>Cây roi đường kính tán 1,5m ≤ ĐK tán ≤2m</v>
          </cell>
          <cell r="F999" t="str">
            <v>Cây roi đường kính tán 1,5m ≤ ĐK tán ≤2m</v>
          </cell>
        </row>
        <row r="1000">
          <cell r="A1000" t="str">
            <v>Cây roi đường kính tán 2m ≤ ĐK tán ≤3m</v>
          </cell>
          <cell r="F1000" t="str">
            <v>Cây roi đường kính tán 2m ≤ ĐK tán ≤3m</v>
          </cell>
        </row>
        <row r="1001">
          <cell r="A1001" t="str">
            <v>Cây roi đường kính tán 3m ≤ ĐK tán ≤4m</v>
          </cell>
          <cell r="F1001" t="str">
            <v>Cây roi đường kính tán 3m ≤ ĐK tán ≤4m</v>
          </cell>
        </row>
        <row r="1002">
          <cell r="A1002" t="str">
            <v>Cây roi đường kính tán 4m ≤ ĐK tán ≤5m</v>
          </cell>
          <cell r="F1002" t="str">
            <v>Cây roi đường kính tán 4m ≤ ĐK tán ≤5m</v>
          </cell>
        </row>
        <row r="1003">
          <cell r="A1003" t="str">
            <v>Cây roi đường kính tán 5m ≤ ĐK tán ≤6m</v>
          </cell>
          <cell r="F1003" t="str">
            <v>Cây roi đường kính tán 5m ≤ ĐK tán ≤6m</v>
          </cell>
        </row>
        <row r="1004">
          <cell r="A1004" t="str">
            <v>Cây roi đường kính tán 6m ≤ ĐK tán ≤7m</v>
          </cell>
          <cell r="F1004" t="str">
            <v>Cây roi đường kính tán 6m ≤ ĐK tán ≤7m</v>
          </cell>
        </row>
        <row r="1005">
          <cell r="A1005" t="str">
            <v>Cây roi đường kính tán 7m ≤ ĐK tán ≤8m</v>
          </cell>
          <cell r="F1005" t="str">
            <v>Cây roi đường kính tán 7m ≤ ĐK tán ≤8m</v>
          </cell>
        </row>
        <row r="1006">
          <cell r="A1006" t="str">
            <v>Cây roi đường kính tán 8m ≤  ĐK tán ≤9m</v>
          </cell>
          <cell r="F1006" t="str">
            <v>Cây roi đường kính tán 8m ≤  ĐK tán ≤9m</v>
          </cell>
        </row>
        <row r="1007">
          <cell r="A1007" t="str">
            <v>Cây roi đường kính tán 9m ≤ ĐK tán ≤12m</v>
          </cell>
          <cell r="F1007" t="str">
            <v>Cây roi đường kính tán 9m ≤ ĐK tán ≤12m</v>
          </cell>
        </row>
        <row r="1008">
          <cell r="A1008" t="str">
            <v>Cây roi ĐK tán ≥ 12m</v>
          </cell>
          <cell r="F1008" t="str">
            <v>Cây roi ĐK tán ≥ 12m</v>
          </cell>
        </row>
        <row r="1009">
          <cell r="A1009" t="str">
            <v>Cây hồng, cây cậy</v>
          </cell>
          <cell r="F1009" t="str">
            <v>Cây hồng, cây cậy</v>
          </cell>
        </row>
        <row r="1010">
          <cell r="A1010" t="str">
            <v>Cây hồng, cây cậy Cây giống đủ tiêu chuẩn mới trồng, chiều cao cây H ≥ 40cm</v>
          </cell>
          <cell r="F1010" t="str">
            <v>Cây hồng, cây cậy Cây giống đủ tiêu chuẩn mới trồng, chiều cao cây H ≥ 40cm</v>
          </cell>
        </row>
        <row r="1011">
          <cell r="A1011" t="str">
            <v>Cây hồng, cây cậy ĐK tán ≤ 1,5m</v>
          </cell>
          <cell r="F1011" t="str">
            <v>Cây hồng, cây cậy ĐK tán ≤ 1,5m</v>
          </cell>
        </row>
        <row r="1012">
          <cell r="A1012" t="str">
            <v>Cây hồng, cây cậy đường kính tán 1,5 m &lt; ĐK tán ≤2,5 m</v>
          </cell>
          <cell r="F1012" t="str">
            <v>Cây hồng, cây cậy đường kính tán 1,5 m &lt; ĐK tán ≤2,5 m</v>
          </cell>
        </row>
        <row r="1013">
          <cell r="A1013" t="str">
            <v>Cây hồng, cây cậy đường kính tán 2,5 m &lt; ĐK tán ≤3,5 m</v>
          </cell>
          <cell r="F1013" t="str">
            <v>Cây hồng, cây cậy đường kính tán 2,5 m &lt; ĐK tán ≤3,5 m</v>
          </cell>
        </row>
        <row r="1014">
          <cell r="A1014" t="str">
            <v>Cây hồng, cây cậy đường kính tán 3,5 m &lt; ĐK tán ≤4,5 m</v>
          </cell>
          <cell r="F1014" t="str">
            <v>Cây hồng, cây cậy đường kính tán 3,5 m &lt; ĐK tán ≤4,5 m</v>
          </cell>
        </row>
        <row r="1015">
          <cell r="A1015" t="str">
            <v>Cây hồng, cây cậy đường kính tán 4,5 m &lt; ĐK tán ≤5,5 m</v>
          </cell>
          <cell r="F1015" t="str">
            <v>Cây hồng, cây cậy đường kính tán 4,5 m &lt; ĐK tán ≤5,5 m</v>
          </cell>
        </row>
        <row r="1016">
          <cell r="A1016" t="str">
            <v>Cây hồng, cây cậy đường kính tán 5,5 m &lt; ĐK tán ≤8 m</v>
          </cell>
          <cell r="F1016" t="str">
            <v>Cây hồng, cây cậy đường kính tán 5,5 m &lt; ĐK tán ≤8 m</v>
          </cell>
        </row>
        <row r="1017">
          <cell r="A1017" t="str">
            <v>Cây hồng, cây cậy đường kính tán 8 m &lt; ĐK tán ≤10 m</v>
          </cell>
          <cell r="F1017" t="str">
            <v>Cây hồng, cây cậy đường kính tán 8 m &lt; ĐK tán ≤10 m</v>
          </cell>
        </row>
        <row r="1018">
          <cell r="A1018" t="str">
            <v>Cây hồng, cây cậy ĐKtán &gt; 10 m</v>
          </cell>
          <cell r="F1018" t="str">
            <v>Cây hồng, cây cậy ĐKtán &gt; 10 m</v>
          </cell>
        </row>
        <row r="1019">
          <cell r="A1019" t="str">
            <v>Cây chanh</v>
          </cell>
          <cell r="F1019" t="str">
            <v>Cây chanh</v>
          </cell>
        </row>
        <row r="1020">
          <cell r="A1020" t="str">
            <v>Cây chanh Cây giống đủ tiêu chuẩn mới trồng, chiều cao cây H ≥ 40cm</v>
          </cell>
          <cell r="F1020" t="str">
            <v>Cây chanh Cây giống đủ tiêu chuẩn mới trồng, chiều cao cây H ≥ 40cm</v>
          </cell>
        </row>
        <row r="1021">
          <cell r="A1021" t="str">
            <v>Cây chanh ĐK tán ≤1 m</v>
          </cell>
          <cell r="F1021" t="str">
            <v>Cây chanh ĐK tán ≤1 m</v>
          </cell>
        </row>
        <row r="1022">
          <cell r="A1022" t="str">
            <v>Cây chanh đường kính tán 1 m &lt; ĐK tán ≤ 1,5 m</v>
          </cell>
          <cell r="F1022" t="str">
            <v>Cây chanh đường kính tán 1 m &lt; ĐK tán ≤ 1,5 m</v>
          </cell>
        </row>
        <row r="1023">
          <cell r="A1023" t="str">
            <v>Cây chanh đường kính tán 1,5 m &lt; ĐK tán ≤ 2 m</v>
          </cell>
          <cell r="F1023" t="str">
            <v>Cây chanh đường kính tán 1,5 m &lt; ĐK tán ≤ 2 m</v>
          </cell>
        </row>
        <row r="1024">
          <cell r="A1024" t="str">
            <v>Cây chanh đường kính tán 2 m &lt; ĐK tán ≤ 3 m</v>
          </cell>
          <cell r="F1024" t="str">
            <v>Cây chanh đường kính tán 2 m &lt; ĐK tán ≤ 3 m</v>
          </cell>
        </row>
        <row r="1025">
          <cell r="A1025" t="str">
            <v>Cây chanh đường kính tán 3 m &lt; ĐK tán ≤ 4 m</v>
          </cell>
          <cell r="F1025" t="str">
            <v>Cây chanh đường kính tán 3 m &lt; ĐK tán ≤ 4 m</v>
          </cell>
        </row>
        <row r="1026">
          <cell r="A1026" t="str">
            <v>Cây chanh ĐKtán &gt; 4m</v>
          </cell>
          <cell r="F1026" t="str">
            <v>Cây chanh ĐKtán &gt; 4m</v>
          </cell>
        </row>
        <row r="1027">
          <cell r="A1027" t="str">
            <v>Cây cam</v>
          </cell>
          <cell r="F1027" t="str">
            <v>Cây cam</v>
          </cell>
        </row>
        <row r="1028">
          <cell r="A1028" t="str">
            <v>Cây cam giống Loại cây ghép có chiều cao cây 40cm ≤ H &lt; 1m</v>
          </cell>
          <cell r="F1028">
            <v>0</v>
          </cell>
        </row>
        <row r="1029">
          <cell r="A1029" t="str">
            <v>Cây cam giống Loại cây ghép có chiều cao cây H ≥ 1 m</v>
          </cell>
          <cell r="F1029" t="str">
            <v>Cây cam giống Loại cây ghép có chiều cao cây H ≥ 1 m</v>
          </cell>
        </row>
        <row r="1030">
          <cell r="A1030" t="str">
            <v>Cây cam giống Loại cây chiết cành có chiều cao 40cm ≤ H &lt; 1m</v>
          </cell>
          <cell r="F1030" t="str">
            <v>Cây cam giống Loại cây chiết cành có chiều cao 40cm ≤ H &lt; 1m</v>
          </cell>
        </row>
        <row r="1031">
          <cell r="A1031" t="str">
            <v>Cây cam giống Loại cây chiết cành có chiều cao cây H ≥ 1m</v>
          </cell>
          <cell r="F1031" t="str">
            <v>Cây cam giống Loại cây chiết cành có chiều cao cây H ≥ 1m</v>
          </cell>
        </row>
        <row r="1032">
          <cell r="A1032" t="str">
            <v>Cây cam ĐK tán ≤1 m</v>
          </cell>
          <cell r="F1032" t="str">
            <v>Cây cam ĐK tán ≤1 m</v>
          </cell>
        </row>
        <row r="1033">
          <cell r="A1033" t="str">
            <v>Cây cam đường kính tán 1 m &lt; ĐKtán ≤ 1,5 m</v>
          </cell>
          <cell r="F1033" t="str">
            <v>Cây cam đường kính tán 1 m &lt; ĐKtán ≤ 1,5 m</v>
          </cell>
        </row>
        <row r="1034">
          <cell r="A1034" t="str">
            <v>Cây cam đường kính tán 1,5 m &lt; ĐK tán ≤ 2 m</v>
          </cell>
          <cell r="F1034" t="str">
            <v>Cây chanh Cây giống đủ tiêu chuẩn mới trồng, chiều cao cây H ≥ 40cm</v>
          </cell>
        </row>
        <row r="1035">
          <cell r="A1035" t="str">
            <v>Cây cam đường kính tán 2 m &lt; ĐK tán ≤ 3 m</v>
          </cell>
          <cell r="F1035" t="str">
            <v>Cây cam đường kính tán 2 m &lt; ĐK tán ≤ 3 m</v>
          </cell>
        </row>
        <row r="1036">
          <cell r="A1036" t="str">
            <v>Cây cam đường kính tán 3 m &lt; ĐK tán ≤ 5 m</v>
          </cell>
          <cell r="F1036" t="str">
            <v>Cây cam đường kính tán 3 m &lt; ĐK tán ≤ 5 m</v>
          </cell>
        </row>
        <row r="1037">
          <cell r="A1037" t="str">
            <v>Cây cam ĐK tán &gt; 5 m</v>
          </cell>
          <cell r="F1037" t="str">
            <v>Cây cam ĐK tán &gt; 5 m</v>
          </cell>
        </row>
        <row r="1038">
          <cell r="A1038" t="str">
            <v>Cây quýt</v>
          </cell>
          <cell r="F1038" t="str">
            <v>Cây quýt</v>
          </cell>
        </row>
        <row r="1039">
          <cell r="A1039" t="str">
            <v>Cây quýt ĐK tán ≤ 1,5 m</v>
          </cell>
          <cell r="F1039" t="str">
            <v>Cây quýt ĐK tán ≤ 1,5 m</v>
          </cell>
        </row>
        <row r="1040">
          <cell r="A1040" t="str">
            <v>Cây quýt đường kính tán 1,5 m &lt; ĐK tán ≤ 2 m</v>
          </cell>
          <cell r="F1040" t="str">
            <v>Cây quýt đường kính tán 1,5 m &lt; ĐK tán ≤ 2 m</v>
          </cell>
        </row>
        <row r="1041">
          <cell r="A1041" t="str">
            <v>Cây quýt đường kính tán 2 m &lt; ĐK tán ≤ 3 m</v>
          </cell>
          <cell r="F1041" t="str">
            <v>Cây quýt đường kính tán 2 m &lt; ĐK tán ≤ 3 m</v>
          </cell>
        </row>
        <row r="1042">
          <cell r="A1042" t="str">
            <v>Cây quýt đường kính tán 3 m &lt; ĐK tán ≤ 5 m</v>
          </cell>
          <cell r="F1042" t="str">
            <v>Cây quýt đường kính tán 3 m &lt; ĐK tán ≤ 5 m</v>
          </cell>
        </row>
        <row r="1043">
          <cell r="A1043" t="str">
            <v>Cây quýt ĐK tán &gt; 5 m</v>
          </cell>
          <cell r="F1043" t="str">
            <v>Cây quýt ĐK tán &gt; 5 m</v>
          </cell>
        </row>
        <row r="1044">
          <cell r="A1044" t="str">
            <v>Cây quất</v>
          </cell>
          <cell r="F1044" t="str">
            <v>Cây quất</v>
          </cell>
        </row>
        <row r="1045">
          <cell r="A1045" t="str">
            <v>Cây quất Cây giống đủ tiêu chuẩn mới trồng</v>
          </cell>
          <cell r="F1045" t="str">
            <v>Cây quất Cây giống đủ tiêu chuẩn mới trồng</v>
          </cell>
        </row>
        <row r="1046">
          <cell r="A1046" t="str">
            <v>Cây quất ĐK tán ≤1 m</v>
          </cell>
          <cell r="F1046" t="str">
            <v>Cây quất ĐK tán ≤1 m</v>
          </cell>
        </row>
        <row r="1047">
          <cell r="A1047" t="str">
            <v>Cây quất đường kính tán 1 m &lt; ĐK tán ≤2 m</v>
          </cell>
          <cell r="F1047" t="str">
            <v>Cây quất đường kính tán 1 m &lt; ĐK tán ≤2 m</v>
          </cell>
        </row>
        <row r="1048">
          <cell r="A1048" t="str">
            <v>Cây quất ĐK tán &gt; 2 m</v>
          </cell>
          <cell r="F1048" t="str">
            <v>Cây quất ĐK tán &gt; 2 m</v>
          </cell>
        </row>
        <row r="1049">
          <cell r="A1049" t="str">
            <v>Cây đào (lấy quả), cây mận (lấy quả), cây mơ (lấy quả)</v>
          </cell>
          <cell r="F1049" t="str">
            <v>Cây đào (lấy quả), cây mận (lấy quả), cây mơ (lấy quả)</v>
          </cell>
        </row>
        <row r="1050">
          <cell r="A1050" t="str">
            <v>Cây đào (lấy quả), cây mận (lấy quả), cây mơ (lấy quả) ĐK tán ≤1 m</v>
          </cell>
          <cell r="F1050" t="str">
            <v>Cây đào (lấy quả), cây mận (lấy quả), cây mơ (lấy quả) ĐK tán ≤1 m</v>
          </cell>
        </row>
        <row r="1051">
          <cell r="A1051" t="str">
            <v>Cây đào (lấy quả), cây mận (lấy quả), cây mơ (lấy quả) đường kính tán 1 m &lt; ĐK tán ≤1,5 m</v>
          </cell>
          <cell r="F1051" t="str">
            <v>Cây đào (lấy quả), cây mận (lấy quả), cây mơ (lấy quả) đường kính tán 1 m &lt; ĐK tán ≤1,5 m</v>
          </cell>
        </row>
        <row r="1052">
          <cell r="A1052" t="str">
            <v>Cây đào (lấy quả), cây mận (lấy quả), cây mơ (lấy quả) đường kính tán  1,5 m &lt; ĐK tán ≤ 2 m</v>
          </cell>
          <cell r="F1052" t="str">
            <v>Cây đào (lấy quả), cây mận (lấy quả), cây mơ (lấy quả) đường kính tán  1,5 m &lt; ĐK tán ≤ 2 m</v>
          </cell>
        </row>
        <row r="1053">
          <cell r="A1053" t="str">
            <v>Cây đào (lấy quả), cây mận (lấy quả), cây mơ (lấy quả) đường kính tán 2 m &lt; ĐK tán ≤ 3 m</v>
          </cell>
          <cell r="F1053" t="str">
            <v>Cây đào (lấy quả), cây mận (lấy quả), cây mơ (lấy quả) đường kính tán 2 m &lt; ĐK tán ≤ 3 m</v>
          </cell>
        </row>
        <row r="1054">
          <cell r="A1054" t="str">
            <v>Cây đào (lấy quả), cây mận (lấy quả), cây mơ (lấy quả) đường kính tán  3 m &lt; ĐK tán ≤ 5 m</v>
          </cell>
          <cell r="F1054" t="str">
            <v>Cây đào (lấy quả), cây mận (lấy quả), cây mơ (lấy quả) đường kính tán  3 m &lt; ĐK tán ≤ 5 m</v>
          </cell>
        </row>
        <row r="1055">
          <cell r="A1055" t="str">
            <v>Cây đào (lấy quả), cây mận (lấy quả), cây mơ (lấy quả) ĐK tán &gt; 5 m</v>
          </cell>
          <cell r="F1055" t="str">
            <v>Cây đào (lấy quả), cây mận (lấy quả), cây mơ (lấy quả) ĐK tán &gt; 5 m</v>
          </cell>
        </row>
        <row r="1056">
          <cell r="A1056" t="str">
            <v>Cây thanh trà (chanh trà)</v>
          </cell>
          <cell r="F1056" t="str">
            <v>Cây thanh trà (chanh trà)</v>
          </cell>
        </row>
        <row r="1057">
          <cell r="A1057" t="str">
            <v>Cây thanh trà (chanh trà) Cây giống đủ tiêu chuẩn mới trồng, chiều cao cây H ≥ 40cm</v>
          </cell>
          <cell r="F1057" t="str">
            <v>Cây thanh trà (chanh trà) Cây giống đủ tiêu chuẩn mới trồng, chiều cao cây H ≥ 40cm</v>
          </cell>
        </row>
        <row r="1058">
          <cell r="A1058" t="str">
            <v>Cây thanh trà (chanh trà) ĐK tán ≤1 m</v>
          </cell>
          <cell r="F1058" t="str">
            <v>Cây thanh trà (chanh trà) ĐK tán ≤1 m</v>
          </cell>
        </row>
        <row r="1059">
          <cell r="A1059" t="str">
            <v>Cây thanh trà (chanh trà) đường kính tán 1 m &lt; ĐK tán ≤ 1,5 m</v>
          </cell>
          <cell r="F1059" t="str">
            <v>Cây thanh trà (chanh trà) đường kính tán 1 m &lt; ĐK tán ≤ 1,5 m</v>
          </cell>
        </row>
        <row r="1060">
          <cell r="A1060" t="str">
            <v>Cây thanh trà (chanh trà) đường kính tán 1,5 m &lt; ĐK tán ≤ 2 m</v>
          </cell>
          <cell r="F1060" t="str">
            <v>Cây thanh trà (chanh trà) đường kính tán 1,5 m &lt; ĐK tán ≤ 2 m</v>
          </cell>
        </row>
        <row r="1061">
          <cell r="A1061" t="str">
            <v>Cây thanh trà (chanh trà) đường kính tán 2 m &lt; ĐK tán ≤ 3 m</v>
          </cell>
          <cell r="F1061" t="str">
            <v>Cây thanh trà (chanh trà) đường kính tán 2 m &lt; ĐK tán ≤ 3 m</v>
          </cell>
        </row>
        <row r="1062">
          <cell r="A1062" t="str">
            <v>Cây thanh trà (chanh trà) đường kính tán 3 m &lt; ĐK tán ≤ 5 m</v>
          </cell>
          <cell r="F1062" t="str">
            <v>Cây thanh trà (chanh trà) đường kính tán 3 m &lt; ĐK tán ≤ 5 m</v>
          </cell>
        </row>
        <row r="1063">
          <cell r="A1063" t="str">
            <v>Cây thanh trà (chanh trà) ĐK tán &gt; 5 m</v>
          </cell>
          <cell r="F1063" t="str">
            <v>Cây thanh trà (chanh trà) ĐK tán &gt; 5 m</v>
          </cell>
        </row>
        <row r="1064">
          <cell r="A1064" t="str">
            <v>Cây nhót</v>
          </cell>
          <cell r="F1064" t="str">
            <v>Cây nhót</v>
          </cell>
        </row>
        <row r="1065">
          <cell r="A1065" t="str">
            <v>Cây nhót Cây giống mới trồng</v>
          </cell>
          <cell r="F1065" t="str">
            <v>Cây nhót Cây giống mới trồng</v>
          </cell>
        </row>
        <row r="1066">
          <cell r="A1066" t="str">
            <v>Cây nhót ĐK tán ≤1,5 m</v>
          </cell>
          <cell r="F1066" t="str">
            <v>Cây nhót ĐK tán ≤1,5 m</v>
          </cell>
        </row>
        <row r="1067">
          <cell r="A1067" t="str">
            <v>Cây nhót đường kính tán 1,5 m &lt; ĐK tán ≤2 m</v>
          </cell>
          <cell r="F1067" t="str">
            <v>Cây nhót đường kính tán 1,5 m &lt; ĐK tán ≤2 m</v>
          </cell>
        </row>
        <row r="1068">
          <cell r="A1068" t="str">
            <v>Cây nhót đường kính tán 2 m &lt; ĐK tán ≤3 m</v>
          </cell>
          <cell r="F1068" t="str">
            <v>Cây nhót đường kính tán 2 m &lt; ĐK tán ≤3 m</v>
          </cell>
        </row>
        <row r="1069">
          <cell r="A1069" t="str">
            <v>Cây nhót đường kính tán 3 m &lt; ĐK tán ≤5 m</v>
          </cell>
          <cell r="F1069" t="str">
            <v>Cây nhót đường kính tán 3 m &lt; ĐK tán ≤5 m</v>
          </cell>
        </row>
        <row r="1070">
          <cell r="A1070" t="str">
            <v>Cây nhót ĐK tán &gt; 5 m</v>
          </cell>
          <cell r="F1070" t="str">
            <v>Cây nhót ĐK tán &gt; 5 m</v>
          </cell>
        </row>
        <row r="1071">
          <cell r="A1071" t="str">
            <v>Cây Thanh long</v>
          </cell>
          <cell r="F1071" t="str">
            <v>Cây Thanh long</v>
          </cell>
        </row>
        <row r="1072">
          <cell r="A1072" t="str">
            <v>Cây Thanh long ĐK tán ≤1 m</v>
          </cell>
          <cell r="F1072" t="str">
            <v>Cây Thanh long ĐK tán ≤1 m</v>
          </cell>
        </row>
        <row r="1073">
          <cell r="A1073" t="str">
            <v>Cây Thanh long đường kính tán 1 m &lt; ĐK tán ≤2 m</v>
          </cell>
          <cell r="F1073" t="str">
            <v>Cây Thanh long đường kính tán 1 m &lt; ĐK tán ≤2 m</v>
          </cell>
        </row>
        <row r="1074">
          <cell r="A1074" t="str">
            <v>Cây Thanh long đường kính tán 2 m &lt; ĐK tán ≤3 m</v>
          </cell>
          <cell r="F1074" t="str">
            <v>Cây Thanh long đường kính tán 2 m &lt; ĐK tán ≤3 m</v>
          </cell>
        </row>
        <row r="1075">
          <cell r="A1075" t="str">
            <v>Cây Thanh long ĐK tán &gt; 3 m</v>
          </cell>
          <cell r="F1075" t="str">
            <v>Cây Thanh long ĐK tán &gt; 3 m</v>
          </cell>
        </row>
        <row r="1076">
          <cell r="A1076" t="str">
            <v>Cây chè</v>
          </cell>
          <cell r="F1076" t="str">
            <v>Cây chè</v>
          </cell>
        </row>
        <row r="1077">
          <cell r="A1077" t="str">
            <v>Cây chè Cây giống đủ tiêu chuẩn mới trồng</v>
          </cell>
          <cell r="F1077" t="str">
            <v>Cây chè Cây giống đủ tiêu chuẩn mới trồng</v>
          </cell>
        </row>
        <row r="1078">
          <cell r="A1078" t="str">
            <v>Cây chè ĐK tán ≤0,8 m</v>
          </cell>
          <cell r="F1078" t="str">
            <v>Cây chè ĐK tán ≤0,8 m</v>
          </cell>
        </row>
        <row r="1079">
          <cell r="A1079" t="str">
            <v>Cây chè đường kính tán 0,8 m &lt; ĐK tán ≤1 m</v>
          </cell>
          <cell r="F1079" t="str">
            <v>Cây chè đường kính tán 0,8 m &lt; ĐK tán ≤1 m</v>
          </cell>
        </row>
        <row r="1080">
          <cell r="A1080" t="str">
            <v>Cây chè đường kính tán 1 m &lt; ĐK tán ≤1,2 m</v>
          </cell>
          <cell r="F1080" t="str">
            <v>Cây chè đường kính tán 1 m &lt; ĐK tán ≤1,2 m</v>
          </cell>
        </row>
        <row r="1081">
          <cell r="A1081" t="str">
            <v>Cây chè ĐK tán &gt; 1,2 m</v>
          </cell>
          <cell r="F1081" t="str">
            <v>Cây chè ĐK tán &gt; 1,2 m</v>
          </cell>
        </row>
        <row r="1082">
          <cell r="A1082" t="str">
            <v>Cây mẫu đơn ta</v>
          </cell>
          <cell r="F1082" t="str">
            <v>Cây mẫu đơn ta</v>
          </cell>
        </row>
        <row r="1083">
          <cell r="A1083" t="str">
            <v>Cây mẫu đơn ta Cây giống đủ tiêu chuẩn mới trồng, chiều cao cây H &lt; 40cm</v>
          </cell>
          <cell r="F1083" t="str">
            <v>Cây mẫu đơn ta Cây giống đủ tiêu chuẩn mới trồng, chiều cao cây H &lt; 40cm</v>
          </cell>
        </row>
        <row r="1084">
          <cell r="A1084" t="str">
            <v>Cây mẫu đơn ta Cây giống đủ tiêu chuẩn mới trồng, chiều cao cây 40cm ≤ H &lt; 100cm</v>
          </cell>
          <cell r="F1084" t="str">
            <v>Cây mẫu đơn ta Cây giống đủ tiêu chuẩn mới trồng, chiều cao cây 40cm ≤ H &lt; 100cm</v>
          </cell>
        </row>
        <row r="1085">
          <cell r="A1085" t="str">
            <v>Cây mẫu đơn ta Cây giống đủ tiêu chuẩn mới trồng, chiều cao cây H ≥ 100cm</v>
          </cell>
          <cell r="F1085" t="str">
            <v>Cây mẫu đơn ta Cây giống đủ tiêu chuẩn mới trồng, chiều cao cây H ≥ 100cm</v>
          </cell>
        </row>
        <row r="1086">
          <cell r="A1086" t="str">
            <v>Cây mẫu đơn ta có ĐK tán &lt; 1m, gốc có 5-7 nhánh</v>
          </cell>
          <cell r="F1086" t="str">
            <v>Cây mẫu đơn ta có ĐK tán &lt; 1m, gốc có 5-7 nhánh</v>
          </cell>
        </row>
        <row r="1087">
          <cell r="A1087" t="str">
            <v>Cây mẫu đơn ta có ĐK tán từ 1,0m đến 1,2m gốc có 5- 7 nhánh</v>
          </cell>
          <cell r="F1087" t="str">
            <v>Cây mẫu đơn ta có ĐK tán từ 1,0m đến 1,2m gốc có 5- 7 nhánh</v>
          </cell>
        </row>
        <row r="1088">
          <cell r="A1088" t="str">
            <v>Cây mẫu đơn ta có ĐK tán l,0m đến l,2m, gốc có 8-10 nhánh</v>
          </cell>
          <cell r="F1088" t="str">
            <v>Cây mẫu đơn ta có ĐK tán l,0m đến l,2m, gốc có 8-10 nhánh</v>
          </cell>
        </row>
        <row r="1089">
          <cell r="A1089" t="str">
            <v>Cây mẫu đơn ta có ĐK tán l,3m đến 1,5 m, gốc có 8- 10 nhánh</v>
          </cell>
          <cell r="F1089" t="str">
            <v>Cây mẫu đơn ta có ĐK tán l,3m đến 1,5 m, gốc có 8- 10 nhánh</v>
          </cell>
        </row>
        <row r="1090">
          <cell r="A1090" t="str">
            <v>Cây mẫu đơn ta có ĐK tán l,6m đến 2m, gốc có trên 10 nhánh</v>
          </cell>
          <cell r="F1090" t="str">
            <v>Cây mẫu đơn ta có ĐK tán l,6m đến 2m, gốc có trên 10 nhánh</v>
          </cell>
        </row>
        <row r="1091">
          <cell r="A1091" t="str">
            <v>Cây mẫu đơn ta có ĐK tán 2,0m đến 2,2 m, gốc có trên 10 nhánh</v>
          </cell>
          <cell r="F1091" t="str">
            <v>Cây mẫu đơn ta có ĐK tán 2,0m đến 2,2 m, gốc có trên 10 nhánh</v>
          </cell>
        </row>
        <row r="1092">
          <cell r="A1092" t="str">
            <v>Cây mẫu đơn ta có ĐK tán &gt;2,2m đến 2,5m, gốc có trên 10 nhánh</v>
          </cell>
          <cell r="F1092" t="str">
            <v>Cây mẫu đơn ta có ĐK tán &gt;2,2m đến 2,5m, gốc có trên 10 nhánh</v>
          </cell>
        </row>
        <row r="1093">
          <cell r="A1093" t="str">
            <v>Cây mẫu đơn ta có ĐK tán &gt;2,5 m, gôc có trên 10 nhánh</v>
          </cell>
          <cell r="F1093" t="str">
            <v>Cây mẫu đơn ta có ĐK tán &gt;2,5 m, gôc có trên 10 nhánh</v>
          </cell>
        </row>
        <row r="1094">
          <cell r="A1094" t="str">
            <v>Cây thiên phúc (pháo hoa)</v>
          </cell>
          <cell r="F1094" t="str">
            <v>Cây thiên phúc (pháo hoa)</v>
          </cell>
        </row>
        <row r="1095">
          <cell r="A1095" t="str">
            <v>Cây thiên phúc (pháo hoa) Cây giống mới trồng</v>
          </cell>
          <cell r="F1095" t="str">
            <v>Cây thiên phúc (pháo hoa) Cây giống mới trồng</v>
          </cell>
        </row>
        <row r="1096">
          <cell r="A1096" t="str">
            <v>Cây thiên phúc (pháo hoa) đường kính tán 0,5 m &lt; ĐK tán ≤1 m</v>
          </cell>
          <cell r="F1096" t="str">
            <v>Cây thiên phúc (pháo hoa) đường kính tán 0,5 m &lt; ĐK tán ≤1 m</v>
          </cell>
        </row>
        <row r="1097">
          <cell r="A1097" t="str">
            <v>Cây thiên phúc (pháo hoa) đường kính tán 1 m &lt; ĐK tán ≤2,5 m</v>
          </cell>
          <cell r="F1097" t="str">
            <v>Cây thiên phúc (pháo hoa) đường kính tán 1 m &lt; ĐK tán ≤2,5 m</v>
          </cell>
        </row>
        <row r="1098">
          <cell r="A1098" t="str">
            <v>Cây thiên phúc (pháo hoa) ĐK tán &gt; 2,5 m</v>
          </cell>
          <cell r="F1098" t="str">
            <v>Cây thiên phúc (pháo hoa) ĐK tán &gt; 2,5 m</v>
          </cell>
        </row>
        <row r="1099">
          <cell r="A1099" t="str">
            <v>Cây mẫu đơn nhật</v>
          </cell>
          <cell r="F1099" t="str">
            <v>Cây mẫu đơn nhật</v>
          </cell>
        </row>
        <row r="1100">
          <cell r="A1100" t="str">
            <v>Cây mẫu đơn nhật Cây giống mới trồng</v>
          </cell>
          <cell r="F1100" t="str">
            <v>Cây mẫu đơn nhật Cây giống mới trồng</v>
          </cell>
        </row>
        <row r="1101">
          <cell r="A1101" t="str">
            <v>Cây mẫu đơn nhật đường kính tán 1 m &lt; ĐK tán ≤ 1,5 m</v>
          </cell>
          <cell r="F1101" t="str">
            <v>Cây mẫu đơn nhật đường kính tán 1 m &lt; ĐK tán ≤ 1,5 m</v>
          </cell>
        </row>
        <row r="1102">
          <cell r="A1102" t="str">
            <v>Cây mẫu đơn nhật đường kính tán 1,5 m &lt; ĐK tán ≤ 2m</v>
          </cell>
          <cell r="F1102" t="str">
            <v>Cây mẫu đơn nhật đường kính tán 1,5 m &lt; ĐK tán ≤ 2m</v>
          </cell>
        </row>
        <row r="1103">
          <cell r="A1103" t="str">
            <v>Cây mẫu đơn nhật ĐK tán &gt; 2 m</v>
          </cell>
          <cell r="F1103" t="str">
            <v>Cây mẫu đơn nhật ĐK tán &gt; 2 m</v>
          </cell>
        </row>
        <row r="1104">
          <cell r="A1104" t="str">
            <v>Cây dâm bụt, cây ngũ sắc</v>
          </cell>
          <cell r="F1104" t="str">
            <v>Cây dâm bụt, cây ngũ sắc</v>
          </cell>
        </row>
        <row r="1105">
          <cell r="A1105" t="str">
            <v>Cây dâm bụt, cây ngũ sắc Cây giống mới trồng</v>
          </cell>
          <cell r="F1105" t="str">
            <v>Cây dâm bụt, cây ngũ sắc Cây giống mới trồng</v>
          </cell>
        </row>
        <row r="1106">
          <cell r="A1106" t="str">
            <v>Cây dâm bụt, cây ngũ sắc đường kính tán 0,5 m &lt; ĐK tán ≤ 1 m</v>
          </cell>
          <cell r="F1106" t="str">
            <v>Cây dâm bụt, cây ngũ sắc đường kính tán 0,5 m &lt; ĐK tán ≤ 1 m</v>
          </cell>
        </row>
        <row r="1107">
          <cell r="A1107" t="str">
            <v>Cây dâm bụt, cây ngũ sắc đường kính tán 1 m &lt; ĐK tán ≤ 1,5 m</v>
          </cell>
          <cell r="F1107" t="str">
            <v>Cây dâm bụt, cây ngũ sắc đường kính tán 1 m &lt; ĐK tán ≤ 1,5 m</v>
          </cell>
        </row>
        <row r="1108">
          <cell r="A1108" t="str">
            <v>Cây dâm bụt, cây ngũ sắc đường kính tán 1,5 m &lt; ĐK tán ≤ 2 m</v>
          </cell>
          <cell r="F1108" t="str">
            <v>Cây dâm bụt, cây ngũ sắc đường kính tán 1,5 m &lt; ĐK tán ≤ 2 m</v>
          </cell>
        </row>
        <row r="1109">
          <cell r="A1109" t="str">
            <v>Cây dâm bụt, cây ngũ sắc đường kính tán 2 m &lt; ĐK tán ≤ 3 m</v>
          </cell>
          <cell r="F1109" t="str">
            <v>Cây sắn thuyền chiều cao cây H &gt; 3 m</v>
          </cell>
        </row>
        <row r="1110">
          <cell r="F1110" t="str">
            <v>Cây dâm bụt, cây ngũ sắc ĐK tán &gt; 3 m</v>
          </cell>
        </row>
        <row r="1111">
          <cell r="F1111" t="str">
            <v>Cây hoa sứ</v>
          </cell>
        </row>
        <row r="1112">
          <cell r="F1112" t="str">
            <v>Cây hoa sứ Cây giống đủ tiêu chuẩn mới trồng, chưa ra hoa</v>
          </cell>
        </row>
        <row r="1113">
          <cell r="F1113" t="str">
            <v>Cây hoa sứ đường kính tán 0,5 m &lt; ĐK tán ≤1 m</v>
          </cell>
        </row>
        <row r="1114">
          <cell r="F1114" t="str">
            <v>Cây hoa sứ đường kính tán 1 m &lt; ĐK tán ≤2 m</v>
          </cell>
        </row>
        <row r="1115">
          <cell r="F1115" t="str">
            <v>Cây hoa sứ đường kính tán 2 m &lt; ĐK tán ≤3 m</v>
          </cell>
        </row>
        <row r="1116">
          <cell r="F1116" t="str">
            <v>Cây hoa sứ đường kính tán 3 m &lt; ĐK tán ≤4 m</v>
          </cell>
        </row>
        <row r="1117">
          <cell r="F1117" t="str">
            <v>Cây hoa sứ ĐK tán &gt; 4 m</v>
          </cell>
        </row>
        <row r="1118">
          <cell r="F1118" t="str">
            <v>Cây ngâu, cây tứ quý</v>
          </cell>
        </row>
        <row r="1119">
          <cell r="F1119" t="str">
            <v>Cây ngâu, cây tứ quý Cây giống đủ tiêu chuẩn mới trồng, chưa ra hoa</v>
          </cell>
        </row>
        <row r="1120">
          <cell r="F1120" t="str">
            <v>Cây ngâu, cây tứ quý đường kính tán 0,5 m &lt; ĐK tán ≤1 m</v>
          </cell>
        </row>
        <row r="1121">
          <cell r="F1121" t="str">
            <v>Cây ngâu, cây tứ quý đường kính tán 1 m &lt; ĐK tán ≤1,5 m</v>
          </cell>
        </row>
        <row r="1122">
          <cell r="F1122" t="str">
            <v>Cây ngâu, cây tứ quý đường kính tán 1,5 m &lt; ĐK tán ≤2 m</v>
          </cell>
        </row>
        <row r="1123">
          <cell r="F1123" t="str">
            <v>Cây ngâu, cây tứ quý đường kính tán 2 m &lt; ĐK tán ≤3 m</v>
          </cell>
        </row>
        <row r="1124">
          <cell r="F1124" t="str">
            <v>Cây ngâu, cây tứ quý đường kính tán 3 m &lt; ĐK tán ≤4,5 m</v>
          </cell>
        </row>
        <row r="1125">
          <cell r="F1125" t="str">
            <v>Cây ngâu, cây tứ quý đường kính tán 4,5 m &lt; ĐK tán ≤6 m</v>
          </cell>
        </row>
        <row r="1126">
          <cell r="F1126" t="str">
            <v>Cây ngâu, cây tứ quý đường kính tán 6 m &lt; ĐK tán ≤8 m</v>
          </cell>
        </row>
        <row r="1127">
          <cell r="F1127" t="str">
            <v>Cây ngâu, cây tứ quý ĐK tán &gt; 8 m</v>
          </cell>
        </row>
        <row r="1128">
          <cell r="F1128" t="str">
            <v>Cây hoa nhài</v>
          </cell>
        </row>
        <row r="1129">
          <cell r="F1129" t="str">
            <v>Cây hoa nhài giống mới trồng</v>
          </cell>
        </row>
        <row r="1130">
          <cell r="F1130" t="str">
            <v>Cây hoa nhài đường kính tán 0,5 m &lt; ĐK tán ≤1,5 m</v>
          </cell>
        </row>
        <row r="1131">
          <cell r="F1131" t="str">
            <v>Cây hoa nhài ĐK tán &gt;1,5 m</v>
          </cell>
        </row>
        <row r="1132">
          <cell r="F1132" t="str">
            <v>Cây hương thảo, tuyết sơn phi hồng</v>
          </cell>
        </row>
        <row r="1133">
          <cell r="F1133" t="str">
            <v>Cây hương thảo, tuyết sơn phi hồng giống</v>
          </cell>
        </row>
        <row r="1134">
          <cell r="F1134" t="str">
            <v>Cây hương thảo, tuyết sơn phi hồng đường kính tán 0,2 m &lt; ĐK tán ≤0,5 m</v>
          </cell>
        </row>
        <row r="1135">
          <cell r="F1135" t="str">
            <v>Cây hương thảo, tuyết sơn phi hồng đường kính tán 0,5 m &lt; ĐK tán ≤1 m</v>
          </cell>
        </row>
        <row r="1136">
          <cell r="F1136" t="str">
            <v>Cây hương thảo, tuyết sơn phi hồng ĐK tán &gt;1 m</v>
          </cell>
        </row>
        <row r="1137">
          <cell r="F1137" t="str">
            <v>Cây nhàu</v>
          </cell>
        </row>
        <row r="1138">
          <cell r="F1138" t="str">
            <v>Cây nhàu giống mới trồng</v>
          </cell>
        </row>
        <row r="1139">
          <cell r="F1139" t="str">
            <v>Cây nhàu đường kính tán 0,5 m &lt; ĐK tán ≤1 m</v>
          </cell>
        </row>
        <row r="1140">
          <cell r="F1140" t="str">
            <v>Cây nhàu đường kính tán 1 m &lt; ĐK tán ≤2 m</v>
          </cell>
        </row>
        <row r="1141">
          <cell r="F1141" t="str">
            <v>Cây nhàu ĐK tán &gt; 2 m</v>
          </cell>
        </row>
        <row r="1142">
          <cell r="F1142" t="str">
            <v>Cây hoa hòe</v>
          </cell>
        </row>
        <row r="1143">
          <cell r="F1143" t="str">
            <v>Cây hoa hòe giống đủ tiêu chuẩn mới trồng</v>
          </cell>
        </row>
        <row r="1144">
          <cell r="F1144" t="str">
            <v>Cây hoa hòe đường kính tán 0,1m &lt; ĐK tán ≤0,5m</v>
          </cell>
        </row>
        <row r="1145">
          <cell r="F1145" t="str">
            <v>Cây hoa hòe đường kính tán 0,5m &lt; ĐK tán ≤ 1m</v>
          </cell>
        </row>
        <row r="1146">
          <cell r="F1146" t="str">
            <v>Cây hoa hòe đường kính tán 1 m ≤ ĐK tán &lt; 1,5m</v>
          </cell>
        </row>
        <row r="1147">
          <cell r="F1147" t="str">
            <v>Cây hoa hòe đường kính tán 1,5m ≤ ĐK tán &lt; 2m</v>
          </cell>
        </row>
        <row r="1148">
          <cell r="F1148" t="str">
            <v>Cây hoa hòe đường kính tán 2m ≤ ĐK tán &lt; 3m</v>
          </cell>
        </row>
        <row r="1149">
          <cell r="F1149" t="str">
            <v>Cây hoa hòe đường kính tán 3m ≤ ĐK tán &lt; 4m</v>
          </cell>
        </row>
        <row r="1150">
          <cell r="F1150" t="str">
            <v>Cây hoa hòe đường kính tán 4m ≤ ĐK tán &lt; 5m</v>
          </cell>
        </row>
        <row r="1151">
          <cell r="F1151" t="str">
            <v>Cây hoa hòe đường kính tán 5m ≤ ĐK tán &lt; 6m</v>
          </cell>
        </row>
        <row r="1152">
          <cell r="F1152" t="str">
            <v>Cây hoa hòe đường kính tán 6m ≤ ĐK tán &lt; 7m</v>
          </cell>
        </row>
        <row r="1153">
          <cell r="F1153" t="str">
            <v>Cây hoa hòe đường kính tán 7m ≤ ĐK tán &lt; 8m</v>
          </cell>
        </row>
        <row r="1154">
          <cell r="F1154" t="str">
            <v>Cây hoa hòe đường kính tán 8m ≤ ĐK tán&lt; 9m</v>
          </cell>
        </row>
        <row r="1155">
          <cell r="F1155" t="str">
            <v>Cây hoa hòe đường kính tán 9m ≤ ĐK tán &lt; 12m</v>
          </cell>
        </row>
        <row r="1156">
          <cell r="F1156" t="str">
            <v>Cây hoa hòe ĐK tán ≥ 12m</v>
          </cell>
        </row>
        <row r="1157">
          <cell r="F1157" t="str">
            <v>Xạ đen</v>
          </cell>
        </row>
        <row r="1158">
          <cell r="F1158" t="str">
            <v>Xạ đen giống đủ tiêu chuẩn mới trồng</v>
          </cell>
        </row>
        <row r="1159">
          <cell r="F1159" t="str">
            <v>Xạ đen đường kính tán 0,1 ≤ ĐK tán &lt; 0,5m</v>
          </cell>
        </row>
        <row r="1160">
          <cell r="F1160" t="str">
            <v>Xạ đen đường kính tán 0,5m  ≤ ĐK tán ≤ 1m</v>
          </cell>
        </row>
        <row r="1161">
          <cell r="F1161" t="str">
            <v>Xạ đen đường kính tán 1m ≤ ĐK tán &lt; 1,5m</v>
          </cell>
        </row>
        <row r="1162">
          <cell r="F1162" t="str">
            <v>Xạ đen đường kính tán 1,5m  ≤ ĐK tán &lt; 2m</v>
          </cell>
        </row>
        <row r="1163">
          <cell r="F1163" t="str">
            <v>Xạ đen đường kính tán 2m  ≤  ĐK tán &lt; 3m</v>
          </cell>
        </row>
        <row r="1164">
          <cell r="F1164" t="str">
            <v>Xạ đen đường kính tán 3m  ≤  ĐK tán &lt; 4m</v>
          </cell>
        </row>
        <row r="1165">
          <cell r="F1165" t="str">
            <v>Xạ đen ĐK tán ≥ 4m</v>
          </cell>
        </row>
        <row r="1166">
          <cell r="F1166" t="str">
            <v>NHÓM CÂY TÍNH THEO MÉT VUÔNG GIÀN</v>
          </cell>
        </row>
        <row r="1167">
          <cell r="F1167" t="str">
            <v>Cây thiênlý</v>
          </cell>
        </row>
        <row r="1168">
          <cell r="F1168" t="str">
            <v>Cây gấc</v>
          </cell>
        </row>
        <row r="1169">
          <cell r="F1169" t="str">
            <v>Cây gấc (Tính theo m2 giàn)</v>
          </cell>
        </row>
        <row r="1170">
          <cell r="F1170" t="str">
            <v>Tính theo khóm gốc</v>
          </cell>
        </row>
        <row r="1171">
          <cell r="F1171" t="str">
            <v>Cây gấc (Tính theo khóm gốc) Chiều dài dây leo L &lt; 3m</v>
          </cell>
        </row>
        <row r="1172">
          <cell r="F1172" t="str">
            <v>Cây gấc (Tính theo khóm gốc) Chiều dài dây leo 3m ≤ L &lt; 10m</v>
          </cell>
        </row>
        <row r="1173">
          <cell r="F1173" t="str">
            <v>Cây gấc (Tính theo khóm gốc) Chiều dài dây leo L &gt; 10m</v>
          </cell>
        </row>
        <row r="1174">
          <cell r="F1174" t="str">
            <v>Cây nho</v>
          </cell>
        </row>
        <row r="1175">
          <cell r="F1175" t="str">
            <v>NHÓM CÂY KHÁC</v>
          </cell>
        </row>
        <row r="1176">
          <cell r="F1176" t="str">
            <v>Tre lấy măng</v>
          </cell>
        </row>
        <row r="1177">
          <cell r="F1177" t="str">
            <v>Tre lấy măng Loại 1 thân</v>
          </cell>
        </row>
        <row r="1178">
          <cell r="F1178" t="str">
            <v>Tre lấy măng Loại 2-3 thân</v>
          </cell>
        </row>
        <row r="1179">
          <cell r="F1179" t="str">
            <v>Tre lấy măng Loại 4-5 thân</v>
          </cell>
        </row>
        <row r="1180">
          <cell r="F1180" t="str">
            <v>Măng tây</v>
          </cell>
        </row>
        <row r="1181">
          <cell r="F1181" t="str">
            <v>Cà gai leo</v>
          </cell>
        </row>
        <row r="1182">
          <cell r="F1182" t="str">
            <v>Cây ngũ gia bì, kim ngân</v>
          </cell>
        </row>
        <row r="1183">
          <cell r="F1183" t="str">
            <v>Cây ngũ gia bì, kim ngân giống</v>
          </cell>
        </row>
        <row r="1184">
          <cell r="F1184" t="str">
            <v>Cây ngũ gia bì, kim ngân đang phát triển</v>
          </cell>
        </row>
        <row r="1185">
          <cell r="F1185" t="str">
            <v>Cây trúc mây, trúc nhật</v>
          </cell>
        </row>
        <row r="1186">
          <cell r="F1186" t="str">
            <v>Cây trúc mây, trúc nhật giống</v>
          </cell>
        </row>
        <row r="1187">
          <cell r="F1187" t="str">
            <v>Cây trúc mây, trúc nhật Khóm từ 1-2 cây</v>
          </cell>
        </row>
        <row r="1188">
          <cell r="F1188" t="str">
            <v>Cây trúc mây, trúc nhật Khóm từ 3-5 cây</v>
          </cell>
        </row>
        <row r="1189">
          <cell r="F1189" t="str">
            <v>Cây trúc mây, trúc nhật Khóm trên 5 cây</v>
          </cell>
        </row>
        <row r="1190">
          <cell r="F1190" t="str">
            <v>Cây trúc phật bà</v>
          </cell>
        </row>
        <row r="1191">
          <cell r="F1191" t="str">
            <v>Cây trúc phật bà Khóm từ 1-2 cây</v>
          </cell>
        </row>
        <row r="1192">
          <cell r="F1192" t="str">
            <v>Cây trúc phật bà Khóm từ 3-5 cây</v>
          </cell>
        </row>
        <row r="1193">
          <cell r="F1193" t="str">
            <v>Cây trúc phật bà Khóm trên 5 cây</v>
          </cell>
        </row>
        <row r="1194">
          <cell r="F1194" t="str">
            <v>Cây trúc quân tử</v>
          </cell>
        </row>
        <row r="1195">
          <cell r="F1195" t="str">
            <v>Cây trúc quân tử Khóm từ 1-2 cây</v>
          </cell>
        </row>
        <row r="1196">
          <cell r="F1196" t="str">
            <v>Cây trúc quân tử Khóm từ 3-5 cây</v>
          </cell>
        </row>
        <row r="1197">
          <cell r="F1197" t="str">
            <v>Cây trúc quân tử Khóm trên 5 cây</v>
          </cell>
        </row>
        <row r="1198">
          <cell r="F1198" t="str">
            <v>Cây thủy trúc</v>
          </cell>
        </row>
        <row r="1199">
          <cell r="F1199" t="str">
            <v>Cây cọ</v>
          </cell>
        </row>
        <row r="1200">
          <cell r="F1200" t="str">
            <v>Cây cọ giống mới trồng</v>
          </cell>
        </row>
        <row r="1201">
          <cell r="F1201" t="str">
            <v>Cây cọ Cây bóc bẹ từ 1-2 lá</v>
          </cell>
        </row>
        <row r="1202">
          <cell r="F1202" t="str">
            <v>Cây cọ Cây bóc bẹ từ 3-5 lá</v>
          </cell>
        </row>
        <row r="1203">
          <cell r="F1203" t="str">
            <v>Cây cọ Cây bóc bẹ trên 5 lá</v>
          </cell>
        </row>
        <row r="1204">
          <cell r="F1204" t="str">
            <v>Cây cau Ha Oai</v>
          </cell>
        </row>
        <row r="1205">
          <cell r="F1205" t="str">
            <v>Cây cau Ha Oai giống mới trồng</v>
          </cell>
        </row>
        <row r="1206">
          <cell r="F1206" t="str">
            <v>Cây cau Ha Oai Khóm 1-2 cây</v>
          </cell>
        </row>
        <row r="1207">
          <cell r="F1207" t="str">
            <v>Cây cau Ha Oai Khóm trên 3-5 cây</v>
          </cell>
        </row>
        <row r="1208">
          <cell r="F1208" t="str">
            <v>Cây cau Ha Oai Khóm trên 5 cây</v>
          </cell>
        </row>
        <row r="1209">
          <cell r="F1209" t="str">
            <v>Cây mây, song</v>
          </cell>
        </row>
        <row r="1210">
          <cell r="F1210" t="str">
            <v>Cây mây, song giống mới trồng</v>
          </cell>
        </row>
        <row r="1211">
          <cell r="F1211" t="str">
            <v>Cây mây, song Cây dưới 3 năm tuối (chưa cho thu hoạch)</v>
          </cell>
        </row>
        <row r="1212">
          <cell r="F1212" t="str">
            <v>Cây mây, song Cây từ 3-7 năm tuổi (bắt đầu cho thu hoạch)</v>
          </cell>
        </row>
        <row r="1213">
          <cell r="F1213" t="str">
            <v>Cây mây, song Cây từ 7 năm tuổi trở lên (chiều dài thân 3-4 m)</v>
          </cell>
        </row>
        <row r="1214">
          <cell r="F1214" t="str">
            <v>Cây đỗ quyên</v>
          </cell>
        </row>
        <row r="1215">
          <cell r="F1215" t="str">
            <v>Cây đỗ quyên giống mới trồng</v>
          </cell>
        </row>
        <row r="1216">
          <cell r="F1216" t="str">
            <v>Cây đỗ quyên đã ra hoa</v>
          </cell>
        </row>
        <row r="1217">
          <cell r="F1217" t="str">
            <v>Cây trân châu</v>
          </cell>
        </row>
        <row r="1218">
          <cell r="F1218" t="str">
            <v>Cây dành dành</v>
          </cell>
        </row>
        <row r="1219">
          <cell r="F1219" t="str">
            <v>Cây lan dừ</v>
          </cell>
        </row>
        <row r="1220">
          <cell r="F1220" t="str">
            <v>Cây lan ý</v>
          </cell>
        </row>
        <row r="1221">
          <cell r="F1221" t="str">
            <v>Cây cô tòng</v>
          </cell>
        </row>
        <row r="1222">
          <cell r="F1222" t="str">
            <v>Cây cô tòng đuôi lươn</v>
          </cell>
        </row>
        <row r="1223">
          <cell r="F1223" t="str">
            <v>Cây cẩm tú cầu, thủy tiên</v>
          </cell>
        </row>
        <row r="1224">
          <cell r="F1224" t="str">
            <v>Cây cẩm tú cầu, thủy tiên chưa có hoa</v>
          </cell>
        </row>
        <row r="1225">
          <cell r="F1225" t="str">
            <v>Cây cẩm tú cầu, thủy tiên đang có hoa</v>
          </cell>
        </row>
        <row r="1226">
          <cell r="F1226" t="str">
            <v>Cây vạn niên thanh</v>
          </cell>
        </row>
        <row r="1227">
          <cell r="F1227" t="str">
            <v>Cây vạn niên thanh Khóm 1-2 cây</v>
          </cell>
        </row>
        <row r="1228">
          <cell r="F1228" t="str">
            <v>Cây vạn niên thanh Khóm 3-5 cây</v>
          </cell>
        </row>
        <row r="1229">
          <cell r="F1229" t="str">
            <v>Cây trầu bà</v>
          </cell>
        </row>
        <row r="1230">
          <cell r="F1230" t="str">
            <v>Cây trầu bà Khóm 1-2 cây</v>
          </cell>
        </row>
        <row r="1231">
          <cell r="F1231" t="str">
            <v>Cây trầu bà Khóm 3-5 cây</v>
          </cell>
        </row>
        <row r="1232">
          <cell r="F1232" t="str">
            <v>Cây dứa cảnh, ké, lưỡi hổ</v>
          </cell>
        </row>
        <row r="1233">
          <cell r="F1233" t="str">
            <v>Cây chu định lan/lan hạc đỉnh</v>
          </cell>
        </row>
        <row r="1234">
          <cell r="F1234" t="str">
            <v>Cây hoa ti gôn, hoa pháo</v>
          </cell>
        </row>
        <row r="1235">
          <cell r="F1235" t="str">
            <v>Cây hoa ti gôn, hoa pháo chưa leo giàn</v>
          </cell>
        </row>
        <row r="1236">
          <cell r="F1236" t="str">
            <v>Cây hoa ti gôn, hoa pháo đã leo giàn</v>
          </cell>
        </row>
        <row r="1237">
          <cell r="F1237" t="str">
            <v>Cây hoa đá</v>
          </cell>
        </row>
        <row r="1238">
          <cell r="F1238" t="str">
            <v>Cây ắc ó</v>
          </cell>
        </row>
        <row r="1239">
          <cell r="F1239" t="str">
            <v>Cây bướm bạc</v>
          </cell>
        </row>
        <row r="1240">
          <cell r="F1240" t="str">
            <v>Cây huỳnh anh</v>
          </cell>
        </row>
        <row r="1241">
          <cell r="F1241" t="str">
            <v>Cây môn cuống đỏ</v>
          </cell>
        </row>
        <row r="1242">
          <cell r="F1242" t="str">
            <v>Cây lan huệ</v>
          </cell>
        </row>
        <row r="1243">
          <cell r="F1243" t="str">
            <v>Cây ngọc nữ, ngọc dạ minh châu</v>
          </cell>
        </row>
        <row r="1244">
          <cell r="F1244" t="str">
            <v>Cây cốt khí</v>
          </cell>
        </row>
        <row r="1245">
          <cell r="F1245" t="str">
            <v>Cây chuông vàng</v>
          </cell>
        </row>
        <row r="1246">
          <cell r="F1246" t="str">
            <v>Cây náng</v>
          </cell>
        </row>
        <row r="1247">
          <cell r="F1247" t="str">
            <v>Cây hoa mào gà, cầy bóng nước</v>
          </cell>
        </row>
        <row r="1248">
          <cell r="F1248" t="str">
            <v>Cây hoa mào gà, cầy bóng nước chưa có hoa</v>
          </cell>
        </row>
        <row r="1249">
          <cell r="F1249" t="str">
            <v>Cây hoa mào gà, cầy bóng nước đã có hoa</v>
          </cell>
        </row>
        <row r="1250">
          <cell r="F1250" t="str">
            <v>Cây dứa</v>
          </cell>
        </row>
        <row r="1251">
          <cell r="F1251" t="str">
            <v>Cây dứa Chưa ra quả</v>
          </cell>
        </row>
        <row r="1252">
          <cell r="F1252" t="str">
            <v>Cây dứa Đang ra quả</v>
          </cell>
        </row>
        <row r="1253">
          <cell r="F1253" t="str">
            <v>Cây hoa quỳnh</v>
          </cell>
        </row>
        <row r="1254">
          <cell r="F1254" t="str">
            <v>Cây hoa quỳnh chưa có hoa</v>
          </cell>
        </row>
        <row r="1255">
          <cell r="F1255" t="str">
            <v>Cây hoa quỳnh có hoa</v>
          </cell>
        </row>
        <row r="1256">
          <cell r="F1256" t="str">
            <v>Cây thuần tía (thài lài tía)</v>
          </cell>
        </row>
        <row r="1257">
          <cell r="F1257" t="str">
            <v>Cây thuần tía (thài lài tía) mới trồng</v>
          </cell>
        </row>
        <row r="1258">
          <cell r="F1258" t="str">
            <v>Cây thuần tía (thài lài tía) trưởng thành</v>
          </cell>
        </row>
        <row r="1259">
          <cell r="F1259" t="str">
            <v>Cây bỏng, cây xác pháo</v>
          </cell>
        </row>
        <row r="1260">
          <cell r="F1260" t="str">
            <v>Cây bỏng, cây xác pháo Cây non</v>
          </cell>
        </row>
        <row r="1261">
          <cell r="F1261" t="str">
            <v>Cây bỏng, cây xác pháo đã ra hoa</v>
          </cell>
        </row>
        <row r="1262">
          <cell r="F1262" t="str">
            <v>Cây sống đời (cây phát lộc)</v>
          </cell>
        </row>
        <row r="1263">
          <cell r="F1263" t="str">
            <v>Cây sống đời (cây phát lộc) cây non</v>
          </cell>
        </row>
        <row r="1264">
          <cell r="F1264" t="str">
            <v>Cây sống đời (cây phát lộc) đã ra hoa</v>
          </cell>
        </row>
        <row r="1265">
          <cell r="F1265" t="str">
            <v>Cây sử quân tử</v>
          </cell>
        </row>
        <row r="1266">
          <cell r="F1266" t="str">
            <v>Cây sử quân tử giống</v>
          </cell>
        </row>
        <row r="1267">
          <cell r="F1267" t="str">
            <v>Cây sử quân tử có hoa</v>
          </cell>
        </row>
        <row r="1268">
          <cell r="F1268" t="str">
            <v>Cây xương rồng</v>
          </cell>
        </row>
        <row r="1269">
          <cell r="F1269" t="str">
            <v>Cây xương rồng Chưa ra hoa</v>
          </cell>
        </row>
        <row r="1270">
          <cell r="F1270" t="str">
            <v>Cây xương rồng đã ra hoa</v>
          </cell>
        </row>
        <row r="1271">
          <cell r="F1271" t="str">
            <v>Cây thuốc: bạch chỉ, cau xi, địa liền, ngưu tất, sa nhân, bồ công anh, mã đề, diệp hạ châu (chó đẻ), cầy thuốc Băc, thuốc Nam các loại</v>
          </cell>
        </row>
        <row r="1272">
          <cell r="F1272" t="str">
            <v>Cây thuốc: bạch chỉ, cau xi, địa liền, ngưu tất, sa nhân, bồ công anh, mã đề, diệp hạ châu (chó đẻ), cầy thuốc Băc, thuốc Nam các loại chưa trưởng thành</v>
          </cell>
        </row>
        <row r="1273">
          <cell r="F1273" t="str">
            <v>Cây thuốc: bạch chỉ, cau xi, địa liền, ngưu tất, sa nhân, bồ công anh, mã đề, diệp hạ châu (chó đẻ), cầy thuốc Băc, thuốc Nam các loại trưởng thành</v>
          </cell>
        </row>
        <row r="1274">
          <cell r="F1274" t="str">
            <v>Cây thiên môn, mạch môn</v>
          </cell>
        </row>
        <row r="1275">
          <cell r="F1275" t="str">
            <v>Cây mơ lông</v>
          </cell>
        </row>
        <row r="1276">
          <cell r="F1276" t="str">
            <v>Cây mơ lông giống</v>
          </cell>
        </row>
        <row r="1277">
          <cell r="F1277" t="str">
            <v>Cây mơ lông trưởng thành</v>
          </cell>
        </row>
        <row r="1278">
          <cell r="F1278" t="str">
            <v>Cây trầu không</v>
          </cell>
        </row>
        <row r="1279">
          <cell r="F1279" t="str">
            <v>Cây trầu không giống</v>
          </cell>
        </row>
        <row r="1280">
          <cell r="F1280" t="str">
            <v>Cây trầu không trưởng thành</v>
          </cell>
        </row>
        <row r="1281">
          <cell r="F1281" t="str">
            <v>Cây diếp cá, rau sam, rau ngổ, lá cẩm</v>
          </cell>
        </row>
        <row r="1282">
          <cell r="F1282" t="str">
            <v>Cỏ nhật</v>
          </cell>
        </row>
        <row r="1283">
          <cell r="F1283" t="str">
            <v>Cây thanh táo</v>
          </cell>
        </row>
        <row r="1284">
          <cell r="F1284" t="str">
            <v>Cây dừa cạn</v>
          </cell>
        </row>
        <row r="1285">
          <cell r="F1285" t="str">
            <v>Cây tầm bỏi</v>
          </cell>
        </row>
        <row r="1286">
          <cell r="F1286" t="str">
            <v>Cây tầm bỏi giống</v>
          </cell>
        </row>
        <row r="1287">
          <cell r="F1287" t="str">
            <v>Cây tầm bỏi trưởng thành</v>
          </cell>
        </row>
        <row r="1288">
          <cell r="F1288" t="str">
            <v>Cây ráng làm chổi</v>
          </cell>
        </row>
        <row r="1289">
          <cell r="F1289" t="str">
            <v>Cây nha đam</v>
          </cell>
        </row>
        <row r="1290">
          <cell r="F1290" t="str">
            <v>Cây nha đam giống</v>
          </cell>
        </row>
        <row r="1291">
          <cell r="F1291" t="str">
            <v>Cây nha đam trưởng thành</v>
          </cell>
        </row>
        <row r="1292">
          <cell r="F1292" t="str">
            <v>Cây kim tiền</v>
          </cell>
        </row>
        <row r="1293">
          <cell r="F1293" t="str">
            <v>Cây hoa thanh tú</v>
          </cell>
        </row>
        <row r="1294">
          <cell r="F1294" t="str">
            <v>Đối với cây ươm, gieo hoặc cây trồng hàng năm xen dưới tán lá cây lầu nãm (tính bình quân trên diện tích cây trồng chiếm chỗ)</v>
          </cell>
        </row>
        <row r="1295">
          <cell r="F1295" t="str">
            <v>Đối vói lâm sản phụ trồng trên diện tích nông nghiệp do Nhà nước giao cho hộ gia đình, cá nhân để trồng, khoanh, nuôi, bảo vệ, tái sinh rừng, mà khi giao là đất trống, đồi núi trọc... hộ gia đình, cá nhân tự bỏ vốn đầu tư trồng rừng (tính bình quân trên diện tích cây trồng chiếm chỗ)</v>
          </cell>
        </row>
        <row r="1296">
          <cell r="F1296" t="str">
            <v>GIÓNG CÂỲ CẢNH</v>
          </cell>
        </row>
        <row r="1297">
          <cell r="F1297" t="str">
            <v>Cây giống đào, hoa cảnh</v>
          </cell>
        </row>
        <row r="1298">
          <cell r="F1298" t="str">
            <v>Cây giống đào, hoa cảnh Gieo, ươm hạt thành luông chưa ghép</v>
          </cell>
        </row>
        <row r="1299">
          <cell r="F1299" t="str">
            <v>Cây giống đào, hoa cảnh Gieo, ươm hạt thành luống đã ghép</v>
          </cell>
        </row>
        <row r="1300">
          <cell r="F1300" t="str">
            <v>Cây giống đào hoa cảnh đã ghép đủ tiêu chuẩn</v>
          </cell>
        </row>
        <row r="1301">
          <cell r="F1301" t="str">
            <v>Cây giống trồng từ đào mạ, không ghép trồng thành luống</v>
          </cell>
        </row>
        <row r="1302">
          <cell r="F1302" t="str">
            <v>Cây giống lộc vừng, sanh, si</v>
          </cell>
        </row>
        <row r="1303">
          <cell r="F1303" t="str">
            <v>Cây giống lộc vừng, sanh, si gieo ươm từ hạt</v>
          </cell>
        </row>
        <row r="1304">
          <cell r="F1304" t="str">
            <v>Cây giống lộc vừng, sanh, si Giống ươm gieo hạt chiều cao cây H &lt;  20cm</v>
          </cell>
        </row>
        <row r="1305">
          <cell r="F1305" t="str">
            <v>Cây giống lộc vừng, sanh, si Giống ươm gieo hạt chiều cao cây H &gt; 20cm</v>
          </cell>
        </row>
        <row r="1306">
          <cell r="F1306" t="str">
            <v>Cây giống lộc vừng, sanh, si Từ cây ươm gieo hạt tách ra đựng trong bầu nilong hoặc trồng thành luống</v>
          </cell>
        </row>
        <row r="1307">
          <cell r="F1307" t="str">
            <v>Cây giống lộc vừng, sanh, si Chiều cao cây 20cm ≤ H &lt; 50cm</v>
          </cell>
        </row>
        <row r="1308">
          <cell r="F1308" t="str">
            <v>Cây giống lộc vừng, sanh, si Chiều cao cây 50cm ≤ H &lt; 70cm</v>
          </cell>
        </row>
        <row r="1309">
          <cell r="F1309" t="str">
            <v>Cây giống lộc vừng, sanh, si Chiều cao cây 70cm ≤ H &lt;100cm</v>
          </cell>
        </row>
        <row r="1310">
          <cell r="F1310" t="str">
            <v>Cây giống cau cảnh</v>
          </cell>
        </row>
        <row r="1311">
          <cell r="F1311" t="str">
            <v>Cây giống cau cảnh gieo ươm từ hạt</v>
          </cell>
        </row>
        <row r="1312">
          <cell r="F1312" t="str">
            <v>Cây giống cau cảnh Giống ươm gieo hạt thành luống, vạt chiều cao cây H &lt; 20cm</v>
          </cell>
        </row>
        <row r="1313">
          <cell r="F1313" t="str">
            <v>Cây giống cau cảnh Giống ươm gieo hạt thành luống, vạt chiều cao cây H ≥ 20cm</v>
          </cell>
        </row>
        <row r="1314">
          <cell r="F1314" t="str">
            <v>Cây giống cau cảnh Từ cây ươm gieo hạt tách ra đựng trong bầu nilong hoặc trồng thành luống Chiều cao cây H &lt; 20cm</v>
          </cell>
        </row>
        <row r="1315">
          <cell r="F1315" t="str">
            <v>Cây giống cau cảnh Chiều cao cây 20cm ≤ H &lt; 50cm</v>
          </cell>
        </row>
        <row r="1316">
          <cell r="F1316" t="str">
            <v>Cây giống cau cảnh Chiều cao cây H ≥ 50cm</v>
          </cell>
        </row>
        <row r="1317">
          <cell r="F1317" t="str">
            <v>Đào tán (đào hoa cảnh có đặc điếm tán lá hình tròn, hình tháp, thân chính không uốn tạo thế phát triển tự nhiên, chỉ cắt tỉa cành nhỏ; trồng trên đất đã được chuyển mục đích theo quy định, bao gồm: Đào cây, các loại cây khác trồng xen canh, bể chứa nước, bể chứa phân.. .tính trên diện tích 1 sào =360m2).</v>
          </cell>
        </row>
        <row r="1318">
          <cell r="F1318" t="str">
            <v>Đào tán loại 1 (số cây có đường kính tán từ 0,8m đến Im, cao từ Im đến l,5m chiếm trên 50% diện tích; quy đổi 1 cây/l,8m2)</v>
          </cell>
        </row>
        <row r="1319">
          <cell r="F1319" t="str">
            <v>Đào tán loại 2 (số cây có đường kính tán từ 0,8m đến Im, cao từ lm đến l,5m chiếm từ 40% đến 50% diện tích; quy đổi 1 cây/l,8m2)</v>
          </cell>
        </row>
        <row r="1320">
          <cell r="F1320" t="str">
            <v>Đào tán loại 3 (số cây có đường kính tán từ 0,8m đến Im, cao từ Im đến l,5m chiếm từ 30% đến 40% diện tích; quy đổi 1 cây/l,8m2)</v>
          </cell>
        </row>
        <row r="1321">
          <cell r="F1321" t="str">
            <v>Đào tán loại 4 (số cây có đường kính tán từ 0,8m đến Im, cao từ Im đến l,5m chiếm dưới 30% diện tích; quy đổi 1 cây/l,2m2)</v>
          </cell>
        </row>
        <row r="1322">
          <cell r="F1322" t="str">
            <v>Đào thế (đào trồng trên đát đã được chuyển mục đích theo quy định, bao gồm: Đào cây, các loại cây khác trồng xen canh, bể chứa nước, bể chứa phân.. .tính trên diện tích 1 sào =360m2)</v>
          </cell>
        </row>
        <row r="1323">
          <cell r="F1323">
            <v>0</v>
          </cell>
        </row>
        <row r="1324">
          <cell r="F1324" t="str">
            <v>Đào thế loại 2 (số cây có chiều cao từ 1 m đến l,5m chiếm từ 40% đến 50% diện tích; quy đổi 1 cây/l,8m2)</v>
          </cell>
        </row>
        <row r="1325">
          <cell r="F1325" t="str">
            <v>Đào thế loại 3 (số cây có chiều cao từ Im đến l,5m chiếm dưới 40% diện tích; quy đổi 1 cây/l,2m2)</v>
          </cell>
        </row>
        <row r="1326">
          <cell r="F1326" t="str">
            <v>Cỏ cảnh lá tre (trồng dày đặc)</v>
          </cell>
        </row>
        <row r="1327">
          <cell r="F1327" t="str">
            <v>Hương nhu, lá ngải, lá nếp, lưỡi hổ, láng tía, ngũ gia bì</v>
          </cell>
        </row>
        <row r="1328">
          <cell r="F1328" t="str">
            <v>Hương bài</v>
          </cell>
        </row>
        <row r="1329">
          <cell r="F1329" t="str">
            <v>GIÓNG CÂY ĂN QUẢ</v>
          </cell>
        </row>
        <row r="1330">
          <cell r="F1330" t="str">
            <v>Thanh long</v>
          </cell>
        </row>
        <row r="1331">
          <cell r="F1331" t="str">
            <v>Thanh long giống Cành mới ươm chưa ra rễ</v>
          </cell>
        </row>
        <row r="1332">
          <cell r="F1332" t="str">
            <v>Thanh long Cây ươm đã ra rễ và mầm, thời gian trồng &lt;01 tháng</v>
          </cell>
        </row>
        <row r="1333">
          <cell r="F1333" t="str">
            <v>Thanh long Cây ươm đã ra rê và mâm, từ 01 tháng đên &lt; 02 tháng</v>
          </cell>
        </row>
        <row r="1334">
          <cell r="F1334" t="str">
            <v>Thanh long Cây ươm đã ra rễ và mầm, thời gian trồng ≥ 02 tháng</v>
          </cell>
        </row>
        <row r="1335">
          <cell r="F1335" t="str">
            <v>Cây giống cây ăn quả</v>
          </cell>
        </row>
        <row r="1336">
          <cell r="F1336" t="str">
            <v>Loại ươm gieo hạt (thành luống, dảnh)</v>
          </cell>
        </row>
        <row r="1337">
          <cell r="F1337" t="str">
            <v>Cây giống cây ăn quả, Loại ươm gieo hạt (thành luống, dảnh) Chiều cao cây H &lt; 20cm</v>
          </cell>
        </row>
        <row r="1338">
          <cell r="F1338" t="str">
            <v>Cây giống cây ăn quả, Loại ươm gieo hạt (thành luống, dảnh Chiều cao cây H ≥ 20cm</v>
          </cell>
        </row>
        <row r="1339">
          <cell r="F1339" t="str">
            <v>Cây giống vải, nhãn, doi, bưởi, thị, na, xoài, muỗm, quéo, trứng gà, sấu, táo, ổi, chay, me, khế, mận, mơ (từ cây ươm gieo hạt, đựng trong bầu nilon hoặc trồng thành luống chưa ghép)</v>
          </cell>
        </row>
        <row r="1340">
          <cell r="F1340" t="str">
            <v>Cây giống vải, nhãn, doi, bưởi, thị, na, xoài, muỗm, quéo, trứng gà, sấu, táo, ổi, chay, me, khế, mận, mơ (từ cây ươm gieo hạt, đựng trong bầu nilon hoặc trồng thành luống chưa ghép) Chiều cao cây H &lt; 40cm</v>
          </cell>
        </row>
        <row r="1341">
          <cell r="F1341" t="str">
            <v>Cây giống vải, nhãn, doi, bưởi, thị, na, xoài, muỗm, quéo, trứng gà, sấu, táo, ổi, chay, me, khế, mận, mơ (từ cây ươm gieo hạt, đựng trong bầu nilon hoặc trồng thành luống chưa ghép) Chiều cao cây 40cm ≤ H &lt; 100cn</v>
          </cell>
        </row>
        <row r="1342">
          <cell r="F1342" t="str">
            <v>Cây giống vải, nhãn, doi, bưởi, thị, na, xoài, muỗm, quéo, trứng gà, sấu, táo, ổi, chay, me, khế, mận, mơ (từ cây ươm gieo hạt, đựng trong bầu nilon hoặc trồng thành luống chưa ghép) Chiều cao cây H  ≥ 100cm</v>
          </cell>
        </row>
        <row r="1343">
          <cell r="F1343" t="str">
            <v>Cây giống vải, nhãn, cam, bưởi, táo, ổi, khế (gieo hạt ươm thành luống đã ghép)</v>
          </cell>
        </row>
        <row r="1344">
          <cell r="F1344" t="str">
            <v>Cây giống vải, nhãn, cam, bưởi, táo, ổi, khế (gieo hạt ươm thành luống đã ghép) Chiều cao cây H &lt; 40cm</v>
          </cell>
        </row>
        <row r="1345">
          <cell r="F1345" t="str">
            <v>Cây giống vải, nhãn, cam, bưởi, táo, ổi, khế (gieo hạt ươm thành luống đã ghép) Chiều cao cây 40cm ≤ H &lt; 100cm</v>
          </cell>
        </row>
        <row r="1346">
          <cell r="F1346" t="str">
            <v>Cây giống vải, nhãn, cam, bưởi, táo, ổi, khế (gieo hạt ươm thành luống đã ghép) Chiều cao cây H ≥ 100cm</v>
          </cell>
        </row>
        <row r="1347">
          <cell r="F1347" t="str">
            <v>Cây giống vải, nhãn, cam, bưởi, doi, hông xiêm ... đang chiết cành (đã có rễ) chưa đem trồng</v>
          </cell>
        </row>
        <row r="1348">
          <cell r="F1348" t="str">
            <v>Giống Vải, Nhãn đã chiết cành, đã đem dâm ra vườn</v>
          </cell>
        </row>
        <row r="1349">
          <cell r="F1349" t="str">
            <v>Giống Vải, Nhãn đã chiết cành, đã đem dâm ra vườn Chiều cao cây H &lt; 40cm</v>
          </cell>
        </row>
        <row r="1350">
          <cell r="F1350" t="str">
            <v>Giống Vải, Nhãn đã chiết cành, đã đem dâm ra vườn Chiều cao cây 40cm ≤ H &lt; 1,0m</v>
          </cell>
        </row>
        <row r="1351">
          <cell r="F1351" t="str">
            <v>Giống Vải, Nhãn đã chiết cành, đã đem dâm ra vườn Chiều cao cây H ≥ l,0m</v>
          </cell>
        </row>
        <row r="1352">
          <cell r="F1352" t="str">
            <v>Cây giống cam, bưởi, doi, hồng xiêm đã chiết cành dâm ra vườn</v>
          </cell>
        </row>
        <row r="1353">
          <cell r="F1353" t="str">
            <v>Cây giống cây lấy gỗ, cây lấy lá...ươm gieo hạt thành luống, vạt</v>
          </cell>
        </row>
        <row r="1354">
          <cell r="F1354" t="str">
            <v>Cây giống cây lấy gỗ, cây lấy lá...ươm gieo hạt thành luống, vạt Chiều cao cây H &lt; 20cm</v>
          </cell>
        </row>
        <row r="1355">
          <cell r="F1355" t="str">
            <v>Cây giống cây lấy gỗ, cây lấy lá...ươm gieo hạt thành luống, vạt Chiều cao cây H &gt; 20cm</v>
          </cell>
        </row>
        <row r="1356">
          <cell r="F1356" t="str">
            <v>Cây cảnh trồng trong chậu (tính chi phí di chuyển cả cây và chậu)</v>
          </cell>
        </row>
        <row r="1357">
          <cell r="F1357" t="str">
            <v>Di chuyển Chậu có đường kính &lt; 0,5m</v>
          </cell>
        </row>
        <row r="1358">
          <cell r="F1358" t="str">
            <v>Di chuyển Chậu có đường kính 0,5m ≤ ĐK &lt; 0,7m</v>
          </cell>
        </row>
        <row r="1359">
          <cell r="F1359" t="str">
            <v>Di chuyển Chậu có đường kính 0,7m ≤ ĐK &lt; 1m</v>
          </cell>
        </row>
        <row r="1360">
          <cell r="F1360" t="str">
            <v>Di chuyển Chậu có đường kính 1m ≤ ĐK &lt; 1,5m</v>
          </cell>
        </row>
        <row r="1361">
          <cell r="F1361" t="str">
            <v>Di chuyển Chậu có đường kính ≥ 1,5m</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foxz"/>
      <sheetName val="foxz_2"/>
      <sheetName val="Đơn giá cây cối"/>
      <sheetName val="THPA"/>
      <sheetName val="17,20,21,101. Thơi"/>
      <sheetName val="18. Thảnh Thảo"/>
      <sheetName val="19. Thại"/>
      <sheetName val="35. Thắng"/>
      <sheetName val="36. Lành"/>
      <sheetName val="37. Chiều"/>
      <sheetName val="39. Đằng"/>
      <sheetName val="42. Truân"/>
      <sheetName val="43. Sơn"/>
      <sheetName val="56a. Long Hồng"/>
      <sheetName val="83. Tuấn"/>
      <sheetName val="84. Đạt"/>
      <sheetName val="85. Sơn"/>
      <sheetName val="86. Đăng"/>
      <sheetName val="91. Mùi"/>
      <sheetName val="92. Trà"/>
      <sheetName val="93. Quang"/>
      <sheetName val="100. Thài"/>
      <sheetName val="XXXXXXXX"/>
    </sheetNames>
    <sheetDataSet>
      <sheetData sheetId="0"/>
      <sheetData sheetId="1"/>
      <sheetData sheetId="2"/>
      <sheetData sheetId="3">
        <row r="1">
          <cell r="F1" t="str">
            <v>KQ</v>
          </cell>
        </row>
        <row r="2">
          <cell r="A2" t="str">
            <v>Nhóm cây lương thực</v>
          </cell>
          <cell r="F2" t="str">
            <v>Nhóm cây lương thực</v>
          </cell>
        </row>
        <row r="3">
          <cell r="A3" t="str">
            <v>Lúa</v>
          </cell>
          <cell r="F3" t="str">
            <v>Lúa</v>
          </cell>
        </row>
        <row r="4">
          <cell r="A4" t="str">
            <v>Ngô (bắp)</v>
          </cell>
          <cell r="F4" t="str">
            <v>Ngô (bắp)</v>
          </cell>
        </row>
        <row r="5">
          <cell r="A5" t="str">
            <v>Khoai lang</v>
          </cell>
          <cell r="F5" t="str">
            <v>Khoai lang</v>
          </cell>
        </row>
        <row r="6">
          <cell r="A6" t="str">
            <v>Sắn (mỳ)</v>
          </cell>
          <cell r="F6" t="str">
            <v>Sắn (mỳ)</v>
          </cell>
        </row>
        <row r="7">
          <cell r="A7" t="str">
            <v>Nhóm cây rau, màu</v>
          </cell>
          <cell r="F7" t="str">
            <v>Nhóm cây rau, màu</v>
          </cell>
        </row>
        <row r="8">
          <cell r="A8" t="str">
            <v>Khoai sọ</v>
          </cell>
          <cell r="F8" t="str">
            <v>Khoai sọ</v>
          </cell>
        </row>
        <row r="9">
          <cell r="A9" t="str">
            <v>Khoai mỡ, củ canh</v>
          </cell>
          <cell r="F9" t="str">
            <v>Khoai mỡ, củ canh</v>
          </cell>
        </row>
        <row r="10">
          <cell r="A10" t="str">
            <v>Khoai môn</v>
          </cell>
          <cell r="F10" t="str">
            <v>Khoai môn</v>
          </cell>
        </row>
        <row r="11">
          <cell r="A11" t="str">
            <v>Khoai tây</v>
          </cell>
          <cell r="F11" t="str">
            <v>Khoai tây</v>
          </cell>
        </row>
        <row r="12">
          <cell r="A12" t="str">
            <v>Dong riềng</v>
          </cell>
          <cell r="F12" t="str">
            <v>Dong riềng</v>
          </cell>
        </row>
        <row r="13">
          <cell r="A13" t="str">
            <v>Sắn dây</v>
          </cell>
          <cell r="F13" t="str">
            <v>Sắn dây</v>
          </cell>
        </row>
        <row r="14">
          <cell r="A14" t="str">
            <v>Củ từ</v>
          </cell>
          <cell r="F14" t="str">
            <v>Củ từ</v>
          </cell>
        </row>
        <row r="15">
          <cell r="A15" t="str">
            <v>Mía</v>
          </cell>
          <cell r="F15" t="str">
            <v>Mía</v>
          </cell>
        </row>
        <row r="16">
          <cell r="A16" t="str">
            <v>Thuốc lào</v>
          </cell>
          <cell r="F16" t="str">
            <v>Thuốc lào</v>
          </cell>
        </row>
        <row r="17">
          <cell r="A17" t="str">
            <v>Cói</v>
          </cell>
          <cell r="F17" t="str">
            <v>Cói</v>
          </cell>
        </row>
        <row r="18">
          <cell r="A18" t="str">
            <v xml:space="preserve"> Đậu tương (đậu nành) lấy hạt</v>
          </cell>
          <cell r="F18" t="str">
            <v xml:space="preserve"> Đậu tương (đậu nành) lấy hạt</v>
          </cell>
        </row>
        <row r="19">
          <cell r="A19" t="str">
            <v>Lạc (đậu phộng)</v>
          </cell>
          <cell r="F19" t="str">
            <v>Lạc (đậu phộng)</v>
          </cell>
        </row>
        <row r="20">
          <cell r="A20" t="str">
            <v>Vừng (mè)</v>
          </cell>
          <cell r="F20" t="str">
            <v>Vừng (mè)</v>
          </cell>
        </row>
        <row r="21">
          <cell r="A21" t="str">
            <v>Rau muống</v>
          </cell>
          <cell r="F21" t="str">
            <v>Rau muống</v>
          </cell>
        </row>
        <row r="22">
          <cell r="A22" t="str">
            <v>Cải canh</v>
          </cell>
          <cell r="F22" t="str">
            <v>Cải canh</v>
          </cell>
        </row>
        <row r="23">
          <cell r="A23" t="str">
            <v>Cải chíp</v>
          </cell>
          <cell r="F23" t="str">
            <v>Cải chíp</v>
          </cell>
        </row>
        <row r="24">
          <cell r="A24" t="str">
            <v>Cải ngồng</v>
          </cell>
          <cell r="F24" t="str">
            <v>Cải ngồng</v>
          </cell>
        </row>
        <row r="25">
          <cell r="A25" t="str">
            <v>Cải bẹ</v>
          </cell>
          <cell r="F25" t="str">
            <v>Cải bẹ</v>
          </cell>
        </row>
        <row r="26">
          <cell r="A26" t="str">
            <v>Cải làn</v>
          </cell>
          <cell r="F26" t="str">
            <v>Cải làn</v>
          </cell>
        </row>
        <row r="27">
          <cell r="A27" t="str">
            <v>Cải bó xôi</v>
          </cell>
          <cell r="F27" t="str">
            <v>Cải bó xôi</v>
          </cell>
        </row>
        <row r="28">
          <cell r="A28" t="str">
            <v>Cải ngọt</v>
          </cell>
          <cell r="F28">
            <v>0</v>
          </cell>
        </row>
        <row r="29">
          <cell r="A29" t="str">
            <v>Cải xoong</v>
          </cell>
          <cell r="F29" t="str">
            <v>Cải xoong</v>
          </cell>
        </row>
        <row r="30">
          <cell r="A30" t="str">
            <v>Cải thảo</v>
          </cell>
          <cell r="F30" t="str">
            <v>Cải thảo</v>
          </cell>
        </row>
        <row r="31">
          <cell r="A31" t="str">
            <v>Cải cúc</v>
          </cell>
          <cell r="F31">
            <v>0</v>
          </cell>
        </row>
        <row r="32">
          <cell r="A32" t="str">
            <v>Cải kale</v>
          </cell>
          <cell r="F32" t="str">
            <v>Cải kale</v>
          </cell>
        </row>
        <row r="33">
          <cell r="A33" t="str">
            <v>Cải bắp</v>
          </cell>
          <cell r="F33" t="str">
            <v>Cải bắp</v>
          </cell>
        </row>
        <row r="34">
          <cell r="A34" t="str">
            <v>Rau mùng tơi</v>
          </cell>
          <cell r="F34" t="str">
            <v>Rau mùng tơi</v>
          </cell>
        </row>
        <row r="35">
          <cell r="A35" t="str">
            <v>Rau đay</v>
          </cell>
          <cell r="F35" t="str">
            <v>Rau đay</v>
          </cell>
        </row>
        <row r="36">
          <cell r="A36" t="str">
            <v>Rau ngót</v>
          </cell>
          <cell r="F36" t="str">
            <v>Rau ngót</v>
          </cell>
        </row>
        <row r="37">
          <cell r="A37" t="str">
            <v>Rau má</v>
          </cell>
          <cell r="F37" t="str">
            <v>Rau má</v>
          </cell>
        </row>
        <row r="38">
          <cell r="A38" t="str">
            <v>Rau diếp/xà lách</v>
          </cell>
          <cell r="F38" t="str">
            <v>Rau diếp/xà lách</v>
          </cell>
        </row>
        <row r="39">
          <cell r="A39" t="str">
            <v>Rau dền</v>
          </cell>
          <cell r="F39" t="str">
            <v>Rau dền</v>
          </cell>
        </row>
        <row r="40">
          <cell r="A40" t="str">
            <v>Súp lơ</v>
          </cell>
          <cell r="F40" t="str">
            <v>Súp lơ</v>
          </cell>
        </row>
        <row r="41">
          <cell r="A41" t="str">
            <v>Su su (lấy ngọn)</v>
          </cell>
          <cell r="F41">
            <v>0</v>
          </cell>
        </row>
        <row r="42">
          <cell r="A42" t="str">
            <v>Ngô rau</v>
          </cell>
          <cell r="F42" t="str">
            <v>Ngô rau</v>
          </cell>
        </row>
        <row r="43">
          <cell r="A43" t="str">
            <v>Dưa hấu</v>
          </cell>
          <cell r="F43" t="str">
            <v>Dưa hấu</v>
          </cell>
        </row>
        <row r="44">
          <cell r="A44" t="str">
            <v>Dưa lê</v>
          </cell>
          <cell r="F44" t="str">
            <v>Dưa lê</v>
          </cell>
        </row>
        <row r="45">
          <cell r="A45" t="str">
            <v>Dưa vàng</v>
          </cell>
          <cell r="F45" t="str">
            <v>Dưa vàng</v>
          </cell>
        </row>
        <row r="46">
          <cell r="A46" t="str">
            <v>Dưa lưới</v>
          </cell>
          <cell r="F46" t="str">
            <v>Dưa lưới</v>
          </cell>
        </row>
        <row r="47">
          <cell r="A47" t="str">
            <v>Dưa bở</v>
          </cell>
          <cell r="F47" t="str">
            <v>Dưa bở</v>
          </cell>
        </row>
        <row r="48">
          <cell r="A48" t="str">
            <v>Dưa gang</v>
          </cell>
          <cell r="F48" t="str">
            <v>Dưa gang</v>
          </cell>
        </row>
        <row r="49">
          <cell r="A49" t="str">
            <v>Dưa chuột/ dưa leo</v>
          </cell>
          <cell r="F49">
            <v>0</v>
          </cell>
        </row>
        <row r="50">
          <cell r="A50" t="str">
            <v>Đậu tương rau</v>
          </cell>
          <cell r="F50" t="str">
            <v>Đậu tương rau</v>
          </cell>
        </row>
        <row r="51">
          <cell r="A51" t="str">
            <v>Đậu/ đỗ đũa</v>
          </cell>
          <cell r="F51" t="str">
            <v>Đậu/ đỗ đũa</v>
          </cell>
        </row>
        <row r="52">
          <cell r="A52" t="str">
            <v>Đậu/ đỗ cove</v>
          </cell>
          <cell r="F52" t="str">
            <v>Đậu/ đỗ cove</v>
          </cell>
        </row>
        <row r="53">
          <cell r="A53" t="str">
            <v>Đậu/ đỗ Hà Lan</v>
          </cell>
          <cell r="F53">
            <v>0</v>
          </cell>
        </row>
        <row r="54">
          <cell r="A54" t="str">
            <v>Đậu/ đỗ rồng</v>
          </cell>
          <cell r="F54">
            <v>0</v>
          </cell>
        </row>
        <row r="55">
          <cell r="A55" t="str">
            <v xml:space="preserve"> Đậu/ đỗ ván</v>
          </cell>
          <cell r="F55" t="str">
            <v xml:space="preserve"> Đậu/ đỗ ván</v>
          </cell>
        </row>
        <row r="56">
          <cell r="A56" t="str">
            <v>Đậu bắp</v>
          </cell>
          <cell r="F56" t="str">
            <v>Đậu bắp</v>
          </cell>
        </row>
        <row r="57">
          <cell r="A57" t="str">
            <v>Cà chua</v>
          </cell>
          <cell r="F57" t="str">
            <v>Cà chua</v>
          </cell>
        </row>
        <row r="58">
          <cell r="A58" t="str">
            <v>Cà tím</v>
          </cell>
          <cell r="F58">
            <v>0</v>
          </cell>
        </row>
        <row r="59">
          <cell r="A59" t="str">
            <v>Cà bát</v>
          </cell>
          <cell r="F59" t="str">
            <v>Cà bát</v>
          </cell>
        </row>
        <row r="60">
          <cell r="A60" t="str">
            <v>Cà pháo</v>
          </cell>
          <cell r="F60" t="str">
            <v>Cà pháo</v>
          </cell>
        </row>
        <row r="61">
          <cell r="A61" t="str">
            <v>Bí ngô</v>
          </cell>
          <cell r="F61">
            <v>0</v>
          </cell>
        </row>
        <row r="62">
          <cell r="A62" t="str">
            <v>Bí xanh</v>
          </cell>
          <cell r="F62" t="str">
            <v>Bí xanh</v>
          </cell>
        </row>
        <row r="63">
          <cell r="A63" t="str">
            <v>Bí ngòi</v>
          </cell>
          <cell r="F63" t="str">
            <v>Bí ngòi</v>
          </cell>
        </row>
        <row r="64">
          <cell r="A64" t="str">
            <v>Bầu</v>
          </cell>
          <cell r="F64" t="str">
            <v>Bầu</v>
          </cell>
        </row>
        <row r="65">
          <cell r="A65" t="str">
            <v>Mướp</v>
          </cell>
          <cell r="F65" t="str">
            <v>Mướp</v>
          </cell>
        </row>
        <row r="66">
          <cell r="A66" t="str">
            <v>Mướp đắng</v>
          </cell>
          <cell r="F66" t="str">
            <v>Mướp đắng</v>
          </cell>
        </row>
        <row r="67">
          <cell r="A67" t="str">
            <v>Su su (lấy quả)</v>
          </cell>
          <cell r="F67" t="str">
            <v>Su su (lấy quả)</v>
          </cell>
        </row>
        <row r="68">
          <cell r="A68" t="str">
            <v>Ớt ngọt</v>
          </cell>
          <cell r="F68">
            <v>0</v>
          </cell>
        </row>
        <row r="69">
          <cell r="A69" t="str">
            <v>Su hào</v>
          </cell>
          <cell r="F69" t="str">
            <v>Su hào</v>
          </cell>
        </row>
        <row r="70">
          <cell r="A70" t="str">
            <v>Cà rốt</v>
          </cell>
          <cell r="F70" t="str">
            <v>Cà rốt</v>
          </cell>
        </row>
        <row r="71">
          <cell r="A71" t="str">
            <v xml:space="preserve"> Củ cải trắng</v>
          </cell>
          <cell r="F71" t="str">
            <v xml:space="preserve"> Củ cải trắng</v>
          </cell>
        </row>
        <row r="72">
          <cell r="A72" t="str">
            <v>Củ dền</v>
          </cell>
          <cell r="F72" t="str">
            <v>Củ dền</v>
          </cell>
        </row>
        <row r="73">
          <cell r="A73" t="str">
            <v>Củ đậu</v>
          </cell>
          <cell r="F73" t="str">
            <v>Củ đậu</v>
          </cell>
        </row>
        <row r="74">
          <cell r="A74" t="str">
            <v>Tỏi lấy củ</v>
          </cell>
          <cell r="F74" t="str">
            <v>Tỏi lấy củ</v>
          </cell>
        </row>
        <row r="75">
          <cell r="A75" t="str">
            <v>Tỏi tây</v>
          </cell>
          <cell r="F75" t="str">
            <v>Tỏi tây</v>
          </cell>
        </row>
        <row r="76">
          <cell r="A76" t="str">
            <v>Hành tây</v>
          </cell>
          <cell r="F76" t="str">
            <v>Hành tây</v>
          </cell>
        </row>
        <row r="77">
          <cell r="A77" t="str">
            <v>Hành hoa</v>
          </cell>
          <cell r="F77" t="str">
            <v>Hành hoa</v>
          </cell>
        </row>
        <row r="78">
          <cell r="A78" t="str">
            <v>Hành củ</v>
          </cell>
          <cell r="F78" t="str">
            <v>Hành củ</v>
          </cell>
        </row>
        <row r="79">
          <cell r="A79" t="str">
            <v>Hành paro</v>
          </cell>
          <cell r="F79" t="str">
            <v>Hành paro</v>
          </cell>
        </row>
        <row r="80">
          <cell r="A80" t="str">
            <v>Sen lấy củ</v>
          </cell>
          <cell r="F80" t="str">
            <v>Sen lấy củ</v>
          </cell>
        </row>
        <row r="81">
          <cell r="A81" t="str">
            <v>Sen lấy ngó</v>
          </cell>
          <cell r="F81" t="str">
            <v>Sen lấy ngó</v>
          </cell>
        </row>
        <row r="82">
          <cell r="A82" t="str">
            <v>Rau cần ta</v>
          </cell>
          <cell r="F82" t="str">
            <v>Rau cần ta</v>
          </cell>
        </row>
        <row r="83">
          <cell r="A83" t="str">
            <v>Rau cần tây</v>
          </cell>
          <cell r="F83" t="str">
            <v>Rau cần tây</v>
          </cell>
        </row>
        <row r="84">
          <cell r="A84" t="str">
            <v>Dọc mùng</v>
          </cell>
          <cell r="F84" t="str">
            <v>Dọc mùng</v>
          </cell>
        </row>
        <row r="85">
          <cell r="A85" t="str">
            <v>Rau rút</v>
          </cell>
          <cell r="F85" t="str">
            <v>Rau rút</v>
          </cell>
        </row>
        <row r="86">
          <cell r="A86" t="str">
            <v>Rau dớn</v>
          </cell>
          <cell r="F86" t="str">
            <v>Rau dớn</v>
          </cell>
        </row>
        <row r="87">
          <cell r="A87" t="str">
            <v>Khoai nước (lấy mầm)</v>
          </cell>
          <cell r="F87" t="str">
            <v>Khoai nước (lấy mầm)</v>
          </cell>
        </row>
        <row r="88">
          <cell r="A88" t="str">
            <v>Đậu/đỗ đen</v>
          </cell>
          <cell r="F88" t="str">
            <v>Đậu/đỗ đen</v>
          </cell>
        </row>
        <row r="89">
          <cell r="A89" t="str">
            <v>Đậu/đỗ xanh</v>
          </cell>
          <cell r="F89" t="str">
            <v>Đậu/đỗ xanh</v>
          </cell>
        </row>
        <row r="90">
          <cell r="A90" t="str">
            <v xml:space="preserve"> Đậu/đỗ đỏ</v>
          </cell>
          <cell r="F90" t="str">
            <v xml:space="preserve"> Đậu/đỗ đỏ</v>
          </cell>
        </row>
        <row r="91">
          <cell r="A91" t="str">
            <v>Nhóm cây hoa</v>
          </cell>
          <cell r="F91" t="str">
            <v>Nhóm cây hoa</v>
          </cell>
        </row>
        <row r="92">
          <cell r="A92" t="str">
            <v>Hoa cúc</v>
          </cell>
          <cell r="F92" t="str">
            <v>Hoa cúc</v>
          </cell>
        </row>
        <row r="93">
          <cell r="A93" t="str">
            <v>Hoa lay ơn</v>
          </cell>
          <cell r="F93" t="str">
            <v>Hoa lay ơn</v>
          </cell>
        </row>
        <row r="94">
          <cell r="A94" t="str">
            <v>Hoa cẩm chướng</v>
          </cell>
          <cell r="F94" t="str">
            <v>Hoa cẩm chướng</v>
          </cell>
        </row>
        <row r="95">
          <cell r="A95" t="str">
            <v>Hoa lily</v>
          </cell>
          <cell r="F95" t="str">
            <v>Hoa lily</v>
          </cell>
        </row>
        <row r="96">
          <cell r="A96" t="str">
            <v>Hoa loa kèn</v>
          </cell>
          <cell r="F96" t="str">
            <v>Hoa loa kèn</v>
          </cell>
        </row>
        <row r="97">
          <cell r="A97" t="str">
            <v>Hoa đồng tiền</v>
          </cell>
          <cell r="F97" t="str">
            <v>Hoa đồng tiền</v>
          </cell>
        </row>
        <row r="98">
          <cell r="A98" t="str">
            <v>Hoa thạch thảo</v>
          </cell>
          <cell r="F98" t="str">
            <v>Hoa thạch thảo</v>
          </cell>
        </row>
        <row r="99">
          <cell r="A99" t="str">
            <v>Hoa cát tường</v>
          </cell>
          <cell r="F99" t="str">
            <v>Hoa cát tường</v>
          </cell>
        </row>
        <row r="100">
          <cell r="A100" t="str">
            <v>Hoa hướng dương</v>
          </cell>
          <cell r="F100" t="str">
            <v>Hoa hướng dương</v>
          </cell>
        </row>
        <row r="101">
          <cell r="A101" t="str">
            <v>Hoa huệ</v>
          </cell>
          <cell r="F101" t="str">
            <v>Hoa huệ</v>
          </cell>
        </row>
        <row r="102">
          <cell r="A102" t="str">
            <v>Hoa cánh bướm</v>
          </cell>
          <cell r="F102" t="str">
            <v>Hoa cánh bướm</v>
          </cell>
        </row>
        <row r="103">
          <cell r="A103" t="str">
            <v>Hoa phi yến</v>
          </cell>
          <cell r="F103" t="str">
            <v>Hoa phi yến</v>
          </cell>
        </row>
        <row r="104">
          <cell r="A104" t="str">
            <v>Hoa sen lấy hoa</v>
          </cell>
          <cell r="F104" t="str">
            <v>Hoa sen lấy hoa</v>
          </cell>
        </row>
        <row r="105">
          <cell r="A105" t="str">
            <v>Hoa súng</v>
          </cell>
          <cell r="F105" t="str">
            <v>Hoa súng</v>
          </cell>
        </row>
        <row r="106">
          <cell r="A106" t="str">
            <v>Violet, cosmot</v>
          </cell>
          <cell r="F106" t="str">
            <v>Violet, cosmot</v>
          </cell>
        </row>
        <row r="107">
          <cell r="A107" t="str">
            <v>Violet, cosmot cây chưa có hoa</v>
          </cell>
          <cell r="F107" t="str">
            <v>Violet, cosmot cây chưa có hoa</v>
          </cell>
        </row>
        <row r="108">
          <cell r="A108" t="str">
            <v>Violet, cosmot cây có hoa</v>
          </cell>
          <cell r="F108" t="str">
            <v>Violet, cosmot cây có hoa</v>
          </cell>
        </row>
        <row r="109">
          <cell r="A109" t="str">
            <v>Cây hoa mười giờ, cây hoa sam, tóc tiên</v>
          </cell>
          <cell r="F109" t="str">
            <v>Cây hoa mười giờ, cây hoa sam, tóc tiên</v>
          </cell>
        </row>
        <row r="110">
          <cell r="A110" t="str">
            <v>Cây dạ yến thảo, cây ngọc thảo</v>
          </cell>
          <cell r="F110" t="str">
            <v>Cây dạ yến thảo, cây ngọc thảo</v>
          </cell>
        </row>
        <row r="111">
          <cell r="A111" t="str">
            <v>Cây salem</v>
          </cell>
          <cell r="F111" t="str">
            <v>Cây salem</v>
          </cell>
        </row>
        <row r="112">
          <cell r="A112" t="str">
            <v>Cây salem chưa có hoa</v>
          </cell>
          <cell r="F112" t="str">
            <v>Cây salem chưa có hoa</v>
          </cell>
        </row>
        <row r="113">
          <cell r="A113" t="str">
            <v>Cây salem có hoa</v>
          </cell>
          <cell r="F113" t="str">
            <v>Cây salem có hoa</v>
          </cell>
        </row>
        <row r="114">
          <cell r="A114" t="str">
            <v>Nhóm cây gia vị</v>
          </cell>
          <cell r="F114" t="str">
            <v>Nhóm cây gia vị</v>
          </cell>
        </row>
        <row r="115">
          <cell r="A115" t="str">
            <v>Ớt cay</v>
          </cell>
          <cell r="F115" t="str">
            <v>Ớt cay</v>
          </cell>
        </row>
        <row r="116">
          <cell r="A116" t="str">
            <v>Gừng</v>
          </cell>
          <cell r="F116" t="str">
            <v>Gừng</v>
          </cell>
        </row>
        <row r="117">
          <cell r="A117" t="str">
            <v>Nghệ</v>
          </cell>
          <cell r="F117" t="str">
            <v>Nghệ</v>
          </cell>
        </row>
        <row r="118">
          <cell r="A118" t="str">
            <v>Riềng</v>
          </cell>
          <cell r="F118" t="str">
            <v>Riềng</v>
          </cell>
        </row>
        <row r="119">
          <cell r="A119" t="str">
            <v>Sả</v>
          </cell>
          <cell r="F119" t="str">
            <v>Sả</v>
          </cell>
        </row>
        <row r="120">
          <cell r="A120" t="str">
            <v>Tía tô</v>
          </cell>
          <cell r="F120" t="str">
            <v>Tía tô</v>
          </cell>
        </row>
        <row r="121">
          <cell r="A121" t="str">
            <v>Kinh giới, húng tép</v>
          </cell>
          <cell r="F121" t="str">
            <v>Kinh giới, húng tép</v>
          </cell>
        </row>
        <row r="122">
          <cell r="A122" t="str">
            <v>Húng bąc hà, húng Hà Nội</v>
          </cell>
          <cell r="F122" t="str">
            <v>Húng bąc hà, húng Hà Nội</v>
          </cell>
        </row>
        <row r="123">
          <cell r="A123" t="str">
            <v>Húng quế (húng chó)</v>
          </cell>
          <cell r="F123" t="str">
            <v>Húng quế (húng chó)</v>
          </cell>
        </row>
        <row r="124">
          <cell r="A124" t="str">
            <v>Rau mùi</v>
          </cell>
          <cell r="F124" t="str">
            <v>Rau mùi</v>
          </cell>
        </row>
        <row r="125">
          <cell r="A125" t="str">
            <v>Mùi tàu (răng cua, ngò gai)</v>
          </cell>
          <cell r="F125" t="str">
            <v>Mùi tàu (răng cua, ngò gai)</v>
          </cell>
        </row>
        <row r="126">
          <cell r="A126" t="str">
            <v>Ngải cứu</v>
          </cell>
          <cell r="F126" t="str">
            <v>Ngải cứu</v>
          </cell>
        </row>
        <row r="127">
          <cell r="A127" t="str">
            <v>Thì là</v>
          </cell>
          <cell r="F127" t="str">
            <v>Thì là</v>
          </cell>
        </row>
        <row r="128">
          <cell r="A128" t="str">
            <v>Rau rám</v>
          </cell>
          <cell r="F128" t="str">
            <v>Rau rám</v>
          </cell>
        </row>
        <row r="129">
          <cell r="A129" t="str">
            <v>Lá nốt</v>
          </cell>
          <cell r="F129" t="str">
            <v>Lá nốt</v>
          </cell>
        </row>
        <row r="130">
          <cell r="A130" t="str">
            <v>Nhóm cây dược liệu</v>
          </cell>
          <cell r="F130" t="str">
            <v>Nhóm cây dược liệu</v>
          </cell>
        </row>
        <row r="131">
          <cell r="A131" t="str">
            <v>Hương nhu</v>
          </cell>
          <cell r="F131" t="str">
            <v>Hương nhu</v>
          </cell>
        </row>
        <row r="132">
          <cell r="A132" t="str">
            <v>Cúc dược liệu (Cúc chi)</v>
          </cell>
          <cell r="F132" t="str">
            <v>Cúc dược liệu (Cúc chi)</v>
          </cell>
        </row>
        <row r="133">
          <cell r="A133" t="str">
            <v>Húng chanh</v>
          </cell>
          <cell r="F133" t="str">
            <v>Húng chanh</v>
          </cell>
        </row>
        <row r="134">
          <cell r="A134" t="str">
            <v>Lá nếp</v>
          </cell>
          <cell r="F134" t="str">
            <v>Lá nếp</v>
          </cell>
        </row>
        <row r="135">
          <cell r="A135" t="str">
            <v>Xương sông</v>
          </cell>
          <cell r="F135" t="str">
            <v>Xương sông</v>
          </cell>
        </row>
        <row r="136">
          <cell r="A136" t="str">
            <v>Hoàn ngọc (cây lá khỉ)</v>
          </cell>
          <cell r="F136" t="str">
            <v>Hoàn ngọc (cây lá khỉ)</v>
          </cell>
        </row>
        <row r="137">
          <cell r="A137" t="str">
            <v>Atiso đỏ</v>
          </cell>
          <cell r="F137" t="str">
            <v>Atiso đỏ</v>
          </cell>
        </row>
        <row r="138">
          <cell r="A138" t="str">
            <v>Nhóm cây hàng năm khác</v>
          </cell>
          <cell r="F138" t="str">
            <v>Nhóm cây hàng năm khác</v>
          </cell>
        </row>
        <row r="139">
          <cell r="A139" t="str">
            <v xml:space="preserve"> Ấu</v>
          </cell>
          <cell r="F139" t="str">
            <v xml:space="preserve"> Ấu</v>
          </cell>
        </row>
        <row r="140">
          <cell r="A140" t="str">
            <v>Thạch đen</v>
          </cell>
          <cell r="F140" t="str">
            <v>Thạch đen</v>
          </cell>
        </row>
        <row r="141">
          <cell r="A141" t="str">
            <v>Hương bài</v>
          </cell>
          <cell r="F141" t="str">
            <v>Hương bài</v>
          </cell>
        </row>
        <row r="142">
          <cell r="A142" t="str">
            <v>Cỏ voi</v>
          </cell>
          <cell r="F142" t="str">
            <v>Cỏ voi</v>
          </cell>
        </row>
        <row r="143">
          <cell r="A143" t="str">
            <v>Cỏ nhung</v>
          </cell>
          <cell r="F143" t="str">
            <v>Cây dâm bụt, cây ngũ sắc ĐK tán &gt; 3 m</v>
          </cell>
        </row>
        <row r="144">
          <cell r="A144" t="str">
            <v>Ngô sinh khối</v>
          </cell>
          <cell r="F144" t="str">
            <v>Ngô sinh khối</v>
          </cell>
        </row>
        <row r="145">
          <cell r="A145" t="str">
            <v>Nấm rơm</v>
          </cell>
          <cell r="F145" t="str">
            <v>Nấm rơm</v>
          </cell>
        </row>
        <row r="146">
          <cell r="A146" t="str">
            <v>Nấm mỡ</v>
          </cell>
          <cell r="F146" t="str">
            <v>Nấm mỡ</v>
          </cell>
        </row>
        <row r="147">
          <cell r="A147" t="str">
            <v>Đay</v>
          </cell>
          <cell r="F147" t="str">
            <v>Đay</v>
          </cell>
        </row>
        <row r="148">
          <cell r="A148" t="str">
            <v>Gai</v>
          </cell>
          <cell r="F148" t="str">
            <v>Gai</v>
          </cell>
        </row>
        <row r="149">
          <cell r="A149" t="str">
            <v>Dứa sợi</v>
          </cell>
          <cell r="F149" t="str">
            <v>Dứa sợi</v>
          </cell>
        </row>
        <row r="150">
          <cell r="A150" t="str">
            <v>NHÓM CÂY TÍNH THEO CHIỀU CAO THÂN</v>
          </cell>
          <cell r="F150" t="str">
            <v>NHÓM CÂY TÍNH THEO CHIỀU CAO THÂN</v>
          </cell>
        </row>
        <row r="151">
          <cell r="A151" t="str">
            <v>Cây na xiêm</v>
          </cell>
          <cell r="F151" t="str">
            <v>Cây na xiêm</v>
          </cell>
        </row>
        <row r="152">
          <cell r="A152" t="str">
            <v>Cây na xiêm chiều cao cây H ≤ 1,5 m</v>
          </cell>
          <cell r="F152" t="str">
            <v>Cây na xiêm chiều cao cây H ≤ 1,5 m</v>
          </cell>
        </row>
        <row r="153">
          <cell r="A153" t="str">
            <v>Cây na xiêm chiều cao cây 1,5 m &lt; H ≤ 3 m</v>
          </cell>
          <cell r="F153" t="str">
            <v>Cây na xiêm chiều cao cây 1,5 m &lt; H ≤ 3 m</v>
          </cell>
        </row>
        <row r="154">
          <cell r="A154" t="str">
            <v>Cây na xiêm chiều cao cây H &gt; 3 m</v>
          </cell>
          <cell r="F154" t="str">
            <v>Cây na xiêm chiều cao cây H &gt; 3 m</v>
          </cell>
        </row>
        <row r="155">
          <cell r="A155" t="str">
            <v>Cây sắn thuyền</v>
          </cell>
          <cell r="F155" t="str">
            <v>Cây sắn thuyền</v>
          </cell>
        </row>
        <row r="156">
          <cell r="A156" t="str">
            <v>Cây sắn thuyền chiều cao cây H ≤ 1,5 m</v>
          </cell>
          <cell r="F156" t="str">
            <v>Cây sắn thuyền chiều cao cây H ≤ 1,5 m</v>
          </cell>
        </row>
        <row r="157">
          <cell r="A157" t="str">
            <v>Cây sắn thuyền chiều cao cây 1,5 m &lt; H ≤ 3 m</v>
          </cell>
          <cell r="F157" t="str">
            <v>Cây sắn thuyền chiều cao cây 1,5 m &lt; H ≤ 3 m</v>
          </cell>
        </row>
        <row r="158">
          <cell r="A158" t="str">
            <v>Cây sắn thuyền chiều cao cây H &gt; 3 m</v>
          </cell>
          <cell r="F158">
            <v>0</v>
          </cell>
        </row>
        <row r="159">
          <cell r="A159" t="str">
            <v>Cau ta ăn quả</v>
          </cell>
          <cell r="F159" t="str">
            <v>Cỏ nhung</v>
          </cell>
        </row>
        <row r="160">
          <cell r="A160" t="str">
            <v>Cau ta ăn quả giống đủ tiêu chuẩn mới trồng, chiều cao cây H ≥ 40cm</v>
          </cell>
          <cell r="F160" t="str">
            <v>Cau ta ăn quả giống đủ tiêu chuẩn mới trồng, chiều cao cây H ≥ 40cm</v>
          </cell>
        </row>
        <row r="161">
          <cell r="A161" t="str">
            <v>Cau ta ăn quả chiều cao cây H &lt; 1,5 m</v>
          </cell>
          <cell r="F161" t="str">
            <v>Cau ta ăn quả chiều cao cây H &lt; 1,5 m</v>
          </cell>
        </row>
        <row r="162">
          <cell r="A162" t="str">
            <v>Cau ta ăn quả chiều cao cây 1,5 m ≤  H &lt; 3 m</v>
          </cell>
          <cell r="F162" t="str">
            <v>Cau ta ăn quả chiều cao cây 1,5 m ≤  H &lt; 3 m</v>
          </cell>
        </row>
        <row r="163">
          <cell r="A163" t="str">
            <v>Cau ta ăn quả chiều cao cây 3 m ≤  H &lt; 4 m</v>
          </cell>
          <cell r="F163" t="str">
            <v>Cau ta ăn quả chiều cao cây 3 m ≤  H &lt; 4 m</v>
          </cell>
        </row>
        <row r="164">
          <cell r="A164" t="str">
            <v>Cau ta ăn quả chiều cao cây H ≥ 4 m</v>
          </cell>
          <cell r="F164" t="str">
            <v>Cau ta ăn quả chiều cao cây H ≥ 4 m</v>
          </cell>
        </row>
        <row r="165">
          <cell r="A165" t="str">
            <v>Cây cau lợn cọ (độ cao bóc bẹ)</v>
          </cell>
          <cell r="F165" t="str">
            <v>Cây cau lợn cọ (độ cao bóc bẹ)</v>
          </cell>
        </row>
        <row r="166">
          <cell r="A166" t="str">
            <v>Cây cau lợn cọ (độ cao bóc bẹ) Cây giống mới trồng</v>
          </cell>
          <cell r="F166" t="str">
            <v>Cây cau lợn cọ (độ cao bóc bẹ) Cây giống mới trồng</v>
          </cell>
        </row>
        <row r="167">
          <cell r="A167" t="str">
            <v>Cây cau lợn cọ (độ cao bóc bẹ)  H &lt; 15 cm</v>
          </cell>
          <cell r="F167" t="str">
            <v>Cây cau lợn cọ (độ cao bóc bẹ)  H &lt; 15 cm</v>
          </cell>
        </row>
        <row r="168">
          <cell r="A168" t="str">
            <v>Cây cau lợn cọ (độ cao bóc bẹ) 15 cm &lt; H ≤ 30 cm</v>
          </cell>
          <cell r="F168" t="str">
            <v>Cây cau lợn cọ (độ cao bóc bẹ) 15 cm &lt; H ≤ 30 cm</v>
          </cell>
        </row>
        <row r="169">
          <cell r="A169" t="str">
            <v>Cây cau lợn cọ (độ cao bóc bẹ) 30 cm &lt; H ≤ 45 cm</v>
          </cell>
          <cell r="F169" t="str">
            <v>Cây cau lợn cọ (độ cao bóc bẹ) 30 cm &lt; H ≤ 45 cm</v>
          </cell>
        </row>
        <row r="170">
          <cell r="A170" t="str">
            <v>Cây cau lợn cọ (độ cao bóc bẹ)  45 cm &lt; H ≤ 60 cm</v>
          </cell>
          <cell r="F170" t="str">
            <v>Cây cau lợn cọ (độ cao bóc bẹ)  45 cm &lt; H ≤ 60 cm</v>
          </cell>
        </row>
        <row r="171">
          <cell r="A171" t="str">
            <v>Cây cau lợn cọ (độ cao bóc bẹ)  60 cm &lt; H ≤ 75 cm</v>
          </cell>
          <cell r="F171" t="str">
            <v>Cây cau lợn cọ (độ cao bóc bẹ)  60 cm &lt; H ≤ 75 cm</v>
          </cell>
        </row>
        <row r="172">
          <cell r="A172" t="str">
            <v>Cây cau lợn cọ (độ cao bóc bẹ) 75 cm &lt; H ≤ 90 cm</v>
          </cell>
          <cell r="F172" t="str">
            <v>Cây cau lợn cọ (độ cao bóc bẹ) 75 cm &lt; H ≤ 90 cm</v>
          </cell>
        </row>
        <row r="173">
          <cell r="A173" t="str">
            <v>Cây cau lợn cọ (độ cao bóc bẹ) H &gt; 90 cm</v>
          </cell>
          <cell r="F173" t="str">
            <v>Cây cau lợn cọ (độ cao bóc bẹ) H &gt; 90 cm</v>
          </cell>
        </row>
        <row r="174">
          <cell r="A174" t="str">
            <v>Cây cau trắng (độ cao bóc bẹ)</v>
          </cell>
          <cell r="F174" t="str">
            <v>Cây cau trắng (độ cao bóc bẹ)</v>
          </cell>
        </row>
        <row r="175">
          <cell r="A175" t="str">
            <v>Cây cau trắng (độ cao bóc bẹ) Cây giống mới trồng</v>
          </cell>
          <cell r="F175" t="str">
            <v>Cây cau trắng (độ cao bóc bẹ) Cây giống mới trồng</v>
          </cell>
        </row>
        <row r="176">
          <cell r="A176" t="str">
            <v>Cây cau trắng (độ cao bóc bẹ) chiều cao cây H ≤ 15 cm</v>
          </cell>
          <cell r="F176" t="str">
            <v>Cây cau trắng (độ cao bóc bẹ) chiều cao cây H ≤ 15 cm</v>
          </cell>
        </row>
        <row r="177">
          <cell r="A177" t="str">
            <v>Cây cau trắng (độ cao bóc bẹ) chiều cao cây 15 cm &lt; H ≤ 30 cm</v>
          </cell>
          <cell r="F177" t="str">
            <v>Cây cau trắng (độ cao bóc bẹ) chiều cao cây 15 cm &lt; H ≤ 30 cm</v>
          </cell>
        </row>
        <row r="178">
          <cell r="A178" t="str">
            <v>Cây cau trắng (độ cao bóc bẹ) chiều cao cây 30 cm &lt; H ≤ 45 cm</v>
          </cell>
          <cell r="F178" t="str">
            <v>Cây cau trắng (độ cao bóc bẹ) chiều cao cây 30 cm &lt; H ≤ 45 cm</v>
          </cell>
        </row>
        <row r="179">
          <cell r="A179" t="str">
            <v>Cây cau trắng (độ cao bóc bẹ) chiều cao cây 45 cm &lt; H ≤ 60 cm</v>
          </cell>
          <cell r="F179" t="str">
            <v>Cây cau trắng (độ cao bóc bẹ) chiều cao cây 45 cm &lt; H ≤ 60 cm</v>
          </cell>
        </row>
        <row r="180">
          <cell r="A180" t="str">
            <v>Cây cau trắng (độ cao bóc bẹ) chiều cao cây 60 cm &lt; H ≤ 75 cm</v>
          </cell>
          <cell r="F180" t="str">
            <v>Cây cau trắng (độ cao bóc bẹ) chiều cao cây 60 cm &lt; H ≤ 75 cm</v>
          </cell>
        </row>
        <row r="181">
          <cell r="A181" t="str">
            <v>Cây cau trắng (độ cao bóc bẹ) chiều cao cây 75 cm &lt; H ≤ 90 cm</v>
          </cell>
          <cell r="F181" t="str">
            <v>Cây cau trắng (độ cao bóc bẹ) chiều cao cây 75 cm &lt; H ≤ 90 cm</v>
          </cell>
        </row>
        <row r="182">
          <cell r="A182" t="str">
            <v>Cây cau trắng (độ cao bóc bẹ) chiều cao cây 90 cm &lt; H ≤ 150 cm</v>
          </cell>
          <cell r="F182" t="str">
            <v>Cây cau trắng (độ cao bóc bẹ) chiều cao cây 90 cm &lt; H ≤ 150 cm</v>
          </cell>
        </row>
        <row r="183">
          <cell r="A183" t="str">
            <v>Cây cau trắng (độ cao bóc bẹ) chiều cao cây 150 cm &lt; H ≤ 250 cm</v>
          </cell>
          <cell r="F183" t="str">
            <v>Cây cau trắng (độ cao bóc bẹ) chiều cao cây 150 cm &lt; H ≤ 250 cm</v>
          </cell>
        </row>
        <row r="184">
          <cell r="A184" t="str">
            <v>Cây cau trắng (độ cao bóc bẹ) chiều cao cây H &gt; 250 cm</v>
          </cell>
          <cell r="F184" t="str">
            <v>Cây cau trắng (độ cao bóc bẹ) chiều cao cây H &gt; 250 cm</v>
          </cell>
        </row>
        <row r="185">
          <cell r="A185" t="str">
            <v>Cây cau đẻ (độ cao bóc bẹ)</v>
          </cell>
          <cell r="F185" t="str">
            <v>Cây cau đẻ (độ cao bóc bẹ)</v>
          </cell>
        </row>
        <row r="186">
          <cell r="A186" t="str">
            <v>Cây cau đẻ (độ cao bóc bẹ) Cây giống mới trồng</v>
          </cell>
          <cell r="F186" t="str">
            <v>Cây cau đẻ (độ cao bóc bẹ) Cây giống mới trồng</v>
          </cell>
        </row>
        <row r="187">
          <cell r="A187" t="str">
            <v>Cây cau đẻ (độ cao bóc bẹ) chiều cao cây H ≤ 15 cm</v>
          </cell>
          <cell r="F187" t="str">
            <v>Cây cau đẻ (độ cao bóc bẹ) chiều cao cây H ≤ 15 cm</v>
          </cell>
        </row>
        <row r="188">
          <cell r="A188" t="str">
            <v>Cây cau đẻ (độ cao bóc bẹ) chiều cao cây 15 cm &lt; H ≤ 30 cm</v>
          </cell>
          <cell r="F188" t="str">
            <v>Cây cau đẻ (độ cao bóc bẹ) chiều cao cây 15 cm &lt; H ≤ 30 cm</v>
          </cell>
        </row>
        <row r="189">
          <cell r="A189" t="str">
            <v>Cây cau đẻ (độ cao bóc bẹ) chiều cao cây 30 cm &lt; H ≤ 45 cm</v>
          </cell>
          <cell r="F189" t="str">
            <v>Cây cau đẻ (độ cao bóc bẹ) chiều cao cây 30 cm &lt; H ≤ 45 cm</v>
          </cell>
        </row>
        <row r="190">
          <cell r="A190" t="str">
            <v>Cây cau đẻ (độ cao bóc bẹ) chiều cao cây 45 cm &lt; H ≤ 60 cm</v>
          </cell>
          <cell r="F190" t="str">
            <v>Cây cau đẻ (độ cao bóc bẹ) chiều cao cây 45 cm &lt; H ≤ 60 cm</v>
          </cell>
        </row>
        <row r="191">
          <cell r="A191" t="str">
            <v>Cây cau đẻ (độ cao bóc bẹ) chiều cao cây 60 cm &lt; H ≤ 75 cm</v>
          </cell>
          <cell r="F191" t="str">
            <v>Cây cau đẻ (độ cao bóc bẹ) chiều cao cây 60 cm &lt; H ≤ 75 cm</v>
          </cell>
        </row>
        <row r="192">
          <cell r="A192" t="str">
            <v>Cây cau đẻ (độ cao bóc bẹ) chiều cao cây 75 cm &lt; H ≤ 90 cm</v>
          </cell>
          <cell r="F192" t="str">
            <v>Cây cau đẻ (độ cao bóc bẹ) chiều cao cây 75 cm &lt; H ≤ 90 cm</v>
          </cell>
        </row>
        <row r="193">
          <cell r="A193" t="str">
            <v>Cây cau đẻ (độ cao bóc bẹ) chiều cao cây 90 cm &lt; H ≤ 150 cm</v>
          </cell>
          <cell r="F193" t="str">
            <v>Cây cau đẻ (độ cao bóc bẹ) chiều cao cây 90 cm &lt; H ≤ 150 cm</v>
          </cell>
        </row>
        <row r="194">
          <cell r="A194" t="str">
            <v>Cây cau đẻ (độ cao bóc bẹ) chiều cao cây 150 cm &lt; H ≤ 250 cm</v>
          </cell>
          <cell r="F194" t="str">
            <v>Cây cau đẻ (độ cao bóc bẹ) chiều cao cây 150 cm &lt; H ≤ 250 cm</v>
          </cell>
        </row>
        <row r="195">
          <cell r="A195" t="str">
            <v>Cây cau đẻ (độ cao bóc bẹ) chiều cao cây H &gt; 250 cm</v>
          </cell>
          <cell r="F195" t="str">
            <v>Cây cau đẻ (độ cao bóc bẹ) chiều cao cây H &gt; 250 cm</v>
          </cell>
        </row>
        <row r="196">
          <cell r="A196" t="str">
            <v>Cây thiên tuế</v>
          </cell>
          <cell r="F196" t="str">
            <v>Cây thiên tuế</v>
          </cell>
        </row>
        <row r="197">
          <cell r="A197" t="str">
            <v>Cây thiên tuế Cây giống mới trồng</v>
          </cell>
          <cell r="F197" t="str">
            <v>Cây thiên tuế Cây giống mới trồng</v>
          </cell>
        </row>
        <row r="198">
          <cell r="A198" t="str">
            <v>Cây thiên tuế chiều cao cây H &lt; 15 cm</v>
          </cell>
          <cell r="F198" t="str">
            <v>Cây thiên tuế chiều cao cây H &lt; 15 cm</v>
          </cell>
        </row>
        <row r="199">
          <cell r="A199" t="str">
            <v>Cây thiên tuế chiều cao cây 15 cm &lt; H ≤ 30 cm</v>
          </cell>
          <cell r="F199" t="str">
            <v>Cây thiên tuế chiều cao cây 15 cm &lt; H ≤ 30 cm</v>
          </cell>
        </row>
        <row r="200">
          <cell r="A200" t="str">
            <v>Cây thiên tuế chiều cao cây 30 cm &lt; H ≤ 45 cm</v>
          </cell>
          <cell r="F200" t="str">
            <v>Cây thiên tuế chiều cao cây 30 cm &lt; H ≤ 45 cm</v>
          </cell>
        </row>
        <row r="201">
          <cell r="A201" t="str">
            <v>Cây thiên tuế chiều cao cây 45 cm &lt; H ≤ 60 cm</v>
          </cell>
          <cell r="F201" t="str">
            <v>Cau ta ăn quả</v>
          </cell>
        </row>
        <row r="202">
          <cell r="A202" t="str">
            <v>Cây thiên tuế chiều cao cây 60 cm &lt; H ≤ 75 cm</v>
          </cell>
          <cell r="F202" t="str">
            <v>Cây thiên tuế chiều cao cây 60 cm &lt; H ≤ 75 cm</v>
          </cell>
        </row>
        <row r="203">
          <cell r="A203" t="str">
            <v>Cây thiên tuế chiều cao cây H &gt; 75 cm</v>
          </cell>
          <cell r="F203" t="str">
            <v>Cây thiên tuế chiều cao cây H &gt; 75 cm</v>
          </cell>
        </row>
        <row r="204">
          <cell r="A204" t="str">
            <v>Cây thiết mộc lan</v>
          </cell>
          <cell r="F204" t="str">
            <v>Cây thiết mộc lan</v>
          </cell>
        </row>
        <row r="205">
          <cell r="A205" t="str">
            <v>Cây thiết mộc lan Cây giống mới trồng</v>
          </cell>
          <cell r="F205" t="str">
            <v>Cây thiết mộc lan Cây giống mới trồng</v>
          </cell>
        </row>
        <row r="206">
          <cell r="A206" t="str">
            <v>Cây thiết mộc lan chiều cao cây H ≤ 15 cm</v>
          </cell>
          <cell r="F206" t="str">
            <v>Cây thiết mộc lan chiều cao cây H ≤ 15 cm</v>
          </cell>
        </row>
        <row r="207">
          <cell r="A207" t="str">
            <v>Cây thiết mộc lan chiều cao cây 15 cm &lt; H ≤ 70 cm</v>
          </cell>
          <cell r="F207" t="str">
            <v>Cây thiết mộc lan chiều cao cây 15 cm &lt; H ≤ 70 cm</v>
          </cell>
        </row>
        <row r="208">
          <cell r="A208" t="str">
            <v>Cây thiết mộc lan chiều cao cây 70 cm &lt; H ≤ 100 cm</v>
          </cell>
          <cell r="F208" t="str">
            <v>Cây thiết mộc lan chiều cao cây 70 cm &lt; H ≤ 100 cm</v>
          </cell>
        </row>
        <row r="209">
          <cell r="A209" t="str">
            <v>Cây thiết mộc lan chiều cao cây H &gt; 100 cm</v>
          </cell>
          <cell r="F209" t="str">
            <v>Cây thiết mộc lan chiều cao cây H &gt; 100 cm</v>
          </cell>
        </row>
        <row r="210">
          <cell r="A210" t="str">
            <v>Cây trúc anh đào</v>
          </cell>
          <cell r="F210" t="str">
            <v>Cây trúc anh đào</v>
          </cell>
        </row>
        <row r="211">
          <cell r="A211" t="str">
            <v>Cây trúc anh đào Cây giống mới trồng</v>
          </cell>
          <cell r="F211" t="str">
            <v>Cây trúc anh đào Cây giống mới trồng</v>
          </cell>
        </row>
        <row r="212">
          <cell r="A212" t="str">
            <v>Cây trúc anh đào chiều cao cây H &lt; 15 cm</v>
          </cell>
          <cell r="F212" t="str">
            <v>Cây trúc anh đào chiều cao cây H &lt; 15 cm</v>
          </cell>
        </row>
        <row r="213">
          <cell r="A213" t="str">
            <v>Cây trúc anh đào chiều cao cây 15 cm ≤ H &lt;  30 cm</v>
          </cell>
          <cell r="F213" t="str">
            <v>Cây trúc anh đào chiều cao cây 15 cm ≤ H &lt;  30 cm</v>
          </cell>
        </row>
        <row r="214">
          <cell r="A214" t="str">
            <v>Cây trúc anh đào chiều cao cây 30 cm ≤ H &lt; 70 cm</v>
          </cell>
          <cell r="F214" t="str">
            <v>Cây trúc anh đào chiều cao cây 30 cm ≤ H &lt; 70 cm</v>
          </cell>
        </row>
        <row r="215">
          <cell r="A215" t="str">
            <v>Cây trúc anh đào chiều cao cây 70 cm ≤ H &lt; 100 cm</v>
          </cell>
          <cell r="F215" t="str">
            <v>Cây trúc anh đào chiều cao cây 70 cm ≤ H &lt; 100 cm</v>
          </cell>
        </row>
        <row r="216">
          <cell r="A216" t="str">
            <v>Cây trúc anh đào chiều cao cây H ≥ 100 cm</v>
          </cell>
          <cell r="F216" t="str">
            <v>Cây trúc anh đào chiều cao cây H ≥ 100 cm</v>
          </cell>
        </row>
        <row r="217">
          <cell r="A217" t="str">
            <v>Cây lá màu</v>
          </cell>
          <cell r="F217" t="str">
            <v>Cây lá màu</v>
          </cell>
        </row>
        <row r="218">
          <cell r="A218" t="str">
            <v>Cây lá màu Cây giống mới trồng</v>
          </cell>
          <cell r="F218" t="str">
            <v>Cây lá màu Cây giống mới trồng</v>
          </cell>
        </row>
        <row r="219">
          <cell r="A219" t="str">
            <v>Cây lá màu chiều cao cây H &lt; 15 cm</v>
          </cell>
          <cell r="F219" t="str">
            <v>Cây lá màu chiều cao cây H &lt; 15 cm</v>
          </cell>
        </row>
        <row r="220">
          <cell r="A220" t="str">
            <v>Cây lá màu chiều cao cây 15 cm &lt; H ≤ 30 cm</v>
          </cell>
          <cell r="F220" t="str">
            <v>Cây lá màu chiều cao cây 15 cm &lt; H ≤ 30 cm</v>
          </cell>
        </row>
        <row r="221">
          <cell r="A221" t="str">
            <v>Cây lá màu chiều cao cây 30 cm &lt; H ≤ 45 cm</v>
          </cell>
          <cell r="F221" t="str">
            <v>Cây lá màu chiều cao cây 30 cm &lt; H ≤ 45 cm</v>
          </cell>
        </row>
        <row r="222">
          <cell r="A222" t="str">
            <v>Cây lá màu chiều cao cây 45 cm &lt; H ≤ 60 cm</v>
          </cell>
          <cell r="F222" t="str">
            <v>Cây lá màu chiều cao cây 45 cm &lt; H ≤ 60 cm</v>
          </cell>
        </row>
        <row r="223">
          <cell r="A223" t="str">
            <v>Cây lá màu chiều cao cây 60 cm &lt; H ≤ 75 cm</v>
          </cell>
          <cell r="F223" t="str">
            <v>Cây lá màu chiều cao cây 60 cm &lt; H ≤ 75 cm</v>
          </cell>
        </row>
        <row r="224">
          <cell r="A224" t="str">
            <v>Cây lá màu chiều cao cây 75 cm &lt; H ≤ 90 cm</v>
          </cell>
          <cell r="F224" t="str">
            <v>Cây lá màu chiều cao cây 75 cm &lt; H ≤ 90 cm</v>
          </cell>
        </row>
        <row r="225">
          <cell r="A225" t="str">
            <v>Cây lá màu chiều cao cây 90 cm &lt; H ≤ 150 cm</v>
          </cell>
          <cell r="F225" t="str">
            <v>Cây lá màu chiều cao cây 90 cm &lt; H ≤ 150 cm</v>
          </cell>
        </row>
        <row r="226">
          <cell r="A226" t="str">
            <v>Cây lá màu chiều cao cây H &gt; 150 cm</v>
          </cell>
          <cell r="F226" t="str">
            <v>Cây lá màu chiều cao cây H &gt; 150 cm</v>
          </cell>
        </row>
        <row r="227">
          <cell r="A227" t="str">
            <v>Cây đinh lăng</v>
          </cell>
          <cell r="F227" t="str">
            <v>Cây đinh lăng</v>
          </cell>
        </row>
        <row r="228">
          <cell r="A228" t="str">
            <v>Cây đinh lăng Cây giống mới trồng</v>
          </cell>
          <cell r="F228" t="str">
            <v>Cây đinh lăng Cây giống mới trồng</v>
          </cell>
        </row>
        <row r="229">
          <cell r="A229" t="str">
            <v>Cây đinh lăng chiều cao cây H ≤ 15 cm</v>
          </cell>
          <cell r="F229" t="str">
            <v>Cây đinh lăng chiều cao cây H ≤ 15 cm</v>
          </cell>
        </row>
        <row r="230">
          <cell r="A230" t="str">
            <v>Cây đinh lăng chiều cao cây 15 cm &lt; H ≤ 30 cm</v>
          </cell>
          <cell r="F230" t="str">
            <v>Cây đinh lăng chiều cao cây 15 cm &lt; H ≤ 30 cm</v>
          </cell>
        </row>
        <row r="231">
          <cell r="A231" t="str">
            <v>Cây đinh lăng chiều cao cây 30 cm &lt; H ≤ 60 cm</v>
          </cell>
          <cell r="F231" t="str">
            <v>Cây đinh lăng chiều cao cây 30 cm &lt; H ≤ 60 cm</v>
          </cell>
        </row>
        <row r="232">
          <cell r="A232" t="str">
            <v>Cây đinh lăng chiều cao cây H &gt; 60 cm</v>
          </cell>
          <cell r="F232" t="str">
            <v>Cây đinh lăng chiều cao cây H &gt; 60 cm</v>
          </cell>
        </row>
        <row r="233">
          <cell r="A233" t="str">
            <v>Cây đào cảnh</v>
          </cell>
          <cell r="F233" t="str">
            <v>Cây đào cảnh</v>
          </cell>
        </row>
        <row r="234">
          <cell r="A234" t="str">
            <v>Cây đào cảnh Cây giống mới trồng</v>
          </cell>
          <cell r="F234" t="str">
            <v>Cây đào cảnh Cây giống mới trồng</v>
          </cell>
        </row>
        <row r="235">
          <cell r="A235" t="str">
            <v>Cây đào cảnh chiều cao cây H ≤ 150 cm</v>
          </cell>
          <cell r="F235" t="str">
            <v>Cây đào cảnh chiều cao cây H ≤ 150 cm</v>
          </cell>
        </row>
        <row r="236">
          <cell r="A236" t="str">
            <v>Cây đào cảnh chiều cao cây 150 cm &lt; H ≤ 200 cm</v>
          </cell>
          <cell r="F236">
            <v>0</v>
          </cell>
        </row>
        <row r="237">
          <cell r="A237" t="str">
            <v>Cây đào cảnh chiều cao cây H &gt; 200 cm</v>
          </cell>
          <cell r="F237" t="str">
            <v>Cây thiên tuế chiều cao cây 45 cm &lt; H ≤ 60 cm</v>
          </cell>
        </row>
        <row r="238">
          <cell r="A238" t="str">
            <v>Cây mai trắng</v>
          </cell>
          <cell r="F238" t="str">
            <v>Cây mai trắng</v>
          </cell>
        </row>
        <row r="239">
          <cell r="A239" t="str">
            <v>Cây mai trắng chiều cao cây H ≤ 70 cm</v>
          </cell>
          <cell r="F239" t="str">
            <v>Cây mai trắng chiều cao cây H ≤ 70 cm</v>
          </cell>
        </row>
        <row r="240">
          <cell r="A240" t="str">
            <v>Cây mai trắng chiều cao cây 70 cm &lt; H ≤ 100 cm</v>
          </cell>
          <cell r="F240" t="str">
            <v>Cây mai trắng chiều cao cây 70 cm &lt; H ≤ 100 cm</v>
          </cell>
        </row>
        <row r="241">
          <cell r="A241" t="str">
            <v>Cây mai trắng chiều cao cây 100 cm &lt; H ≤ 150 cm</v>
          </cell>
          <cell r="F241" t="str">
            <v>Cây mai trắng chiều cao cây 100 cm &lt; H ≤ 150 cm</v>
          </cell>
        </row>
        <row r="242">
          <cell r="A242" t="str">
            <v>Cây mai trắng chiều cao cây H &gt; 150 cm</v>
          </cell>
          <cell r="F242" t="str">
            <v>Cây mai trắng chiều cao cây H &gt; 150 cm</v>
          </cell>
        </row>
        <row r="243">
          <cell r="A243" t="str">
            <v>Cây bạch thiên hương, bạch ngọc anh</v>
          </cell>
          <cell r="F243" t="str">
            <v>Cây bạch thiên hương, bạch ngọc anh</v>
          </cell>
        </row>
        <row r="244">
          <cell r="A244" t="str">
            <v>Cây bạch thiên hương, bạch ngọc anh chiều cao cây H ≤ 100 cm</v>
          </cell>
          <cell r="F244" t="str">
            <v>Cây bạch thiên hương, bạch ngọc anh chiều cao cây H ≤ 100 cm</v>
          </cell>
        </row>
        <row r="245">
          <cell r="A245" t="str">
            <v>Cây bạch thiên hương, bạch ngọc anh chiều cao cây H &gt; 100 cm</v>
          </cell>
          <cell r="F245" t="str">
            <v>Cây bạch thiên hương, bạch ngọc anh chiều cao cây H &gt; 100 cm</v>
          </cell>
        </row>
        <row r="246">
          <cell r="A246" t="str">
            <v>Cây trạng nguyên</v>
          </cell>
          <cell r="F246" t="str">
            <v>Cây trạng nguyên</v>
          </cell>
        </row>
        <row r="247">
          <cell r="A247" t="str">
            <v>Cây trạng nguyên chiều cao cây H ≤ 100 cm</v>
          </cell>
          <cell r="F247" t="str">
            <v>Cây trạng nguyên chiều cao cây H ≤ 100 cm</v>
          </cell>
        </row>
        <row r="248">
          <cell r="A248" t="str">
            <v>Cây trạng nguyên chiều cao cây H &gt; 100 cm</v>
          </cell>
          <cell r="F248" t="str">
            <v>Cây trạng nguyên chiều cao cây H &gt; 100 cm</v>
          </cell>
        </row>
        <row r="249">
          <cell r="A249" t="str">
            <v>Cây ngô đồng cảnh</v>
          </cell>
          <cell r="F249" t="str">
            <v>Cây ngô đồng cảnh</v>
          </cell>
        </row>
        <row r="250">
          <cell r="A250" t="str">
            <v>Cây ngô đồng cảnh chiều cao cây H ≤ 50 cm</v>
          </cell>
          <cell r="F250" t="str">
            <v>Cây ngô đồng cảnh chiều cao cây H ≤ 50 cm</v>
          </cell>
        </row>
        <row r="251">
          <cell r="A251" t="str">
            <v>Cây ngô đồng cảnh chiều cao cây H &gt; 50 cm</v>
          </cell>
          <cell r="F251" t="str">
            <v>Cây ngô đồng cảnh chiều cao cây H &gt; 50 cm</v>
          </cell>
        </row>
        <row r="252">
          <cell r="A252" t="str">
            <v>Cây agao sọc</v>
          </cell>
          <cell r="F252" t="str">
            <v>Cây agao sọc</v>
          </cell>
        </row>
        <row r="253">
          <cell r="A253" t="str">
            <v>Cây agao sọc chiều cao cây H ≤ 50 cm</v>
          </cell>
          <cell r="F253" t="str">
            <v>Cây agao sọc chiều cao cây H ≤ 50 cm</v>
          </cell>
        </row>
        <row r="254">
          <cell r="A254" t="str">
            <v>Cây agao sọc chiều cao cây H &gt; 50 cm</v>
          </cell>
          <cell r="F254" t="str">
            <v>Cây agao sọc chiều cao cây H &gt; 50 cm</v>
          </cell>
        </row>
        <row r="255">
          <cell r="A255" t="str">
            <v>Cây nguyệt quế</v>
          </cell>
          <cell r="F255" t="str">
            <v>Cây nguyệt quế</v>
          </cell>
        </row>
        <row r="256">
          <cell r="A256" t="str">
            <v>Cây nguyệt quế chiều cao cây H ≤ 100 cm</v>
          </cell>
          <cell r="F256" t="str">
            <v>Cây nguyệt quế chiều cao cây H ≤ 100 cm</v>
          </cell>
        </row>
        <row r="257">
          <cell r="A257" t="str">
            <v>Cây nguyệt quế chiều cao cây 100 cm &lt; H ≤ 200 cm</v>
          </cell>
          <cell r="F257" t="str">
            <v>Cây nguyệt quế chiều cao cây 100 cm &lt; H ≤ 200 cm</v>
          </cell>
        </row>
        <row r="258">
          <cell r="A258" t="str">
            <v>Cây nguyệt quế chiều cao cây H &gt; 200 cm</v>
          </cell>
          <cell r="F258" t="str">
            <v>Cây nguyệt quế chiều cao cây H &gt; 200 cm</v>
          </cell>
        </row>
        <row r="259">
          <cell r="A259" t="str">
            <v>Cây huyết dụ</v>
          </cell>
          <cell r="F259" t="str">
            <v>Cây huyết dụ</v>
          </cell>
        </row>
        <row r="260">
          <cell r="A260" t="str">
            <v>Cây huyết dụ Cây giống mới trồng</v>
          </cell>
          <cell r="F260" t="str">
            <v>Cây huyết dụ Cây giống mới trồng</v>
          </cell>
        </row>
        <row r="261">
          <cell r="A261" t="str">
            <v>Cây huyết dụ chiều cao cây H ≤ 60 cm</v>
          </cell>
          <cell r="F261" t="str">
            <v>Cây huyết dụ chiều cao cây H ≤ 60 cm</v>
          </cell>
        </row>
        <row r="262">
          <cell r="A262" t="str">
            <v>Cây huyết dụ chiều cao cây H &gt; 60 cm</v>
          </cell>
          <cell r="F262" t="str">
            <v>Cây huyết dụ chiều cao cây H &gt; 60 cm</v>
          </cell>
        </row>
        <row r="263">
          <cell r="A263" t="str">
            <v>Cây măng cảnh</v>
          </cell>
          <cell r="F263" t="str">
            <v>Cây măng cảnh</v>
          </cell>
        </row>
        <row r="264">
          <cell r="A264" t="str">
            <v>Cây măng cảnh chiều cao cây H ≤ 50 cm</v>
          </cell>
          <cell r="F264" t="str">
            <v>Cây măng cảnh chiều cao cây H ≤ 50 cm</v>
          </cell>
        </row>
        <row r="265">
          <cell r="A265" t="str">
            <v>Cây măng cảnh chiều cao cây H &gt; 50 cm</v>
          </cell>
          <cell r="F265" t="str">
            <v>Cây măng cảnh chiều cao cây H &gt; 50 cm</v>
          </cell>
        </row>
        <row r="266">
          <cell r="A266" t="str">
            <v>Cây chuối</v>
          </cell>
          <cell r="F266" t="str">
            <v>Cây chuối</v>
          </cell>
        </row>
        <row r="267">
          <cell r="A267" t="str">
            <v>Cây chuối Cây giống mới trồng</v>
          </cell>
          <cell r="F267" t="str">
            <v>Cây chuối Cây giống mới trồng</v>
          </cell>
        </row>
        <row r="268">
          <cell r="A268" t="str">
            <v>Cây chuối chiều cao cây H ≤ 120cm</v>
          </cell>
          <cell r="F268" t="str">
            <v>Cây chuối chiều cao cây H ≤ 120cm</v>
          </cell>
        </row>
        <row r="269">
          <cell r="A269" t="str">
            <v>Cây chuối chiều cao cây H &gt; 120cm</v>
          </cell>
          <cell r="F269" t="str">
            <v>Cây chuối chiều cao cây H &gt; 120cm</v>
          </cell>
        </row>
        <row r="270">
          <cell r="A270" t="str">
            <v>Cây chuối có quả</v>
          </cell>
          <cell r="F270" t="str">
            <v>Cây chuối có quả</v>
          </cell>
        </row>
        <row r="271">
          <cell r="A271" t="str">
            <v>Cây khổ sâm</v>
          </cell>
          <cell r="F271" t="str">
            <v>Cây khổ sâm</v>
          </cell>
        </row>
        <row r="272">
          <cell r="A272" t="str">
            <v>Cây khổ sâm Cây giống</v>
          </cell>
          <cell r="F272" t="str">
            <v>Cây khổ sâm Cây giống</v>
          </cell>
        </row>
        <row r="273">
          <cell r="A273" t="str">
            <v>Cây khổ sâm chiều cao cây H ≤ 100 cm</v>
          </cell>
          <cell r="F273" t="str">
            <v>Cây khổ sâm chiều cao cây H ≤ 100 cm</v>
          </cell>
        </row>
        <row r="274">
          <cell r="A274" t="str">
            <v>Cây khổ sâm chiều cao cây H &gt; 100 cm</v>
          </cell>
          <cell r="F274" t="str">
            <v>Cây khổ sâm chiều cao cây H &gt; 100 cm</v>
          </cell>
        </row>
        <row r="275">
          <cell r="A275" t="str">
            <v>Cây hoa phù dung, dã quỳ</v>
          </cell>
          <cell r="F275" t="str">
            <v>Cây hoa phù dung, dã quỳ</v>
          </cell>
        </row>
        <row r="276">
          <cell r="A276" t="str">
            <v>Cây hoa phù dung, dã quỳ Cây giống mới trồng</v>
          </cell>
          <cell r="F276" t="str">
            <v>Cây hoa phù dung, dã quỳ Cây giống mới trồng</v>
          </cell>
        </row>
        <row r="277">
          <cell r="A277" t="str">
            <v>Cây hoa phù dung, dã quỳ chiều cao cây H ≤ 100 cm</v>
          </cell>
          <cell r="F277" t="str">
            <v>Cây hoa phù dung, dã quỳ chiều cao cây H ≤ 100 cm</v>
          </cell>
        </row>
        <row r="278">
          <cell r="A278" t="str">
            <v>Cây hoa phù dung, dã quỳ chiều cao cây H &gt; 100 cm</v>
          </cell>
          <cell r="F278" t="str">
            <v>Cây hoa phù dung, dã quỳ chiều cao cây H &gt; 100 cm</v>
          </cell>
        </row>
        <row r="279">
          <cell r="A279" t="str">
            <v>Cây lam tiền (lan tuyết)</v>
          </cell>
          <cell r="F279" t="str">
            <v>Cây lam tiền (lan tuyết)</v>
          </cell>
        </row>
        <row r="280">
          <cell r="A280" t="str">
            <v>Cây lam tiền (lan tuyết) Cây giống mới trồng</v>
          </cell>
          <cell r="F280" t="str">
            <v>Cây lam tiền (lan tuyết) Cây giống mới trồng</v>
          </cell>
        </row>
        <row r="281">
          <cell r="A281" t="str">
            <v>Cây lam tiền (lan tuyết) chiều cao cây H ≤ 50 cm</v>
          </cell>
          <cell r="F281" t="str">
            <v>Cây lam tiền (lan tuyết) chiều cao cây H ≤ 50 cm</v>
          </cell>
        </row>
        <row r="282">
          <cell r="A282" t="str">
            <v>Cây lam tiền (lan tuyết) chiều cao cây H &gt; 50 cm</v>
          </cell>
          <cell r="F282" t="str">
            <v>Cây lam tiền (lan tuyết) chiều cao cây H &gt; 50 cm</v>
          </cell>
        </row>
        <row r="283">
          <cell r="A283" t="str">
            <v>Cây ngọc lan</v>
          </cell>
          <cell r="F283" t="str">
            <v>Cây ngọc lan</v>
          </cell>
        </row>
        <row r="284">
          <cell r="A284" t="str">
            <v>Cây ngọc lan Cây giống mới trồng</v>
          </cell>
          <cell r="F284" t="str">
            <v>Cây ngọc lan Cây giống mới trồng</v>
          </cell>
        </row>
        <row r="285">
          <cell r="A285" t="str">
            <v>Cây ngọc lan chiều cao cây H &lt; 15 cm</v>
          </cell>
          <cell r="F285" t="str">
            <v>Cây ngọc lan chiều cao cây H &lt; 15 cm</v>
          </cell>
        </row>
        <row r="286">
          <cell r="A286" t="str">
            <v>Cây ngọc lan chiều cao cây 15 cm ≤ H &lt; 30 cm</v>
          </cell>
          <cell r="F286" t="str">
            <v>Cây ngọc lan chiều cao cây 15 cm ≤ H &lt; 30 cm</v>
          </cell>
        </row>
        <row r="287">
          <cell r="A287" t="str">
            <v>Cây ngọc lan chiều cao cây 30 cm ≤ H &lt; 45 cm</v>
          </cell>
          <cell r="F287" t="str">
            <v>Cây ngọc lan chiều cao cây 30 cm ≤ H &lt; 45 cm</v>
          </cell>
        </row>
        <row r="288">
          <cell r="A288" t="str">
            <v>Cây ngọc lan chiều cao cây 45 cm ≤ H &lt; 60 cm</v>
          </cell>
          <cell r="F288" t="str">
            <v>Cây ngọc lan chiều cao cây 45 cm ≤ H &lt; 60 cm</v>
          </cell>
        </row>
        <row r="289">
          <cell r="A289" t="str">
            <v>Cây ngọc lan chiều cao cây 60 cm ≤ H &lt; 75 cm</v>
          </cell>
          <cell r="F289" t="str">
            <v>Cây ngọc lan chiều cao cây 60 cm ≤ H &lt; 75 cm</v>
          </cell>
        </row>
        <row r="290">
          <cell r="A290" t="str">
            <v>Cây ngọc lan chiều cao cây 75 cm ≤ H &lt; 90 cm</v>
          </cell>
          <cell r="F290" t="str">
            <v>Cây ngọc lan chiều cao cây 75 cm ≤ H &lt; 90 cm</v>
          </cell>
        </row>
        <row r="291">
          <cell r="A291" t="str">
            <v>Cây ngọc lan chiều cao cây 90 cm ≤ H &lt; 150 cm</v>
          </cell>
          <cell r="F291" t="str">
            <v>Cây ngọc lan chiều cao cây 90 cm ≤ H &lt; 150 cm</v>
          </cell>
        </row>
        <row r="292">
          <cell r="A292" t="str">
            <v>Cây ngọc lan chiều cao cây 150 cm ≤ H &lt; 250 cm</v>
          </cell>
          <cell r="F292" t="str">
            <v>Cây ngọc lan chiều cao cây 150 cm ≤ H &lt; 250 cm</v>
          </cell>
        </row>
        <row r="293">
          <cell r="A293" t="str">
            <v>Cây ngọc lan chiều cao cây H ≥ 250 cm</v>
          </cell>
          <cell r="F293" t="str">
            <v>Cây ngọc lan chiều cao cây H ≥ 250 cm</v>
          </cell>
        </row>
        <row r="294">
          <cell r="A294" t="str">
            <v>Cây hoàng lan</v>
          </cell>
          <cell r="F294" t="str">
            <v>Cây hoàng lan</v>
          </cell>
        </row>
        <row r="295">
          <cell r="A295" t="str">
            <v>Cây hoàng lan Cây giống mới trồng</v>
          </cell>
          <cell r="F295" t="str">
            <v>Cây hoàng lan Cây giống mới trồng</v>
          </cell>
        </row>
        <row r="296">
          <cell r="A296" t="str">
            <v>Cây hoàng lan chiều cao cây H &lt; 15 cm</v>
          </cell>
          <cell r="F296" t="str">
            <v>Cây hoàng lan chiều cao cây H &lt; 15 cm</v>
          </cell>
        </row>
        <row r="297">
          <cell r="A297" t="str">
            <v>Cây hoàng lan chiều cao cây 15 cm ≤ H &lt; 30 cm</v>
          </cell>
          <cell r="F297" t="str">
            <v>Cây hoàng lan chiều cao cây 15 cm ≤ H &lt; 30 cm</v>
          </cell>
        </row>
        <row r="298">
          <cell r="A298" t="str">
            <v>Cây hoàng lan chiều cao cây 30 cm ≤ H &lt; 45 cm</v>
          </cell>
          <cell r="F298" t="str">
            <v>Cây hoàng lan chiều cao cây 30 cm ≤ H &lt; 45 cm</v>
          </cell>
        </row>
        <row r="299">
          <cell r="A299" t="str">
            <v>Cây hoàng lan chiều cao cây 45 cm ≤ H &lt; 60 cm</v>
          </cell>
          <cell r="F299" t="str">
            <v>Cây hoàng lan chiều cao cây 45 cm ≤ H &lt; 60 cm</v>
          </cell>
        </row>
        <row r="300">
          <cell r="A300" t="str">
            <v>Cây hoàng lan chiều cao cây 60 cm ≤ H &lt; 75 cm</v>
          </cell>
          <cell r="F300" t="str">
            <v>Cây hoàng lan chiều cao cây 60 cm ≤ H &lt; 75 cm</v>
          </cell>
        </row>
        <row r="301">
          <cell r="A301" t="str">
            <v>Cây hoàng lan chiều cao cây 75 cm ≤ H &lt; 90 cm</v>
          </cell>
          <cell r="F301" t="str">
            <v>Cây hoàng lan chiều cao cây 75 cm ≤ H &lt; 90 cm</v>
          </cell>
        </row>
        <row r="302">
          <cell r="A302" t="str">
            <v>Cây hoàng lan chiều cao cây 90 cm ≤ H &lt; 150 cm</v>
          </cell>
          <cell r="F302" t="str">
            <v>Cây hoàng lan chiều cao cây 90 cm ≤ H &lt; 150 cm</v>
          </cell>
        </row>
        <row r="303">
          <cell r="A303" t="str">
            <v>Cây hoàng lan chiều cao cây 150 cm ≤ H &lt; 250 cm</v>
          </cell>
          <cell r="F303" t="str">
            <v>Cây hoàng lan chiều cao cây 150 cm ≤ H &lt; 250 cm</v>
          </cell>
        </row>
        <row r="304">
          <cell r="A304" t="str">
            <v>Cây hoàng lan chiều cao cây H ≥ 250 cm</v>
          </cell>
          <cell r="F304" t="str">
            <v>Cây hoàng lan chiều cao cây H ≥ 250 cm</v>
          </cell>
        </row>
        <row r="305">
          <cell r="A305" t="str">
            <v>Cây Chùm ngây</v>
          </cell>
          <cell r="F305" t="str">
            <v>Cây Chùm ngây</v>
          </cell>
        </row>
        <row r="306">
          <cell r="A306" t="str">
            <v>Cây Chùm ngây Cây giống mới trồng</v>
          </cell>
          <cell r="F306" t="str">
            <v>Cây Chùm ngây Cây giống mới trồng</v>
          </cell>
        </row>
        <row r="307">
          <cell r="A307" t="str">
            <v>Cây Chùm ngây chiều cao cây H ≤ 100 cm</v>
          </cell>
          <cell r="F307" t="str">
            <v>Cây Chùm ngây chiều cao cây H ≤ 100 cm</v>
          </cell>
        </row>
        <row r="308">
          <cell r="A308" t="str">
            <v>Cây Chùm ngây chiều cao cây 100 &lt; H ≤ 150 cm</v>
          </cell>
          <cell r="F308" t="str">
            <v>Cây Chùm ngây chiều cao cây 100 &lt; H ≤ 150 cm</v>
          </cell>
        </row>
        <row r="309">
          <cell r="A309" t="str">
            <v>Cây Chùm ngây chiều cao cây H &gt; 150 cm</v>
          </cell>
          <cell r="F309" t="str">
            <v>Cây Chùm ngây chiều cao cây H &gt; 150 cm</v>
          </cell>
        </row>
        <row r="310">
          <cell r="A310" t="str">
            <v>NHÓM CÂY TÍNH THEO ĐƯỜNG KÍNH THÂN, GÔC</v>
          </cell>
          <cell r="F310" t="str">
            <v>NHÓM CÂY TÍNH THEO ĐƯỜNG KÍNH THÂN, GÔC</v>
          </cell>
        </row>
        <row r="311">
          <cell r="A311" t="str">
            <v>Cây bưởi, bòng</v>
          </cell>
          <cell r="F311" t="str">
            <v>Cây bưởi, bòng</v>
          </cell>
        </row>
        <row r="312">
          <cell r="A312" t="str">
            <v>Cây giống đủ tiêu chuẩn mới trồng</v>
          </cell>
          <cell r="F312" t="str">
            <v>Cây giống đủ tiêu chuẩn mới trồng</v>
          </cell>
        </row>
        <row r="313">
          <cell r="A313" t="str">
            <v>Cây bưởi, bòng giống Loại cây ghép có chiều cao cây 40cm ≤ H &lt; 1m</v>
          </cell>
          <cell r="F313" t="str">
            <v>Cây bưởi, bòng giống Loại cây ghép có chiều cao cây 40cm ≤ H &lt; 1m</v>
          </cell>
        </row>
        <row r="314">
          <cell r="A314" t="str">
            <v>Cây bưởi, bòng giống Loại cây ghép có chiều cao cây H ≥ 1m</v>
          </cell>
          <cell r="F314" t="str">
            <v>Cây bưởi, bòng giống Loại cây ghép có chiều cao cây H ≥ 1m</v>
          </cell>
        </row>
        <row r="315">
          <cell r="A315" t="str">
            <v>Cây bưởi, bòng giống Loại cây chiết cành có chiều cao 40cm ≤ H &lt; 1m</v>
          </cell>
          <cell r="F315" t="str">
            <v>Cây bưởi, bòng giống Loại cây chiết cành có chiều cao 40cm ≤ H &lt; 1m</v>
          </cell>
        </row>
        <row r="316">
          <cell r="A316" t="str">
            <v>Cây bưởi, bòng giống Loại cây chiết cành có chiều cao cây H ≥ 1m</v>
          </cell>
          <cell r="F316" t="str">
            <v>Cây bưởi, bòng giống Loại cây chiết cành có chiều cao cây H ≥ 1m</v>
          </cell>
        </row>
        <row r="317">
          <cell r="A317" t="str">
            <v>Cây bưởi, bòng ĐK thân ≤ 5 cm</v>
          </cell>
          <cell r="F317" t="str">
            <v>Cây bưởi, bòng ĐK thân ≤ 5 cm</v>
          </cell>
        </row>
        <row r="318">
          <cell r="A318" t="str">
            <v>Cây bưởi, bòng đường kính thân 5 cm &lt; ĐK thân ≤10 cm</v>
          </cell>
          <cell r="F318" t="str">
            <v>Cây bưởi, bòng đường kính thân 5 cm &lt; ĐK thân ≤10 cm</v>
          </cell>
        </row>
        <row r="319">
          <cell r="A319" t="str">
            <v>Cây bưởi, bòng đường kính thân 10 cm &lt; ĐK thân ≤ 15 cm</v>
          </cell>
          <cell r="F319" t="str">
            <v>Cây bưởi, bòng đường kính thân 10 cm &lt; ĐK thân ≤ 15 cm</v>
          </cell>
        </row>
        <row r="320">
          <cell r="A320" t="str">
            <v>Cây bưởi, bòng đường kính thân 15 cm &lt; ĐK thân ≤ 20 cm</v>
          </cell>
          <cell r="F320" t="str">
            <v>Cây bưởi, bòng đường kính thân 15 cm &lt; ĐK thân ≤ 20 cm</v>
          </cell>
        </row>
        <row r="321">
          <cell r="A321" t="str">
            <v>Cây bưởi, bòng đường kính thân 20 cm &lt; ĐK thân ≤25 cm</v>
          </cell>
          <cell r="F321" t="str">
            <v>Cây bưởi, bòng đường kính thân 20 cm &lt; ĐK thân ≤25 cm</v>
          </cell>
        </row>
        <row r="322">
          <cell r="A322" t="str">
            <v>Cây bưởi, bòng đường kính thân 25 cm &lt; ĐK thân ≤ 30 cm</v>
          </cell>
          <cell r="F322" t="str">
            <v>Cây bưởi, bòng đường kính thân 25 cm &lt; ĐK thân ≤ 30 cm</v>
          </cell>
        </row>
        <row r="323">
          <cell r="A323" t="str">
            <v>Cây bưởi, bòng đường kính thân 30 cm &lt; ĐK thân ≤ 40 cm</v>
          </cell>
          <cell r="F323" t="str">
            <v>Cây bưởi, bòng đường kính thân 30 cm &lt; ĐK thân ≤ 40 cm</v>
          </cell>
        </row>
        <row r="324">
          <cell r="A324" t="str">
            <v>Cây bưởi, bòng ĐK thân &gt; 40 cm</v>
          </cell>
          <cell r="F324" t="str">
            <v>Cây bưởi, bòng ĐK thân &gt; 40 cm</v>
          </cell>
        </row>
        <row r="325">
          <cell r="A325" t="str">
            <v>Cây mít</v>
          </cell>
          <cell r="F325" t="str">
            <v>Cây mít</v>
          </cell>
        </row>
        <row r="326">
          <cell r="A326" t="str">
            <v>Cây mít giống đủ tiêu chuẩn mới trồng</v>
          </cell>
          <cell r="F326" t="str">
            <v>Cây mít giống đủ tiêu chuẩn mới trồng</v>
          </cell>
        </row>
        <row r="327">
          <cell r="A327" t="str">
            <v>Cây mít ĐK thân ≤ 5 cm</v>
          </cell>
          <cell r="F327" t="str">
            <v>Cây mít ĐK thân ≤ 5 cm</v>
          </cell>
        </row>
        <row r="328">
          <cell r="A328" t="str">
            <v>Cây mít đường kính thân 5 cm &lt; ĐK thân ≤ 10 cm</v>
          </cell>
          <cell r="F328" t="str">
            <v>Cây mít đường kính thân 5 cm &lt; ĐK thân ≤ 10 cm</v>
          </cell>
        </row>
        <row r="329">
          <cell r="A329" t="str">
            <v>Cây mít đường kính thân 10 cm &lt; ĐK thân ≤ 15 cm</v>
          </cell>
          <cell r="F329" t="str">
            <v>Cây mít đường kính thân 10 cm &lt; ĐK thân ≤ 15 cm</v>
          </cell>
        </row>
        <row r="330">
          <cell r="A330" t="str">
            <v>Cây mít đường kính thân 15 cm &lt; ĐK thân ≤ 20 cm</v>
          </cell>
          <cell r="F330" t="str">
            <v>Cây mít đường kính thân 15 cm &lt; ĐK thân ≤ 20 cm</v>
          </cell>
        </row>
        <row r="331">
          <cell r="A331" t="str">
            <v>Cây mít đường kính thân 20 cm &lt; ĐK thân ≤ 30 cm</v>
          </cell>
          <cell r="F331" t="str">
            <v>Cây mít đường kính thân 20 cm &lt; ĐK thân ≤ 30 cm</v>
          </cell>
        </row>
        <row r="332">
          <cell r="A332" t="str">
            <v>Cây mít đường kính thân 30 cm &lt; ĐK thân ≤ 40 cm</v>
          </cell>
          <cell r="F332" t="str">
            <v>Cây mít đường kính thân 30 cm &lt; ĐK thân ≤ 40 cm</v>
          </cell>
        </row>
        <row r="333">
          <cell r="A333" t="str">
            <v>Cây mít ĐK thân &gt; 40 cm</v>
          </cell>
          <cell r="F333" t="str">
            <v>Cây mít ĐK thân &gt; 40 cm</v>
          </cell>
        </row>
        <row r="334">
          <cell r="A334" t="str">
            <v>Cây chay</v>
          </cell>
          <cell r="F334" t="str">
            <v>Cây chay</v>
          </cell>
        </row>
        <row r="335">
          <cell r="A335" t="str">
            <v>Cây chay giống đủ tiêu chuẩn mới trồng</v>
          </cell>
          <cell r="F335" t="str">
            <v>Cây chay giống đủ tiêu chuẩn mới trồng</v>
          </cell>
        </row>
        <row r="336">
          <cell r="A336" t="str">
            <v>Cây chay ĐK thân ≤ 5 cm</v>
          </cell>
          <cell r="F336" t="str">
            <v>Cây chay ĐK thân ≤ 5 cm</v>
          </cell>
        </row>
        <row r="337">
          <cell r="A337" t="str">
            <v>Cây chay đường kính thân 5 cm &lt; ĐK thân ≤ 10 cm</v>
          </cell>
          <cell r="F337" t="str">
            <v>Cây chay đường kính thân 5 cm &lt; ĐK thân ≤ 10 cm</v>
          </cell>
        </row>
        <row r="338">
          <cell r="A338" t="str">
            <v>Cây chay đường kính thân 10 cm &lt; ĐK thân ≤ 15 cm</v>
          </cell>
          <cell r="F338" t="str">
            <v>Cây chay đường kính thân 10 cm &lt; ĐK thân ≤ 15 cm</v>
          </cell>
        </row>
        <row r="339">
          <cell r="A339" t="str">
            <v>Cây chay đường kính thân 15 cm &lt; ĐK thân ≤ 20 cm</v>
          </cell>
          <cell r="F339" t="str">
            <v>Cây chay đường kính thân 15 cm &lt; ĐK thân ≤ 20 cm</v>
          </cell>
        </row>
        <row r="340">
          <cell r="A340" t="str">
            <v>Cây chay đường kính thân 20 cm &lt; ĐK thân ≤ 30 cm</v>
          </cell>
          <cell r="F340" t="str">
            <v>Cây chay đường kính thân 20 cm &lt; ĐK thân ≤ 30 cm</v>
          </cell>
        </row>
        <row r="341">
          <cell r="A341" t="str">
            <v>Cây chay đường kính thân 30 cm &lt; ĐK thân ≤ 40 cm</v>
          </cell>
          <cell r="F341" t="str">
            <v>Cây chay đường kính thân 30 cm &lt; ĐK thân ≤ 40 cm</v>
          </cell>
        </row>
        <row r="342">
          <cell r="A342" t="str">
            <v>Cây chay ĐK thân &gt; 40 cm</v>
          </cell>
          <cell r="F342" t="str">
            <v>Cây chay ĐK thân &gt; 40 cm</v>
          </cell>
        </row>
        <row r="343">
          <cell r="A343" t="str">
            <v>Cây táo</v>
          </cell>
          <cell r="F343" t="str">
            <v>Cây táo</v>
          </cell>
        </row>
        <row r="344">
          <cell r="A344" t="str">
            <v>Cây táo giống đủ tiêu chuẩn mới trồng Loại cây ghép có chiều cao cây 40cm ≤ H &lt; 1m</v>
          </cell>
          <cell r="F344" t="str">
            <v>Cây táo giống đủ tiêu chuẩn mới trồng Loại cây ghép có chiều cao cây 40cm ≤ H &lt; 1m</v>
          </cell>
        </row>
        <row r="345">
          <cell r="A345" t="str">
            <v>Cây táo loại cây ghép có chiều cao cây H ≥  1m</v>
          </cell>
          <cell r="F345" t="str">
            <v>Cây táo loại cây ghép có chiều cao cây H ≥  1m</v>
          </cell>
        </row>
        <row r="346">
          <cell r="A346" t="str">
            <v>Cây táo ĐK thân ≤ 5 cm</v>
          </cell>
          <cell r="F346" t="str">
            <v>Cây táo ĐK thân ≤ 5 cm</v>
          </cell>
        </row>
        <row r="347">
          <cell r="A347" t="str">
            <v>Cây táo đường kính thân 5 cm &lt; ĐK thân ≤ 7 cm</v>
          </cell>
          <cell r="F347" t="str">
            <v>Cây táo đường kính thân 5 cm &lt; ĐK thân ≤ 7 cm</v>
          </cell>
        </row>
        <row r="348">
          <cell r="A348" t="str">
            <v>Cây táo đường kính thân 7 cm &lt; ĐK thân ≤ 11 cm</v>
          </cell>
          <cell r="F348" t="str">
            <v>Cây táo đường kính thân 7 cm &lt; ĐK thân ≤ 11 cm</v>
          </cell>
        </row>
        <row r="349">
          <cell r="A349" t="str">
            <v>Cây táo đường kính thân 11 cm &lt; ĐK thân ≤ 15 cm</v>
          </cell>
          <cell r="F349" t="str">
            <v>Cây táo đường kính thân 11 cm &lt; ĐK thân ≤ 15 cm</v>
          </cell>
        </row>
        <row r="350">
          <cell r="A350" t="str">
            <v>Cây táo đường kính thân 15 cm &lt; ĐK thân ≤ 20 cm</v>
          </cell>
          <cell r="F350" t="str">
            <v>Cây táo đường kính thân 15 cm &lt; ĐK thân ≤ 20 cm</v>
          </cell>
        </row>
        <row r="351">
          <cell r="A351" t="str">
            <v>Cây táo đường kính thân 20 cm &lt; ĐK thân ≤ 25 cm</v>
          </cell>
          <cell r="F351" t="str">
            <v>Cây táo đường kính thân 20 cm &lt; ĐK thân ≤ 25 cm</v>
          </cell>
        </row>
        <row r="352">
          <cell r="A352" t="str">
            <v>Cây táo ĐK thân &gt; 25 cm</v>
          </cell>
          <cell r="F352" t="str">
            <v>Cây táo ĐK thân &gt; 25 cm</v>
          </cell>
        </row>
        <row r="353">
          <cell r="A353" t="str">
            <v>Cây xoài, cây quéo</v>
          </cell>
          <cell r="F353" t="str">
            <v>Cây xoài, cây quéo</v>
          </cell>
        </row>
        <row r="354">
          <cell r="A354" t="str">
            <v>Cây xoài giống đủ tiêu chuẩn mới trồng, chiều cao cây H ≥ 40cm</v>
          </cell>
          <cell r="F354" t="str">
            <v>Cây xoài giống đủ tiêu chuẩn mới trồng, chiều cao cây H ≥ 40cm</v>
          </cell>
        </row>
        <row r="355">
          <cell r="A355" t="str">
            <v>Cây xoài ĐK thân ≤ 5 cm</v>
          </cell>
          <cell r="F355" t="str">
            <v>Cây xoài ĐK thân ≤ 5 cm</v>
          </cell>
        </row>
        <row r="356">
          <cell r="A356" t="str">
            <v>Cây xoài đường kính thân 5 cm &lt; ĐK thân ≤ 10 cm</v>
          </cell>
          <cell r="F356" t="str">
            <v>Cây xoài đường kính thân 5 cm &lt; ĐK thân ≤ 10 cm</v>
          </cell>
        </row>
        <row r="357">
          <cell r="A357" t="str">
            <v>Cây xoài đường kính thân 10 cm &lt;ĐK thân ≤ 15 cm</v>
          </cell>
          <cell r="F357" t="str">
            <v>Cây xoài đường kính thân 10 cm &lt;ĐK thân ≤ 15 cm</v>
          </cell>
        </row>
        <row r="358">
          <cell r="A358" t="str">
            <v>Cây xoài đường kính thân 15 cm &lt; ĐK thân ≤ 20 cm</v>
          </cell>
          <cell r="F358" t="str">
            <v>Cây xoài đường kính thân 15 cm &lt; ĐK thân ≤ 20 cm</v>
          </cell>
        </row>
        <row r="359">
          <cell r="A359" t="str">
            <v>Cây xoài đường kính thân 20 cm &lt; ĐK thân ≤ 30 cm</v>
          </cell>
          <cell r="F359" t="str">
            <v>Cây xoài đường kính thân 20 cm &lt; ĐK thân ≤ 30 cm</v>
          </cell>
        </row>
        <row r="360">
          <cell r="A360" t="str">
            <v>Cây xoài đường kính thân 30 cm &lt; ĐK thân ≤ 40 cm</v>
          </cell>
          <cell r="F360" t="str">
            <v>Cây xoài đường kính thân 30 cm &lt; ĐK thân ≤ 40 cm</v>
          </cell>
        </row>
        <row r="361">
          <cell r="A361" t="str">
            <v>Cây xoài ĐK thân &gt; 40 cm</v>
          </cell>
          <cell r="F361" t="str">
            <v>Cây xoài ĐK thân &gt; 40 cm</v>
          </cell>
        </row>
        <row r="362">
          <cell r="A362" t="str">
            <v>Cây vú sữa</v>
          </cell>
          <cell r="F362" t="str">
            <v>Cây vú sữa</v>
          </cell>
        </row>
        <row r="363">
          <cell r="A363" t="str">
            <v>Cây vú sữa giống đủ tiêu chuẩn mới trồng, chiều cao cây H ≥ 40cm</v>
          </cell>
          <cell r="F363">
            <v>0</v>
          </cell>
        </row>
        <row r="364">
          <cell r="A364" t="str">
            <v>Cây vú sữa ĐK thân ≤5 cm</v>
          </cell>
          <cell r="F364" t="str">
            <v>Cây vú sữa ĐK thân ≤5 cm</v>
          </cell>
        </row>
        <row r="365">
          <cell r="A365" t="str">
            <v>Cây vú sữa đường kính thân 5 cm &lt; ĐK thân  ≤ 10 cm</v>
          </cell>
          <cell r="F365" t="str">
            <v>Cây vú sữa đường kính thân 5 cm &lt; ĐK thân  ≤ 10 cm</v>
          </cell>
        </row>
        <row r="366">
          <cell r="A366" t="str">
            <v>Cây vú sữa đường kính thân 10 cm &lt; ĐK thân  ≤ 15 cm</v>
          </cell>
          <cell r="F366" t="str">
            <v>Cây vú sữa đường kính thân 10 cm &lt; ĐK thân  ≤ 15 cm</v>
          </cell>
        </row>
        <row r="367">
          <cell r="A367" t="str">
            <v>Cây vú sữa đường kính thân 15 cm &lt; ĐK thân  ≤ 20 cm</v>
          </cell>
          <cell r="F367" t="str">
            <v>Cây vú sữa đường kính thân 15 cm &lt; ĐK thân  ≤ 20 cm</v>
          </cell>
        </row>
        <row r="368">
          <cell r="A368" t="str">
            <v>Cây vú sữa đường kính thân 20 cm &lt; ĐK thân  ≤ 30 cm</v>
          </cell>
          <cell r="F368" t="str">
            <v>Cây vú sữa đường kính thân 20 cm &lt; ĐK thân  ≤ 30 cm</v>
          </cell>
        </row>
        <row r="369">
          <cell r="A369" t="str">
            <v>Cây vú sữa ĐK thân &gt; 30 cm</v>
          </cell>
          <cell r="F369" t="str">
            <v>Cây vú sữa ĐK thân &gt; 30 cm</v>
          </cell>
        </row>
        <row r="370">
          <cell r="A370" t="str">
            <v>Cây vú sữa hoàng kim</v>
          </cell>
          <cell r="F370" t="str">
            <v>Cây vú sữa hoàng kim</v>
          </cell>
        </row>
        <row r="371">
          <cell r="A371" t="str">
            <v>Cây vú sữa hoàng kim ĐK thân  ≤ 5 cm</v>
          </cell>
          <cell r="F371" t="str">
            <v>Cây vú sữa hoàng kim ĐK thân  ≤ 5 cm</v>
          </cell>
        </row>
        <row r="372">
          <cell r="A372" t="str">
            <v>Cây vú sữa hoàng kim đường kính thân 5 cm &lt; ĐK thân  ≤ 10 cm</v>
          </cell>
          <cell r="F372" t="str">
            <v>Cây vú sữa hoàng kim đường kính thân 5 cm &lt; ĐK thân  ≤ 10 cm</v>
          </cell>
        </row>
        <row r="373">
          <cell r="A373" t="str">
            <v>Cây vú sữa hoàng kim đường kính thân 10 cm &lt; ĐK thân  ≤ 15 cm</v>
          </cell>
          <cell r="F373" t="str">
            <v>Cây vú sữa hoàng kim đường kính thân 10 cm &lt; ĐK thân  ≤ 15 cm</v>
          </cell>
        </row>
        <row r="374">
          <cell r="A374" t="str">
            <v>Cây vú sữa hoàng kim đường kính thân 15 cm &lt; ĐK thân  ≤ 20 cm</v>
          </cell>
          <cell r="F374" t="str">
            <v>Cây vú sữa hoàng kim đường kính thân 15 cm &lt; ĐK thân  ≤ 20 cm</v>
          </cell>
        </row>
        <row r="375">
          <cell r="A375" t="str">
            <v>Cây vú sữa hoàng kim đường kính thân 20 cm &lt; ĐK thân  ≤ 30 cm</v>
          </cell>
          <cell r="F375" t="str">
            <v>Cây vú sữa hoàng kim đường kính thân 20 cm &lt; ĐK thân  ≤ 30 cm</v>
          </cell>
        </row>
        <row r="376">
          <cell r="A376" t="str">
            <v>Cây vú sữa hoàng kim ĐK thân &gt;30 cm</v>
          </cell>
          <cell r="F376" t="str">
            <v>Cây vú sữa hoàng kim ĐK thân &gt;30 cm</v>
          </cell>
        </row>
        <row r="377">
          <cell r="A377" t="str">
            <v>Cây na (na dai, na bở)</v>
          </cell>
          <cell r="F377" t="str">
            <v>Cây na (na dai, na bở)</v>
          </cell>
        </row>
        <row r="378">
          <cell r="A378" t="str">
            <v>Cây na giống đủ tiêu chuẩn mới trồng, chiều cao cây H ≥ 40cm</v>
          </cell>
          <cell r="F378" t="str">
            <v>Cây na giống đủ tiêu chuẩn mới trồng, chiều cao cây H ≥ 40cm</v>
          </cell>
        </row>
        <row r="379">
          <cell r="A379" t="str">
            <v>Cây na ĐK thân ≤ 3 cm</v>
          </cell>
          <cell r="F379" t="str">
            <v>Cây na ĐK thân ≤ 3 cm</v>
          </cell>
        </row>
        <row r="380">
          <cell r="A380" t="str">
            <v>Cây na đường kính thân 3 cm &lt; ĐK thân ≤ 5 cm</v>
          </cell>
          <cell r="F380" t="str">
            <v>Cây na đường kính thân 3 cm &lt; ĐK thân ≤ 5 cm</v>
          </cell>
        </row>
        <row r="381">
          <cell r="A381" t="str">
            <v>Cây na đường kính thân 5 cm &lt; ĐK thân ≤ 7 cm</v>
          </cell>
          <cell r="F381" t="str">
            <v>Cây na đường kính thân 5 cm &lt; ĐK thân ≤ 7 cm</v>
          </cell>
        </row>
        <row r="382">
          <cell r="A382" t="str">
            <v>Cây na đường kính thân 7 cm &lt; ĐK thân ≤ 10 cm</v>
          </cell>
          <cell r="F382" t="str">
            <v>Cây na đường kính thân 7 cm &lt; ĐK thân ≤ 10 cm</v>
          </cell>
        </row>
        <row r="383">
          <cell r="A383" t="str">
            <v>Cây na ĐK thân &gt; 10 cm</v>
          </cell>
          <cell r="F383" t="str">
            <v>Cây na ĐK thân &gt; 10 cm</v>
          </cell>
        </row>
        <row r="384">
          <cell r="A384" t="str">
            <v>Cây khế</v>
          </cell>
          <cell r="F384" t="str">
            <v>Cây khế</v>
          </cell>
        </row>
        <row r="385">
          <cell r="A385" t="str">
            <v>Cây khế giống Loại cây ghép có chiều cao cây 40cm ≤ H &lt; 1m</v>
          </cell>
          <cell r="F385">
            <v>0</v>
          </cell>
        </row>
        <row r="386">
          <cell r="A386" t="str">
            <v>Cây khế giống Loại cây ghép có chiều cao cây H ≥ 1m</v>
          </cell>
          <cell r="F386" t="str">
            <v>Cây khế giống Loại cây ghép có chiều cao cây H ≥ 1m</v>
          </cell>
        </row>
        <row r="387">
          <cell r="A387" t="str">
            <v>Cây khế ĐK thân ≤ 5 cm</v>
          </cell>
          <cell r="F387" t="str">
            <v>Cây khế ĐK thân ≤ 5 cm</v>
          </cell>
        </row>
        <row r="388">
          <cell r="A388" t="str">
            <v>Cây khế đường kính thân 5 cm &lt; ĐK thân ≤ 10 cm</v>
          </cell>
          <cell r="F388" t="str">
            <v>Cây khế đường kính thân 5 cm &lt; ĐK thân ≤ 10 cm</v>
          </cell>
        </row>
        <row r="389">
          <cell r="A389" t="str">
            <v>Cây khế đường kính thân 10 cm &lt; ĐK thân ≤ 15 cm</v>
          </cell>
          <cell r="F389" t="str">
            <v>Cây khế đường kính thân 10 cm &lt; ĐK thân ≤ 15 cm</v>
          </cell>
        </row>
        <row r="390">
          <cell r="A390" t="str">
            <v>Cây khế đường kính thân 15 cm &lt; ĐK thân ≤ 20 cm</v>
          </cell>
          <cell r="F390" t="str">
            <v>Cây khế đường kính thân 15 cm &lt; ĐK thân ≤ 20 cm</v>
          </cell>
        </row>
        <row r="391">
          <cell r="A391" t="str">
            <v>Cây khế đường kính thân 20 cm &lt; ĐK thân ≤ 25 cm</v>
          </cell>
          <cell r="F391" t="str">
            <v>Cây khế đường kính thân 20 cm &lt; ĐK thân ≤ 25 cm</v>
          </cell>
        </row>
        <row r="392">
          <cell r="A392" t="str">
            <v>Cây khế ĐK thân &gt; 25 cm</v>
          </cell>
          <cell r="F392" t="str">
            <v>Cây khế ĐK thân &gt; 25 cm</v>
          </cell>
        </row>
        <row r="393">
          <cell r="A393" t="str">
            <v>Cây ổi</v>
          </cell>
          <cell r="F393" t="str">
            <v>Cây ổi</v>
          </cell>
        </row>
        <row r="394">
          <cell r="A394" t="str">
            <v>Cây ổi giống Loại cây ghép có chiều cao cây 40cm ≤ H &lt; 1m</v>
          </cell>
          <cell r="F394">
            <v>0</v>
          </cell>
        </row>
        <row r="395">
          <cell r="A395" t="str">
            <v>Cây ổi giống Loại cây ghép có chiều cao cây H ≥ 1m</v>
          </cell>
          <cell r="F395" t="str">
            <v>Cây ổi giống Loại cây ghép có chiều cao cây H ≥ 1m</v>
          </cell>
        </row>
        <row r="396">
          <cell r="A396" t="str">
            <v>Cây ổi giống Loại cây chiết có chiều cao cây 40cm ≤ H &lt; 1 m</v>
          </cell>
          <cell r="F396" t="str">
            <v>Cây ổi giống Loại cây chiết có chiều cao cây 40cm ≤ H &lt; 1 m</v>
          </cell>
        </row>
        <row r="397">
          <cell r="A397" t="str">
            <v>Cây ổi ĐK thân ≤ 5 cm</v>
          </cell>
          <cell r="F397" t="str">
            <v>Cây ổi ĐK thân ≤ 5 cm</v>
          </cell>
        </row>
        <row r="398">
          <cell r="A398" t="str">
            <v>Cây ổi đường kính thân 5 cm &lt; ĐK thân ≤ 10 cm</v>
          </cell>
          <cell r="F398" t="str">
            <v>Cây ổi đường kính thân 5 cm &lt; ĐK thân ≤ 10 cm</v>
          </cell>
        </row>
        <row r="399">
          <cell r="A399" t="str">
            <v>Cây ổi đường kính thân 10 cm &lt; ĐK thân ≤ 15 cm</v>
          </cell>
          <cell r="F399" t="str">
            <v>Cây ổi đường kính thân 10 cm &lt; ĐK thân ≤ 15 cm</v>
          </cell>
        </row>
        <row r="400">
          <cell r="A400" t="str">
            <v>Cây ổi đường kính thân 15 cm &lt; ĐK thân ≤ 20 cm</v>
          </cell>
          <cell r="F400" t="str">
            <v>Cây ổi đường kính thân 15 cm &lt; ĐK thân ≤ 20 cm</v>
          </cell>
        </row>
        <row r="401">
          <cell r="A401" t="str">
            <v>Cây ổi ĐK thân &gt; 20 cm</v>
          </cell>
          <cell r="F401" t="str">
            <v>Cây ổi ĐK thân &gt; 20 cm</v>
          </cell>
        </row>
        <row r="402">
          <cell r="A402" t="str">
            <v>Cây nhãn</v>
          </cell>
          <cell r="F402" t="str">
            <v>Cây nhãn</v>
          </cell>
        </row>
        <row r="403">
          <cell r="A403" t="str">
            <v>Cây nhãn giống Loại cây ghép có chiều cao cây 40cm ≤ H &lt; 1m</v>
          </cell>
          <cell r="F403">
            <v>0</v>
          </cell>
        </row>
        <row r="404">
          <cell r="A404" t="str">
            <v>Cây nhãn giống Loại cây ghép có chiều cao cây H ≥ 1m</v>
          </cell>
          <cell r="F404" t="str">
            <v>Cây nhãn giống Loại cây ghép có chiều cao cây H ≥ 1m</v>
          </cell>
        </row>
        <row r="405">
          <cell r="A405" t="str">
            <v>Cây nhãn giống Loại cây chiết cành có chiều cao 40cm  ≤ H &lt; 1m</v>
          </cell>
          <cell r="F405" t="str">
            <v>Cây nhãn giống Loại cây chiết cành có chiều cao 40cm  ≤ H &lt; 1m</v>
          </cell>
        </row>
        <row r="406">
          <cell r="A406" t="str">
            <v>Cây nhãn giống Loại cây chiết cành có chiều cao cây H ≥ 1m</v>
          </cell>
          <cell r="F406" t="str">
            <v>Cây nhãn giống Loại cây chiết cành có chiều cao cây H ≥ 1m</v>
          </cell>
        </row>
        <row r="407">
          <cell r="A407" t="str">
            <v>Cây nhãn ĐK thân ≤ 5 cm</v>
          </cell>
          <cell r="F407" t="str">
            <v>Cây nhãn ĐK thân ≤ 5 cm</v>
          </cell>
        </row>
        <row r="408">
          <cell r="A408" t="str">
            <v>Cây nhãn đường kính thân 5 cm &lt; ĐK thân ≤ 10cm</v>
          </cell>
          <cell r="F408" t="str">
            <v>Cây nhãn đường kính thân 5 cm &lt; ĐK thân ≤ 10cm</v>
          </cell>
        </row>
        <row r="409">
          <cell r="A409" t="str">
            <v>Cây nhãn đường kính thân 10 cm &lt; ĐK thân ≤ 15 cm</v>
          </cell>
          <cell r="F409" t="str">
            <v>Cây nhãn đường kính thân 10 cm &lt; ĐK thân ≤ 15 cm</v>
          </cell>
        </row>
        <row r="410">
          <cell r="A410" t="str">
            <v>Cây nhãn đường kính thân 15 cm &lt; ĐK thân ≤ 20 cm</v>
          </cell>
          <cell r="F410" t="str">
            <v>Cây nhãn đường kính thân 15 cm &lt; ĐK thân ≤ 20 cm</v>
          </cell>
        </row>
        <row r="411">
          <cell r="A411" t="str">
            <v>Cây nhãn đường kính thân 20 cm &lt; ĐK thân ≤ 25 cm</v>
          </cell>
          <cell r="F411" t="str">
            <v>Cây nhãn đường kính thân 20 cm &lt; ĐK thân ≤ 25 cm</v>
          </cell>
        </row>
        <row r="412">
          <cell r="A412" t="str">
            <v>Cây nhãn đường kính thân 25 cm &lt; ĐK thân ≤ 30 cm</v>
          </cell>
          <cell r="F412" t="str">
            <v>Cây nhãn đường kính thân 25 cm &lt; ĐK thân ≤ 30 cm</v>
          </cell>
        </row>
        <row r="413">
          <cell r="A413" t="str">
            <v>Cây nhãn đường kính thân 30 cm &lt; ĐK thân ≤ 40 cm</v>
          </cell>
          <cell r="F413" t="str">
            <v>Cây nhãn đường kính thân 30 cm &lt; ĐK thân ≤ 40 cm</v>
          </cell>
        </row>
        <row r="414">
          <cell r="A414" t="str">
            <v>Cây nhãn ĐK thân &gt; 40 cm</v>
          </cell>
          <cell r="F414" t="str">
            <v>Cây nhãn ĐK thân &gt; 40 cm</v>
          </cell>
        </row>
        <row r="415">
          <cell r="A415" t="str">
            <v>Cây vải</v>
          </cell>
          <cell r="F415" t="str">
            <v>Cây vải</v>
          </cell>
        </row>
        <row r="416">
          <cell r="A416" t="str">
            <v>Cây vải giống Loại cây ghép có chiều cao cây 40cm ≤ H &lt; 1m</v>
          </cell>
          <cell r="F416">
            <v>0</v>
          </cell>
        </row>
        <row r="417">
          <cell r="A417" t="str">
            <v>Cây vải giống Loại cây ghép có chiều cao cây H ≥ 1m</v>
          </cell>
          <cell r="F417" t="str">
            <v>Cây vải giống Loại cây ghép có chiều cao cây H ≥ 1m</v>
          </cell>
        </row>
        <row r="418">
          <cell r="A418" t="str">
            <v>Cây vải giống Loại cây chiết cành có chiều cao 40cm  ≤ H &lt; 1m</v>
          </cell>
          <cell r="F418" t="str">
            <v>Cây vải giống Loại cây chiết cành có chiều cao 40cm  ≤ H &lt; 1m</v>
          </cell>
        </row>
        <row r="419">
          <cell r="A419" t="str">
            <v>Cây vải giống Loại cây chiết cành có chiều cao cây H ≥ 1m</v>
          </cell>
          <cell r="F419" t="str">
            <v>Cây vải giống Loại cây chiết cành có chiều cao cây H ≥ 1m</v>
          </cell>
        </row>
        <row r="420">
          <cell r="A420" t="str">
            <v>Cây vải ĐK thân ≤ 5 cm</v>
          </cell>
          <cell r="F420" t="str">
            <v>Cây vải ĐK thân ≤ 5 cm</v>
          </cell>
        </row>
        <row r="421">
          <cell r="A421" t="str">
            <v>Cây vải đường kính thân 5 cm &lt; ĐK thân ≤ 10cm</v>
          </cell>
          <cell r="F421" t="str">
            <v>Cây vải đường kính thân 5 cm &lt; ĐK thân ≤ 10cm</v>
          </cell>
        </row>
        <row r="422">
          <cell r="A422" t="str">
            <v>Cây vải đường kính thân 10 cm &lt; ĐK thân ≤ 15 cm</v>
          </cell>
          <cell r="F422" t="str">
            <v>Cây vải đường kính thân 10 cm &lt; ĐK thân ≤ 15 cm</v>
          </cell>
        </row>
        <row r="423">
          <cell r="A423" t="str">
            <v>Cây vải đường kính thân 15 cm &lt; ĐK thân ≤ 20 cm</v>
          </cell>
          <cell r="F423" t="str">
            <v>Cây vải đường kính thân 15 cm &lt; ĐK thân ≤ 20 cm</v>
          </cell>
        </row>
        <row r="424">
          <cell r="A424" t="str">
            <v>Cây vải đường kính thân 20 cm &lt; ĐK thân ≤ 25 cm</v>
          </cell>
          <cell r="F424" t="str">
            <v>Cây vải đường kính thân 20 cm &lt; ĐK thân ≤ 25 cm</v>
          </cell>
        </row>
        <row r="425">
          <cell r="A425" t="str">
            <v>Cây vải đường kính thân 25 cm &lt; ĐK thân ≤ 30 cm</v>
          </cell>
          <cell r="F425" t="str">
            <v>Cây vải đường kính thân 25 cm &lt; ĐK thân ≤ 30 cm</v>
          </cell>
        </row>
        <row r="426">
          <cell r="A426" t="str">
            <v>Cây vải đường kính thân 30 cm &lt; ĐK thân ≤ 40 cm</v>
          </cell>
          <cell r="F426" t="str">
            <v>Cây vải đường kính thân 30 cm &lt; ĐK thân ≤ 40 cm</v>
          </cell>
        </row>
        <row r="427">
          <cell r="A427" t="str">
            <v>Cây vải ĐK thân &gt; 40 cm</v>
          </cell>
          <cell r="F427" t="str">
            <v>Cây vải ĐK thân &gt; 40 cm</v>
          </cell>
        </row>
        <row r="428">
          <cell r="A428" t="str">
            <v>Cây đu đủ</v>
          </cell>
          <cell r="F428" t="str">
            <v>Cây vải</v>
          </cell>
        </row>
        <row r="429">
          <cell r="A429" t="str">
            <v>Cây đu đủ giống đủ tiêu chuẩn mới trồng, chiều cao cây H ≥ 40cm</v>
          </cell>
          <cell r="F429" t="str">
            <v>Cây đu đủ giống đủ tiêu chuẩn mới trồng, chiều cao cây H ≥ 40cm</v>
          </cell>
        </row>
        <row r="430">
          <cell r="A430" t="str">
            <v>Cây đu đủ ĐK thân ≤ 3 cm</v>
          </cell>
          <cell r="F430" t="str">
            <v>Cây đu đủ ĐK thân ≤ 3 cm</v>
          </cell>
        </row>
        <row r="431">
          <cell r="A431" t="str">
            <v>Cây đu đủ đường kính thân 3 cm &lt; ĐK thân ≤ 7 cm</v>
          </cell>
          <cell r="F431" t="str">
            <v>Cây đu đủ đường kính thân 3 cm &lt; ĐK thân ≤ 7 cm</v>
          </cell>
        </row>
        <row r="432">
          <cell r="A432" t="str">
            <v>Cây đu đủ đường kính thân 7 cm &lt; ĐK thân ≤ 10 cm</v>
          </cell>
          <cell r="F432" t="str">
            <v>Cây đu đủ đường kính thân 7 cm &lt; ĐK thân ≤ 10 cm</v>
          </cell>
        </row>
        <row r="433">
          <cell r="A433" t="str">
            <v>Cây đu đủ đường kính thân ĐK thân &gt; 10 cm</v>
          </cell>
          <cell r="F433" t="str">
            <v>Cây đu đủ đường kính thân ĐK thân &gt; 10 cm</v>
          </cell>
        </row>
        <row r="434">
          <cell r="A434" t="str">
            <v>Cây trứng gà</v>
          </cell>
          <cell r="F434" t="str">
            <v>Cây trứng gà</v>
          </cell>
        </row>
        <row r="435">
          <cell r="A435" t="str">
            <v>Cây trứng gà giống đủ tiêu chuẩn mới trồng, chiều cao cây H  ≥ 40cm</v>
          </cell>
          <cell r="F435" t="str">
            <v>Cây trứng gà giống đủ tiêu chuẩn mới trồng, chiều cao cây H  ≥ 40cm</v>
          </cell>
        </row>
        <row r="436">
          <cell r="A436" t="str">
            <v>Cây trứng gà ĐK thân ≤5 cm</v>
          </cell>
          <cell r="F436" t="str">
            <v>Cây trứng gà ĐK thân ≤5 cm</v>
          </cell>
        </row>
        <row r="437">
          <cell r="A437" t="str">
            <v>Cây trứng gà đường kính thân 5 cm &lt; ĐK thân ≤ 10 cm</v>
          </cell>
          <cell r="F437" t="str">
            <v>Cây trứng gà đường kính thân 5 cm &lt; ĐK thân ≤ 10 cm</v>
          </cell>
        </row>
        <row r="438">
          <cell r="A438" t="str">
            <v>Cây trứng gà đường kính thân 10 cm &lt; ĐK thân ≤ 15 cm</v>
          </cell>
          <cell r="F438" t="str">
            <v>Cây trứng gà đường kính thân 10 cm &lt; ĐK thân ≤ 15 cm</v>
          </cell>
        </row>
        <row r="439">
          <cell r="A439" t="str">
            <v>Cây trứng gà đường kính thân 15 cm &lt; ĐK thân ≤ 20 cm</v>
          </cell>
          <cell r="F439" t="str">
            <v>Cây trứng gà đường kính thân 15 cm &lt; ĐK thân ≤ 20 cm</v>
          </cell>
        </row>
        <row r="440">
          <cell r="A440" t="str">
            <v>Cây trứng gà đường kính thân 20 cm &lt; ĐK thân ≤ 25 cm</v>
          </cell>
          <cell r="F440" t="str">
            <v>Cây trứng gà đường kính thân 20 cm &lt; ĐK thân ≤ 25 cm</v>
          </cell>
        </row>
        <row r="441">
          <cell r="A441" t="str">
            <v>Cây trứng gà ĐK thân &gt; 25 cm</v>
          </cell>
          <cell r="F441" t="str">
            <v>Cây trứng gà ĐK thân &gt; 25 cm</v>
          </cell>
        </row>
        <row r="442">
          <cell r="A442" t="str">
            <v>Cây dừa</v>
          </cell>
          <cell r="F442" t="str">
            <v>Cây dừa</v>
          </cell>
        </row>
        <row r="443">
          <cell r="A443" t="str">
            <v>Cây dừa giống đủ tiêu chuẩn mới trồng</v>
          </cell>
          <cell r="F443" t="str">
            <v>Cây dừa giống đủ tiêu chuẩn mới trồng</v>
          </cell>
        </row>
        <row r="444">
          <cell r="A444" t="str">
            <v>Cây dừa ĐK thân ≤ 10 cm</v>
          </cell>
          <cell r="F444" t="str">
            <v>Cây dừa ĐK thân ≤ 10 cm</v>
          </cell>
        </row>
        <row r="445">
          <cell r="A445" t="str">
            <v>Cây dừa đường kính thân 10 cm &lt; ĐK thân ≤ 15 cm</v>
          </cell>
          <cell r="F445" t="str">
            <v>Cây dừa đường kính thân 10 cm &lt; ĐK thân ≤ 15 cm</v>
          </cell>
        </row>
        <row r="446">
          <cell r="A446" t="str">
            <v>Cây dừa đường kính thân 15 cm &lt; ĐK thân ≤ 25 cm</v>
          </cell>
          <cell r="F446" t="str">
            <v>Cây dừa đường kính thân 15 cm &lt; ĐK thân ≤ 25 cm</v>
          </cell>
        </row>
        <row r="447">
          <cell r="A447" t="str">
            <v>Cây dừa đường kính thân 25 cm &lt; ĐK thân ≤ 40 cm</v>
          </cell>
          <cell r="F447" t="str">
            <v>Cây dừa đường kính thân 25 cm &lt; ĐK thân ≤ 40 cm</v>
          </cell>
        </row>
        <row r="448">
          <cell r="A448" t="str">
            <v>Cây dừa đường kính thân 40 cm &lt; ĐK thân ≤ 55 cm</v>
          </cell>
          <cell r="F448" t="str">
            <v>Cây dừa đường kính thân 40 cm &lt; ĐK thân ≤ 55 cm</v>
          </cell>
        </row>
        <row r="449">
          <cell r="A449" t="str">
            <v>Cây dừa ĐK thân &gt; 55 cm</v>
          </cell>
          <cell r="F449" t="str">
            <v>Cây dừa ĐK thân &gt; 55 cm</v>
          </cell>
        </row>
        <row r="450">
          <cell r="A450" t="str">
            <v>Cây me</v>
          </cell>
          <cell r="F450" t="str">
            <v>Cây me</v>
          </cell>
        </row>
        <row r="451">
          <cell r="A451" t="str">
            <v>Cây me giống đủ tiêu chuẩn mới trồng, chiều cao cây H  ≥ 40cm</v>
          </cell>
          <cell r="F451" t="str">
            <v>Cây me giống đủ tiêu chuẩn mới trồng, chiều cao cây H  ≥ 40cm</v>
          </cell>
        </row>
        <row r="452">
          <cell r="A452" t="str">
            <v>Cây me ĐK thân ≤ 5 cm</v>
          </cell>
          <cell r="F452" t="str">
            <v>Cây me ĐK thân ≤ 5 cm</v>
          </cell>
        </row>
        <row r="453">
          <cell r="A453" t="str">
            <v>Cây me đường kính thân 5 cm &lt; ĐK thân ≤ 10 cm</v>
          </cell>
          <cell r="F453" t="str">
            <v>Cây me đường kính thân 5 cm &lt; ĐK thân ≤ 10 cm</v>
          </cell>
        </row>
        <row r="454">
          <cell r="A454" t="str">
            <v>Cây me đường kính thân 10 cm &lt; ĐK thân ≤ 20 cm</v>
          </cell>
          <cell r="F454" t="str">
            <v>Cây me đường kính thân 10 cm &lt; ĐK thân ≤ 20 cm</v>
          </cell>
        </row>
        <row r="455">
          <cell r="A455" t="str">
            <v>Cây me đường kính thân 20 cm &lt; ĐK thân ≤ 30 cm</v>
          </cell>
          <cell r="F455" t="str">
            <v>Cây me đường kính thân 20 cm &lt; ĐK thân ≤ 30 cm</v>
          </cell>
        </row>
        <row r="456">
          <cell r="A456" t="str">
            <v>Cây me ĐK thân &gt; 30 cm</v>
          </cell>
          <cell r="F456" t="str">
            <v>Cây me ĐK thân &gt; 30 cm</v>
          </cell>
        </row>
        <row r="457">
          <cell r="A457" t="str">
            <v>Cây sấu</v>
          </cell>
          <cell r="F457" t="str">
            <v>Cây sấu</v>
          </cell>
        </row>
        <row r="458">
          <cell r="A458" t="str">
            <v>Cây sấu Giống đủ tiêu chuẩn mới trồng, chiều cao cây H ≥ 40cm</v>
          </cell>
          <cell r="F458" t="str">
            <v>Cây sấu Giống đủ tiêu chuẩn mới trồng, chiều cao cây H ≥ 40cm</v>
          </cell>
        </row>
        <row r="459">
          <cell r="A459" t="str">
            <v>Cây sấu ĐK thân ≤5 cm</v>
          </cell>
          <cell r="F459" t="str">
            <v>Cây sấu ĐK thân ≤5 cm</v>
          </cell>
        </row>
        <row r="460">
          <cell r="A460" t="str">
            <v>Cây sấu đường kính thân 5 cm &lt; ĐK thân ≤ 10 cm</v>
          </cell>
          <cell r="F460" t="str">
            <v>Cây sấu đường kính thân 5 cm &lt; ĐK thân ≤ 10 cm</v>
          </cell>
        </row>
        <row r="461">
          <cell r="A461" t="str">
            <v>Cây sấu đường kính thân 10 cm &lt; ĐK thân ≤ 15 cm</v>
          </cell>
          <cell r="F461" t="str">
            <v>Cây sấu đường kính thân 10 cm &lt; ĐK thân ≤ 15 cm</v>
          </cell>
        </row>
        <row r="462">
          <cell r="A462" t="str">
            <v>Cây sấu đường kính thân 15 cm &lt; ĐK thân ≤ 20 cm</v>
          </cell>
          <cell r="F462" t="str">
            <v>Cây sấu đường kính thân 15 cm &lt; ĐK thân ≤ 20 cm</v>
          </cell>
        </row>
        <row r="463">
          <cell r="A463" t="str">
            <v>Cây sấu đường kính thân 20 cm &lt; ĐK thân ≤ 30 cm</v>
          </cell>
          <cell r="F463" t="str">
            <v>Cây sấu đường kính thân 20 cm &lt; ĐK thân ≤ 30 cm</v>
          </cell>
        </row>
        <row r="464">
          <cell r="A464" t="str">
            <v>Cây sấu đường kính thân 30 cm &lt; ĐK thân ≤ 40 cm</v>
          </cell>
          <cell r="F464" t="str">
            <v>Cây sấu đường kính thân 30 cm &lt; ĐK thân ≤ 40 cm</v>
          </cell>
        </row>
        <row r="465">
          <cell r="A465" t="str">
            <v>Cây sấu ĐK thân &gt; 40 cm</v>
          </cell>
          <cell r="F465" t="str">
            <v>Cây sấu ĐK thân &gt; 40 cm</v>
          </cell>
        </row>
        <row r="466">
          <cell r="A466" t="str">
            <v>Cây vối</v>
          </cell>
          <cell r="F466" t="str">
            <v>Cây vối</v>
          </cell>
        </row>
        <row r="467">
          <cell r="A467" t="str">
            <v>Cây vối Giống đủ tiêu chuẩn mới trồng, chiều cao cây H &gt; 40cm</v>
          </cell>
          <cell r="F467" t="str">
            <v>Cây vối Giống đủ tiêu chuẩn mới trồng, chiều cao cây H &gt; 40cm</v>
          </cell>
        </row>
        <row r="468">
          <cell r="A468" t="str">
            <v>Cây vối ĐK thân ≤5 cm</v>
          </cell>
          <cell r="F468" t="str">
            <v>Cây vối ĐK thân ≤5 cm</v>
          </cell>
        </row>
        <row r="469">
          <cell r="A469" t="str">
            <v>Cây vối đường kính thân 5 cm &lt; ĐK thân ≤10 cm</v>
          </cell>
          <cell r="F469" t="str">
            <v>Cây vối đường kính thân 5 cm &lt; ĐK thân ≤10 cm</v>
          </cell>
        </row>
        <row r="470">
          <cell r="A470" t="str">
            <v>Cây vối đường kính thân 10 cm &lt; ĐK thân ≤15 cm</v>
          </cell>
          <cell r="F470" t="str">
            <v>Cây vối đường kính thân 10 cm &lt; ĐK thân ≤15 cm</v>
          </cell>
        </row>
        <row r="471">
          <cell r="A471" t="str">
            <v>Cây vối đường kính thân 15 cm &lt; ĐK thân ≤25 cm</v>
          </cell>
          <cell r="F471" t="str">
            <v>Cây vối đường kính thân 15 cm &lt; ĐK thân ≤25 cm</v>
          </cell>
        </row>
        <row r="472">
          <cell r="A472" t="str">
            <v>Cây vối ĐK thân &gt; 25 cm</v>
          </cell>
          <cell r="F472" t="str">
            <v>Cây vối ĐK thân &gt; 25 cm</v>
          </cell>
        </row>
        <row r="473">
          <cell r="A473" t="str">
            <v>Cây bơ</v>
          </cell>
          <cell r="F473" t="str">
            <v>Cây bơ</v>
          </cell>
        </row>
        <row r="474">
          <cell r="A474" t="str">
            <v>Cây bơ mới trồng &lt; 01 năm (cây từ hạt)</v>
          </cell>
          <cell r="F474" t="str">
            <v>Cây bơ mới trồng &lt; 01 năm (cây từ hạt)</v>
          </cell>
        </row>
        <row r="475">
          <cell r="A475" t="str">
            <v>Cây bơ mới trồng &lt; 01 năm (cây ghép)</v>
          </cell>
          <cell r="F475" t="str">
            <v>Cây bơ mới trồng &lt; 01 năm (cây ghép)</v>
          </cell>
        </row>
        <row r="476">
          <cell r="A476" t="str">
            <v>Cây bơ ĐK thân ≤5 cm</v>
          </cell>
          <cell r="F476" t="str">
            <v>Cây bơ ĐK thân ≤5 cm</v>
          </cell>
        </row>
        <row r="477">
          <cell r="A477" t="str">
            <v>Cây bơ đường kính thân 5 cm &lt; ĐK thân ≤10 cm</v>
          </cell>
          <cell r="F477" t="str">
            <v>Cây bơ đường kính thân 5 cm &lt; ĐK thân ≤10 cm</v>
          </cell>
        </row>
        <row r="478">
          <cell r="A478" t="str">
            <v>Cây bơ đường kính thân 10 cm &lt; ĐK thân ≤15 cm</v>
          </cell>
          <cell r="F478" t="str">
            <v>Cây bơ đường kính thân 10 cm &lt; ĐK thân ≤15 cm</v>
          </cell>
        </row>
        <row r="479">
          <cell r="A479" t="str">
            <v>Cây bơ ĐK thân &gt; 15 cm</v>
          </cell>
          <cell r="F479" t="str">
            <v>Cây bơ ĐK thân &gt; 15 cm</v>
          </cell>
        </row>
        <row r="480">
          <cell r="A480" t="str">
            <v>Cây cóc</v>
          </cell>
          <cell r="F480" t="str">
            <v>Cây cóc</v>
          </cell>
        </row>
        <row r="481">
          <cell r="A481" t="str">
            <v>Cây cóc ĐK thân ≤5 cm</v>
          </cell>
          <cell r="F481" t="str">
            <v>Cây cóc ĐK thân ≤5 cm</v>
          </cell>
        </row>
        <row r="482">
          <cell r="A482" t="str">
            <v>Cây cóc đường kính thân 5 cm &lt; ĐK thân ≤10 cm</v>
          </cell>
          <cell r="F482" t="str">
            <v>Cây cóc đường kính thân 5 cm &lt; ĐK thân ≤10 cm</v>
          </cell>
        </row>
        <row r="483">
          <cell r="A483" t="str">
            <v>Cây cóc đường kính thân 10 cm &lt; ĐK thân ≤15 cm</v>
          </cell>
          <cell r="F483" t="str">
            <v>Cây cóc đường kính thân 10 cm &lt; ĐK thân ≤15 cm</v>
          </cell>
        </row>
        <row r="484">
          <cell r="A484" t="str">
            <v>Cây cóc đường kính thân 15 cm &lt; ĐK thân ≤20 cm</v>
          </cell>
          <cell r="F484" t="str">
            <v>Cây cóc đường kính thân 15 cm &lt; ĐK thân ≤20 cm</v>
          </cell>
        </row>
        <row r="485">
          <cell r="A485" t="str">
            <v>Cây cóc đường kính thân 20 cm &lt; ĐK thân ≤30 cm</v>
          </cell>
          <cell r="F485" t="str">
            <v>Cây cóc đường kính thân 20 cm &lt; ĐK thân ≤30 cm</v>
          </cell>
        </row>
        <row r="486">
          <cell r="A486" t="str">
            <v>Cây cóc đường kính thân 30 cm &lt; ĐK thân ≤40 cm</v>
          </cell>
          <cell r="F486" t="str">
            <v>Cây cóc đường kính thân 30 cm &lt; ĐK thân ≤40 cm</v>
          </cell>
        </row>
        <row r="487">
          <cell r="A487" t="str">
            <v>Cây cóc ĐK thân &gt; 40 cm</v>
          </cell>
          <cell r="F487" t="str">
            <v>Cây cóc ĐK thân &gt; 40 cm</v>
          </cell>
        </row>
        <row r="488">
          <cell r="A488" t="str">
            <v>Cây quất hồng bì</v>
          </cell>
          <cell r="F488" t="str">
            <v>Cây quất hồng bì</v>
          </cell>
        </row>
        <row r="489">
          <cell r="A489" t="str">
            <v>Cây quất hồng bì ĐK thân ≤5 cm</v>
          </cell>
          <cell r="F489" t="str">
            <v>Cây quất hồng bì ĐK thân ≤5 cm</v>
          </cell>
        </row>
        <row r="490">
          <cell r="A490" t="str">
            <v>Cây quất hồng bì đường kính thân 5 cm &lt; ĐK thân ≤10 cm</v>
          </cell>
          <cell r="F490" t="str">
            <v>Cây quất hồng bì đường kính thân 5 cm &lt; ĐK thân ≤10 cm</v>
          </cell>
        </row>
        <row r="491">
          <cell r="A491" t="str">
            <v>Cây quất hồng bì đường kính thân 10 cm &lt; ĐK thân ≤15 cm</v>
          </cell>
          <cell r="F491" t="str">
            <v>Cây quất hồng bì đường kính thân 10 cm &lt; ĐK thân ≤15 cm</v>
          </cell>
        </row>
        <row r="492">
          <cell r="A492" t="str">
            <v>Cây quất hồng bì đường kính thân 15 cm &lt; ĐK thân ≤20 cm</v>
          </cell>
          <cell r="F492" t="str">
            <v>Cây quất hồng bì đường kính thân 15 cm &lt; ĐK thân ≤20 cm</v>
          </cell>
        </row>
        <row r="493">
          <cell r="A493" t="str">
            <v>Cây quất hồng bì đường kính thân 20 cm &lt; ĐK thân ≤30 cm</v>
          </cell>
          <cell r="F493" t="str">
            <v>Cây quất hồng bì đường kính thân 20 cm &lt; ĐK thân ≤30 cm</v>
          </cell>
        </row>
        <row r="494">
          <cell r="A494" t="str">
            <v>Cây quất hồng bì đường kính thân 30 cm &lt; ĐK thân ≤40 cm</v>
          </cell>
          <cell r="F494" t="str">
            <v>Cây quất hồng bì đường kính thân 30 cm &lt; ĐK thân ≤40 cm</v>
          </cell>
        </row>
        <row r="495">
          <cell r="A495" t="str">
            <v>Cây quất hồng bì ĐK thân &gt; 40 cm</v>
          </cell>
          <cell r="F495" t="str">
            <v>Cây quất hồng bì ĐK thân &gt; 40 cm</v>
          </cell>
        </row>
        <row r="496">
          <cell r="A496" t="str">
            <v>Cây sung quả</v>
          </cell>
          <cell r="F496" t="str">
            <v>Cây sung quả</v>
          </cell>
        </row>
        <row r="497">
          <cell r="A497" t="str">
            <v>Cây sung quả Giống đủ tiêu chuẩn mới trồng, chiều cao cây H ≥ 40cm</v>
          </cell>
          <cell r="F497" t="str">
            <v>Cây sung quả Giống đủ tiêu chuẩn mới trồng, chiều cao cây H ≥ 40cm</v>
          </cell>
        </row>
        <row r="498">
          <cell r="A498" t="str">
            <v>Cây sung quả ĐK thân ≤5 cm</v>
          </cell>
          <cell r="F498" t="str">
            <v>Cây sung quả ĐK thân ≤5 cm</v>
          </cell>
        </row>
        <row r="499">
          <cell r="A499" t="str">
            <v>Cây sung quả đường kính thân 5 cm &lt; ĐK thân ≤10 cm</v>
          </cell>
          <cell r="F499" t="str">
            <v>Cây sung quả đường kính thân 5 cm &lt; ĐK thân ≤10 cm</v>
          </cell>
        </row>
        <row r="500">
          <cell r="A500" t="str">
            <v>Cây sung quả đường kính thân 10 cm &lt; ĐK thân ≤15 cm</v>
          </cell>
          <cell r="F500" t="str">
            <v>Cây sung quả đường kính thân 10 cm &lt; ĐK thân ≤15 cm</v>
          </cell>
        </row>
        <row r="501">
          <cell r="A501" t="str">
            <v>Cây sung quả đường kính thân 15 cm &lt; ĐK thân ≤25 cm</v>
          </cell>
          <cell r="F501" t="str">
            <v>Cây sung quả đường kính thân 15 cm &lt; ĐK thân ≤25 cm</v>
          </cell>
        </row>
        <row r="502">
          <cell r="A502" t="str">
            <v>Cây sung quả đường kính thân 25 cm &lt; ĐK thân ≤40 cm</v>
          </cell>
          <cell r="F502" t="str">
            <v>Cây sung quả đường kính thân 25 cm &lt; ĐK thân ≤40 cm</v>
          </cell>
        </row>
        <row r="503">
          <cell r="A503" t="str">
            <v>Cây sung quả ĐK thân &gt; 40 cm</v>
          </cell>
          <cell r="F503" t="str">
            <v>Cây sung quả ĐK thân &gt; 40 cm</v>
          </cell>
        </row>
        <row r="504">
          <cell r="A504" t="str">
            <v>Cây thị</v>
          </cell>
          <cell r="F504" t="str">
            <v>Cây thị</v>
          </cell>
        </row>
        <row r="505">
          <cell r="A505" t="str">
            <v>Cây thị ĐK thân ≤5 cm</v>
          </cell>
          <cell r="F505" t="str">
            <v>Cây thị ĐK thân ≤5 cm</v>
          </cell>
        </row>
        <row r="506">
          <cell r="A506" t="str">
            <v>Cây thị đường kính thân 5 cm &lt; ĐK thân ≤10 cm</v>
          </cell>
          <cell r="F506" t="str">
            <v>Cây thị đường kính thân 5 cm &lt; ĐK thân ≤10 cm</v>
          </cell>
        </row>
        <row r="507">
          <cell r="A507" t="str">
            <v>Cây thị đường kính thân 10 cm &lt; ĐK thân ≤15 cm</v>
          </cell>
          <cell r="F507" t="str">
            <v>Cây thị đường kính thân 10 cm &lt; ĐK thân ≤15 cm</v>
          </cell>
        </row>
        <row r="508">
          <cell r="A508" t="str">
            <v>Cây thị đường kính thân 15 cm &lt; ĐK thân ≤25 cm</v>
          </cell>
          <cell r="F508" t="str">
            <v>Cây thị đường kính thân 15 cm &lt; ĐK thân ≤25 cm</v>
          </cell>
        </row>
        <row r="509">
          <cell r="A509" t="str">
            <v>Cây thị đường kính thân 25 cm &lt; ĐK thân ≤35 cm</v>
          </cell>
          <cell r="F509" t="str">
            <v>Cây thị đường kính thân 25 cm &lt; ĐK thân ≤35 cm</v>
          </cell>
        </row>
        <row r="510">
          <cell r="A510" t="str">
            <v>Cây thị đường kính thân 35 cm &lt; ĐK thân ≤50 cm</v>
          </cell>
          <cell r="F510" t="str">
            <v>Cây thị đường kính thân 35 cm &lt; ĐK thân ≤50 cm</v>
          </cell>
        </row>
        <row r="511">
          <cell r="A511" t="str">
            <v>Cây thị ĐK thân &gt; 50 cm</v>
          </cell>
          <cell r="F511" t="str">
            <v>Cây thị ĐK thân &gt; 50 cm</v>
          </cell>
        </row>
        <row r="512">
          <cell r="A512" t="str">
            <v>Cây dâu da xoan</v>
          </cell>
          <cell r="F512" t="str">
            <v>Cây dâu da xoan</v>
          </cell>
        </row>
        <row r="513">
          <cell r="A513" t="str">
            <v>Cây dâu da xoan giống đủ tiêu chuẩn mới trồng, chiều cao cây H ≥ 40cm</v>
          </cell>
          <cell r="F513" t="str">
            <v>Cây dâu da xoan giống đủ tiêu chuẩn mới trồng, chiều cao cây H ≥ 40cm</v>
          </cell>
        </row>
        <row r="514">
          <cell r="A514" t="str">
            <v>Cây dâu da xoan ĐK thân ≤5 cm</v>
          </cell>
          <cell r="F514" t="str">
            <v>Cây dâu da xoan ĐK thân ≤5 cm</v>
          </cell>
        </row>
        <row r="515">
          <cell r="A515" t="str">
            <v>Cây dâu da xoan đường kính thân 5 cm &lt; ĐK thân ≤10 cm</v>
          </cell>
          <cell r="F515" t="str">
            <v>Cây dâu da xoan đường kính thân 5 cm &lt; ĐK thân ≤10 cm</v>
          </cell>
        </row>
        <row r="516">
          <cell r="A516" t="str">
            <v>Cây dâu da xoan đường kính thân 10 cm &lt; ĐK thân ≤15 cm</v>
          </cell>
          <cell r="F516" t="str">
            <v>Cây dâu da xoan đường kính thân 10 cm &lt; ĐK thân ≤15 cm</v>
          </cell>
        </row>
        <row r="517">
          <cell r="A517" t="str">
            <v>Cây dâu da xoan đường kính thân 15 cm &lt; ĐK thân ≤25 cm</v>
          </cell>
          <cell r="F517" t="str">
            <v>Cây dâu da xoan đường kính thân 15 cm &lt; ĐK thân ≤25 cm</v>
          </cell>
        </row>
        <row r="518">
          <cell r="A518" t="str">
            <v>Cây dâu da xoan đường kính thân 25 cm &lt; ĐK thân ≤40 cm</v>
          </cell>
          <cell r="F518" t="str">
            <v>Cây dâu da xoan đường kính thân 25 cm &lt; ĐK thân ≤40 cm</v>
          </cell>
        </row>
        <row r="519">
          <cell r="A519" t="str">
            <v>Cây dâu da xoan đường kính thân 40 cm &lt; ĐK thân ≤60 cm</v>
          </cell>
          <cell r="F519" t="str">
            <v>Cây dâu da xoan đường kính thân 40 cm &lt; ĐK thân ≤60 cm</v>
          </cell>
        </row>
        <row r="520">
          <cell r="A520" t="str">
            <v>Cây dâu da xoan ĐK thân &gt; 60 cm</v>
          </cell>
          <cell r="F520">
            <v>0</v>
          </cell>
        </row>
        <row r="521">
          <cell r="A521" t="str">
            <v>Cây dâu tằm lấy quả</v>
          </cell>
          <cell r="F521" t="str">
            <v>Cây dâu tằm lấy quả</v>
          </cell>
        </row>
        <row r="522">
          <cell r="A522" t="str">
            <v>Cây dâu tằm lấy quả Cây giống đủ tiêu chuẩn mới trồng</v>
          </cell>
          <cell r="F522" t="str">
            <v>Cây dâu tằm lấy quả Cây giống đủ tiêu chuẩn mới trồng</v>
          </cell>
        </row>
        <row r="523">
          <cell r="A523" t="str">
            <v>Cây dâu tằm lấy quả ĐK thân &lt; 2 cm</v>
          </cell>
          <cell r="F523" t="str">
            <v>Cây dâu tằm lấy quả ĐK thân &lt; 2 cm</v>
          </cell>
        </row>
        <row r="524">
          <cell r="A524" t="str">
            <v>Cây dâu tằm lấy quả đường kính thân 2 cm ≤  ĐK thân &lt;4 cm</v>
          </cell>
          <cell r="F524" t="str">
            <v>Cây dâu tằm lấy quả đường kính thân 2 cm ≤  ĐK thân &lt;4 cm</v>
          </cell>
        </row>
        <row r="525">
          <cell r="A525" t="str">
            <v>Cây dâu tằm lấy quả đường kính thân 4 cm ≤ ĐK thân &lt;6 cm</v>
          </cell>
          <cell r="F525" t="str">
            <v>Cây dâu tằm lấy quả đường kính thân 4 cm ≤ ĐK thân &lt;6 cm</v>
          </cell>
        </row>
        <row r="526">
          <cell r="A526" t="str">
            <v>Cây dâu tằm lấy quả đường kính thân 6 cm ≤ ĐK thân ≤10 cm</v>
          </cell>
          <cell r="F526" t="str">
            <v>Cây dâu tằm lấy quả đường kính thân 6 cm ≤ ĐK thân ≤10 cm</v>
          </cell>
        </row>
        <row r="527">
          <cell r="A527" t="str">
            <v>Cây dâu tằm lấy quả ĐK thân &gt; 10 cm</v>
          </cell>
          <cell r="F527" t="str">
            <v>Cây dâu tằm lấy quả ĐK thân &gt; 10 cm</v>
          </cell>
        </row>
        <row r="528">
          <cell r="A528" t="str">
            <v>Cây Hoa hồng trồng cắt cành</v>
          </cell>
          <cell r="F528" t="str">
            <v>Cây Hoa hồng trồng cắt cành</v>
          </cell>
        </row>
        <row r="529">
          <cell r="A529" t="str">
            <v>Cây Hoa hồng trồng cắt cành ĐK thân ≤1 cm</v>
          </cell>
          <cell r="F529" t="str">
            <v>Cây Hoa hồng trồng cắt cành ĐK thân ≤1 cm</v>
          </cell>
        </row>
        <row r="530">
          <cell r="A530" t="str">
            <v>Cây Hoa hồng trồng cắt cành đường kính thân 1 cm &lt; ĐK thân ≤2 cm</v>
          </cell>
          <cell r="F530" t="str">
            <v>Cây Hoa hồng trồng cắt cành đường kính thân 1 cm &lt; ĐK thân ≤2 cm</v>
          </cell>
        </row>
        <row r="531">
          <cell r="A531" t="str">
            <v>Cây Hoa hồng trồng cắt cành đường kính thân 2 cm &lt; ĐK thân ≤3 cm</v>
          </cell>
          <cell r="F531" t="str">
            <v>Cây Hoa hồng trồng cắt cành đường kính thân 2 cm &lt; ĐK thân ≤3 cm</v>
          </cell>
        </row>
        <row r="532">
          <cell r="A532" t="str">
            <v>Cây Hoa hồng trồng cắt cành đường kính thân 3 cm &lt; ĐK thân ≤5 cm</v>
          </cell>
          <cell r="F532" t="str">
            <v>Cây Hoa hồng trồng cắt cành đường kính thân 3 cm &lt; ĐK thân ≤5 cm</v>
          </cell>
        </row>
        <row r="533">
          <cell r="A533" t="str">
            <v>Cây Hoa hồng trồng cắt cành ĐK thân &gt; 5 cm</v>
          </cell>
          <cell r="F533" t="str">
            <v>Cây Hoa hồng trồng cắt cành ĐK thân &gt; 5 cm</v>
          </cell>
        </row>
        <row r="534">
          <cell r="A534" t="str">
            <v>Cây lê</v>
          </cell>
          <cell r="F534" t="str">
            <v>Cây lê</v>
          </cell>
        </row>
        <row r="535">
          <cell r="A535" t="str">
            <v>Cây lê giống mới trồng</v>
          </cell>
          <cell r="F535" t="str">
            <v>Cây lê giống mới trồng</v>
          </cell>
        </row>
        <row r="536">
          <cell r="A536" t="str">
            <v>Cây lê ĐK thân ≤5 cm</v>
          </cell>
          <cell r="F536" t="str">
            <v>Cây lê ĐK thân ≤5 cm</v>
          </cell>
        </row>
        <row r="537">
          <cell r="A537" t="str">
            <v>Cây lê đường kính thân 5 cm &lt; ĐK thân ≤7 cm</v>
          </cell>
          <cell r="F537" t="str">
            <v>Cây lê đường kính thân 5 cm &lt; ĐK thân ≤7 cm</v>
          </cell>
        </row>
        <row r="538">
          <cell r="A538" t="str">
            <v>Cây lê đường kính thân 7 cm &lt; ĐK thân ≤11 cm</v>
          </cell>
          <cell r="F538" t="str">
            <v>Cây lê đường kính thân 7 cm &lt; ĐK thân ≤11 cm</v>
          </cell>
        </row>
        <row r="539">
          <cell r="A539" t="str">
            <v>Cây lê đường kính thân 11 cm &lt; ĐK thân ≤15 cm</v>
          </cell>
          <cell r="F539" t="str">
            <v>Cây lê đường kính thân 11 cm &lt; ĐK thân ≤15 cm</v>
          </cell>
        </row>
        <row r="540">
          <cell r="A540" t="str">
            <v>Cây lê đường kính thân 15 cm &lt; ĐK thân ≤20 cm</v>
          </cell>
          <cell r="F540" t="str">
            <v>Cây lê đường kính thân 15 cm &lt; ĐK thân ≤20 cm</v>
          </cell>
        </row>
        <row r="541">
          <cell r="A541" t="str">
            <v>Cây lê đường kính thân 20 cm &lt; ĐK thân ≤25 cm</v>
          </cell>
          <cell r="F541" t="str">
            <v>Cây lê đường kính thân 20 cm &lt; ĐK thân ≤25 cm</v>
          </cell>
        </row>
        <row r="542">
          <cell r="A542" t="str">
            <v>Cây lê ĐK thân &gt; 25 cm</v>
          </cell>
          <cell r="F542" t="str">
            <v>Cây lê ĐK thân &gt; 25 cm</v>
          </cell>
        </row>
        <row r="543">
          <cell r="A543" t="str">
            <v>Nho thân gỗ</v>
          </cell>
          <cell r="F543" t="str">
            <v>Cây đào cảnh chiều cao cây H &gt; 200 cm</v>
          </cell>
        </row>
        <row r="544">
          <cell r="A544" t="str">
            <v>Nho thân gỗ ĐK thân ≤5 cm</v>
          </cell>
          <cell r="F544" t="str">
            <v>Nho thân gỗ ĐK thân ≤5 cm</v>
          </cell>
        </row>
        <row r="545">
          <cell r="A545" t="str">
            <v>Nho thân gỗ đường kính thân 5 cm &lt; ĐK thân ≤10 cm</v>
          </cell>
          <cell r="F545" t="str">
            <v>Nho thân gỗ đường kính thân 5 cm &lt; ĐK thân ≤10 cm</v>
          </cell>
        </row>
        <row r="546">
          <cell r="A546" t="str">
            <v>Nho thân gỗ đường kính thân 10 cm &lt; ĐK thân  ≤15 cm</v>
          </cell>
          <cell r="F546" t="str">
            <v>Nho thân gỗ đường kính thân 10 cm &lt; ĐK thân  ≤15 cm</v>
          </cell>
        </row>
        <row r="547">
          <cell r="A547" t="str">
            <v>Nho thân gỗ đường kính thân 15 cm &lt; ĐK thân ≤25 cm</v>
          </cell>
          <cell r="F547" t="str">
            <v>Nho thân gỗ đường kính thân 15 cm &lt; ĐK thân ≤25 cm</v>
          </cell>
        </row>
        <row r="548">
          <cell r="A548" t="str">
            <v>Nho thân gỗ ĐK thân &gt; 25 cm</v>
          </cell>
          <cell r="F548" t="str">
            <v>Nho thân gỗ ĐK thân &gt; 25 cm</v>
          </cell>
        </row>
        <row r="549">
          <cell r="A549" t="str">
            <v>Cây mãng cầu</v>
          </cell>
          <cell r="F549" t="str">
            <v>Cây mãng cầu</v>
          </cell>
        </row>
        <row r="550">
          <cell r="A550" t="str">
            <v>Cây mãng cầu mới trồng &lt;01 năm (cây từ hạt)</v>
          </cell>
          <cell r="F550" t="str">
            <v>Cây mãng cầu mới trồng &lt;01 năm (cây từ hạt)</v>
          </cell>
        </row>
        <row r="551">
          <cell r="A551" t="str">
            <v>Cây mãng cầu mới trồng &lt; 01 năm (cây ghép)</v>
          </cell>
          <cell r="F551" t="str">
            <v>Cây mãng cầu mới trồng &lt; 01 năm (cây ghép)</v>
          </cell>
        </row>
        <row r="552">
          <cell r="A552" t="str">
            <v>Cây mãng cầu ĐK thân ≤5 cm</v>
          </cell>
          <cell r="F552" t="str">
            <v>Cây mãng cầu ĐK thân ≤5 cm</v>
          </cell>
        </row>
        <row r="553">
          <cell r="A553" t="str">
            <v>Cây mãng cầu đường kính thân 3 cm &lt; ĐK thân ≤5 cm</v>
          </cell>
          <cell r="F553" t="str">
            <v>Cây mãng cầu đường kính thân 3 cm &lt; ĐK thân ≤5 cm</v>
          </cell>
        </row>
        <row r="554">
          <cell r="A554" t="str">
            <v>Cây mãng cầu đường kính thân 5 cm &lt; ĐK thân ≤7 cm</v>
          </cell>
          <cell r="F554" t="str">
            <v>Cây mãng cầu đường kính thân 5 cm &lt; ĐK thân ≤7 cm</v>
          </cell>
        </row>
        <row r="555">
          <cell r="A555" t="str">
            <v>Cây mãng cầu đường kính thân 7 cm &lt; ĐK thân ≤10 cm</v>
          </cell>
          <cell r="F555" t="str">
            <v>Cây mãng cầu đường kính thân 7 cm &lt; ĐK thân ≤10 cm</v>
          </cell>
        </row>
        <row r="556">
          <cell r="A556" t="str">
            <v>Cây mãng cầu ĐK thân &gt; 10 cm</v>
          </cell>
          <cell r="F556" t="str">
            <v>Cây mãng cầu ĐK thân &gt; 10 cm</v>
          </cell>
        </row>
        <row r="557">
          <cell r="A557" t="str">
            <v>Cây sa kê</v>
          </cell>
          <cell r="F557" t="str">
            <v>Cây sa kê</v>
          </cell>
        </row>
        <row r="558">
          <cell r="A558" t="str">
            <v>Cây sa kê mới trồng &lt;01 năm (cây từ hạt)</v>
          </cell>
          <cell r="F558" t="str">
            <v>Cây sa kê mới trồng &lt;01 năm (cây từ hạt)</v>
          </cell>
        </row>
        <row r="559">
          <cell r="A559" t="str">
            <v>Cây sa kê mới trồng &lt; 01 năm (cây ghép)</v>
          </cell>
          <cell r="F559" t="str">
            <v>Cây sa kê mới trồng &lt; 01 năm (cây ghép)</v>
          </cell>
        </row>
        <row r="560">
          <cell r="A560" t="str">
            <v>Cây sa kê ĐK thân ≤5 cm</v>
          </cell>
          <cell r="F560" t="str">
            <v>Cây sa kê ĐK thân ≤5 cm</v>
          </cell>
        </row>
        <row r="561">
          <cell r="A561" t="str">
            <v>Cây sa kê đường kính thân 3 cm &lt; ĐK thân ≤5 cm</v>
          </cell>
          <cell r="F561" t="str">
            <v>Cây sa kê đường kính thân 3 cm &lt; ĐK thân ≤5 cm</v>
          </cell>
        </row>
        <row r="562">
          <cell r="A562" t="str">
            <v>Cây sa kê đường kính thân 5 cm &lt; ĐK thân ≤7 cm</v>
          </cell>
          <cell r="F562" t="str">
            <v>Cây sa kê đường kính thân 5 cm &lt; ĐK thân ≤7 cm</v>
          </cell>
        </row>
        <row r="563">
          <cell r="A563" t="str">
            <v>Cây sa kê đường kính thân 7 cm &lt; ĐK thân ≤10 cm</v>
          </cell>
          <cell r="F563" t="str">
            <v>Cây sa kê đường kính thân 7 cm &lt; ĐK thân ≤10 cm</v>
          </cell>
        </row>
        <row r="564">
          <cell r="A564" t="str">
            <v>Cây sa kê ĐK thân &gt; 10 cm</v>
          </cell>
          <cell r="F564" t="str">
            <v>Cây sa kê ĐK thân &gt; 10 cm</v>
          </cell>
        </row>
        <row r="565">
          <cell r="A565" t="str">
            <v>Cây phật thủ</v>
          </cell>
          <cell r="F565" t="str">
            <v>Cây sa kê</v>
          </cell>
        </row>
        <row r="566">
          <cell r="A566" t="str">
            <v>Cây phật thủ ĐK thân ≤5 cm</v>
          </cell>
          <cell r="F566" t="str">
            <v>Cây phật thủ ĐK thân ≤5 cm</v>
          </cell>
        </row>
        <row r="567">
          <cell r="A567" t="str">
            <v>Cây phật thủ đường kính thân 5 cm &lt; ĐK thân ≤10 cm</v>
          </cell>
          <cell r="F567" t="str">
            <v>Cây phật thủ đường kính thân 5 cm &lt; ĐK thân ≤10 cm</v>
          </cell>
        </row>
        <row r="568">
          <cell r="A568" t="str">
            <v>Cây phật thủ đường kính thân 10 cm &lt; ĐK thân ≤15 cm</v>
          </cell>
          <cell r="F568" t="str">
            <v>Cây phật thủ đường kính thân 10 cm &lt; ĐK thân ≤15 cm</v>
          </cell>
        </row>
        <row r="569">
          <cell r="A569" t="str">
            <v>Cây phật thủ đường kính thân 15 cm &lt; ĐK thân ≤20 cm</v>
          </cell>
          <cell r="F569" t="str">
            <v>Cây phật thủ đường kính thân 15 cm &lt; ĐK thân ≤20 cm</v>
          </cell>
        </row>
        <row r="570">
          <cell r="A570" t="str">
            <v>Cây phật thủ đường kính thân 20 cm &lt; ĐK thân ≤30 cm</v>
          </cell>
          <cell r="F570" t="str">
            <v>Cây phật thủ đường kính thân 20 cm &lt; ĐK thân ≤30 cm</v>
          </cell>
        </row>
        <row r="571">
          <cell r="A571" t="str">
            <v>Cây phật thủ ĐK thân &gt;30 cm</v>
          </cell>
          <cell r="F571" t="str">
            <v>Cây phật thủ ĐK thân &gt;30 cm</v>
          </cell>
        </row>
        <row r="572">
          <cell r="A572" t="str">
            <v>Cây đào tiên</v>
          </cell>
          <cell r="F572">
            <v>0</v>
          </cell>
        </row>
        <row r="573">
          <cell r="A573" t="str">
            <v>Cây đào tiên giống Loại cây ghép có chiều cao cây 40cm &lt; H ≤ 1m</v>
          </cell>
          <cell r="F573">
            <v>0</v>
          </cell>
        </row>
        <row r="574">
          <cell r="A574" t="str">
            <v>Cây đào tiên giống Loại cây ghép có chiêu cao cây H ≥ 1m</v>
          </cell>
          <cell r="F574" t="str">
            <v>Cây đào tiên giống Loại cây ghép có chiêu cao cây H ≥ 1m</v>
          </cell>
        </row>
        <row r="575">
          <cell r="A575" t="str">
            <v>Cây đào tiên giống Loại cây chiết cành có chiều cao cây 40cm ≤ H&lt; 1m</v>
          </cell>
          <cell r="F575" t="str">
            <v>Cây đào tiên giống Loại cây chiết cành có chiều cao cây 40cm ≤ H&lt; 1m</v>
          </cell>
        </row>
        <row r="576">
          <cell r="A576" t="str">
            <v>Cây đào tiên giống Loại cây chiết cành có chiều cao cây H ≥ 1m</v>
          </cell>
          <cell r="F576" t="str">
            <v>Cây đào tiên giống Loại cây chiết cành có chiều cao cây H ≥ 1m</v>
          </cell>
        </row>
        <row r="577">
          <cell r="A577" t="str">
            <v>Cây đào tiên đường kính thân 2 cm &lt; ĐK thân ≤5 cm</v>
          </cell>
          <cell r="F577" t="str">
            <v>Cây đào tiên đường kính thân 2 cm &lt; ĐK thân ≤5 cm</v>
          </cell>
        </row>
        <row r="578">
          <cell r="A578" t="str">
            <v>Cây đào tiên đường kính thân 5 cm &lt; ĐK thân ≤10 cm</v>
          </cell>
          <cell r="F578" t="str">
            <v>Cây đào tiên đường kính thân 5 cm &lt; ĐK thân ≤10 cm</v>
          </cell>
        </row>
        <row r="579">
          <cell r="A579" t="str">
            <v>Cây đào tiên đường kính thân 10cm &lt;ĐKthân≤20 cm</v>
          </cell>
          <cell r="F579" t="str">
            <v>Cây đào tiên đường kính thân 10cm &lt;ĐKthân≤20 cm</v>
          </cell>
        </row>
        <row r="580">
          <cell r="A580" t="str">
            <v>Cây đào tiên ĐK thân &gt;20 cm</v>
          </cell>
          <cell r="F580" t="str">
            <v>Cây đào tiên ĐK thân &gt;20 cm</v>
          </cell>
        </row>
        <row r="581">
          <cell r="A581" t="str">
            <v>Cây hoa sữa</v>
          </cell>
          <cell r="F581" t="str">
            <v>Cây hoa sữa</v>
          </cell>
        </row>
        <row r="582">
          <cell r="A582" t="str">
            <v>Cây hoa sữa giống mới trồng</v>
          </cell>
          <cell r="F582" t="str">
            <v>Cây hoa sữa giống mới trồng</v>
          </cell>
        </row>
        <row r="583">
          <cell r="A583" t="str">
            <v>Cây hoa sữa đường kính thân 2 cm &lt; ĐK thân ≤5 cm</v>
          </cell>
          <cell r="F583" t="str">
            <v>Cây hoa sữa đường kính thân 2 cm &lt; ĐK thân ≤5 cm</v>
          </cell>
        </row>
        <row r="584">
          <cell r="A584" t="str">
            <v>Cây hoa sữa đường kính thân 5 cm &lt; ĐK thân ≤10 cm</v>
          </cell>
          <cell r="F584" t="str">
            <v>Cây đào tiên giống Loại cây ghép có chiều cao cây 40cm &lt; H ≤ 1m</v>
          </cell>
        </row>
        <row r="585">
          <cell r="A585" t="str">
            <v>Cây hoa sữa đường kính thân 10 cm &lt; ĐK thân ≤15 cm</v>
          </cell>
          <cell r="F585" t="str">
            <v>Cây hoa sữa đường kính thân 10 cm &lt; ĐK thân ≤15 cm</v>
          </cell>
        </row>
        <row r="586">
          <cell r="A586" t="str">
            <v>Cây hoa sữa đường kính thân 15 cm &lt; ĐK thân ≤25 cm</v>
          </cell>
          <cell r="F586" t="str">
            <v>Cây hoa sữa đường kính thân 15 cm &lt; ĐK thân ≤25 cm</v>
          </cell>
        </row>
        <row r="587">
          <cell r="A587" t="str">
            <v>Cây hoa sữa đường kính thân 25 cm &lt; ĐK thân ≤40 cm</v>
          </cell>
          <cell r="F587" t="str">
            <v>Cây hoa sữa đường kính thân 25 cm &lt; ĐK thân ≤40 cm</v>
          </cell>
        </row>
        <row r="588">
          <cell r="A588" t="str">
            <v>Cây hoa sữa ĐK thân &gt; 40 cm</v>
          </cell>
          <cell r="F588" t="str">
            <v>Cây hoa sữa ĐK thân &gt; 40 cm</v>
          </cell>
        </row>
        <row r="589">
          <cell r="A589" t="str">
            <v>Cây hoa gạo</v>
          </cell>
          <cell r="F589" t="str">
            <v>Cây hoa gạo</v>
          </cell>
        </row>
        <row r="590">
          <cell r="A590" t="str">
            <v>Cây hoa gạo giống mới trồng</v>
          </cell>
          <cell r="F590" t="str">
            <v>Cây hoa gạo giống mới trồng</v>
          </cell>
        </row>
        <row r="591">
          <cell r="A591" t="str">
            <v>Cây hoa gạo đường kính thân 2 cm &lt; ĐK thân ≤5 cm</v>
          </cell>
          <cell r="F591" t="str">
            <v>Cây hoa gạo đường kính thân 2 cm &lt; ĐK thân ≤5 cm</v>
          </cell>
        </row>
        <row r="592">
          <cell r="A592" t="str">
            <v>Cây hoa gạo đường kính thân 5 cm &lt; ĐK thân ≤10 cm</v>
          </cell>
          <cell r="F592" t="str">
            <v>Cây hoa sữa</v>
          </cell>
        </row>
        <row r="593">
          <cell r="A593" t="str">
            <v>Cây hoa gạo đường kính thân 10 cm &lt; ĐK thân ≤15 cm</v>
          </cell>
          <cell r="F593" t="str">
            <v>Cây hoa gạo đường kính thân 10 cm &lt; ĐK thân ≤15 cm</v>
          </cell>
        </row>
        <row r="594">
          <cell r="A594" t="str">
            <v>Cây hoa gạo đường kính thân 15 cm &lt; ĐK thân ≤25 cm</v>
          </cell>
          <cell r="F594" t="str">
            <v>Cây hoa gạo đường kính thân 15 cm &lt; ĐK thân ≤25 cm</v>
          </cell>
        </row>
        <row r="595">
          <cell r="A595" t="str">
            <v>Cây hoa gạo đường kính thân 25 cm &lt; ĐK thân ≤40 cm</v>
          </cell>
          <cell r="F595" t="str">
            <v>Cây hoa gạo đường kính thân 25 cm &lt; ĐK thân ≤40 cm</v>
          </cell>
        </row>
        <row r="596">
          <cell r="A596" t="str">
            <v>Cây hoa gạo ĐK thân &gt; 40 cm</v>
          </cell>
          <cell r="F596" t="str">
            <v>Cây hoa gạo ĐK thân &gt; 40 cm</v>
          </cell>
        </row>
        <row r="597">
          <cell r="A597" t="str">
            <v>Cây hoa đại</v>
          </cell>
          <cell r="F597" t="str">
            <v>Cây hoa gạo</v>
          </cell>
        </row>
        <row r="598">
          <cell r="A598" t="str">
            <v>Cây hoa đại Cây giống mới trồng</v>
          </cell>
          <cell r="F598" t="str">
            <v>Cây hoa đại Cây giống mới trồng</v>
          </cell>
        </row>
        <row r="599">
          <cell r="A599" t="str">
            <v>Cây hoa đại đường kính thân 2 cm &lt; ĐK thân ≤5 cm</v>
          </cell>
          <cell r="F599" t="str">
            <v>Cây hoa đại đường kính thân 2 cm &lt; ĐK thân ≤5 cm</v>
          </cell>
        </row>
        <row r="600">
          <cell r="A600" t="str">
            <v>Cây hoa đại đường kính thân 5 cm &lt; ĐK thân ≤10 cm</v>
          </cell>
          <cell r="F600" t="str">
            <v>Cây hoa đại đường kính thân 5 cm &lt; ĐK thân ≤10 cm</v>
          </cell>
        </row>
        <row r="601">
          <cell r="A601" t="str">
            <v>Cây hoa đại đường kính thân 10 cm &lt; ĐK thân ≤15 cm</v>
          </cell>
          <cell r="F601" t="str">
            <v>Cây hoa đại đường kính thân 10 cm &lt; ĐK thân ≤15 cm</v>
          </cell>
        </row>
        <row r="602">
          <cell r="A602" t="str">
            <v>Cây hoa đại đường kính thân 15 cm &lt; ĐK thân ≤25 cm</v>
          </cell>
          <cell r="F602">
            <v>0</v>
          </cell>
        </row>
        <row r="603">
          <cell r="A603" t="str">
            <v>Cây hoa đại đường kính thân 25 cm &lt; ĐK thân ≤40 cm</v>
          </cell>
          <cell r="F603" t="str">
            <v>Cây hoa sữa đường kính thân 5 cm &lt; ĐK thân ≤10 cm</v>
          </cell>
        </row>
        <row r="604">
          <cell r="A604" t="str">
            <v>Cây hoa đại ĐK thân &gt; 40 cm</v>
          </cell>
          <cell r="F604" t="str">
            <v>Cây hoa đại ĐK thân &gt; 40 cm</v>
          </cell>
        </row>
        <row r="605">
          <cell r="A605" t="str">
            <v>Cây hoa ban</v>
          </cell>
          <cell r="F605" t="str">
            <v>Cây hoa ban</v>
          </cell>
        </row>
        <row r="606">
          <cell r="A606" t="str">
            <v>Cây hoa ban Cây giống mới trồng</v>
          </cell>
          <cell r="F606" t="str">
            <v>Cây hoa ban Cây giống mới trồng</v>
          </cell>
        </row>
        <row r="607">
          <cell r="A607" t="str">
            <v>Cây hoa ban đường kính thân 2 cm &lt; ĐK thân ≤5 cm</v>
          </cell>
          <cell r="F607" t="str">
            <v>Cây hoa ban đường kính thân 2 cm &lt; ĐK thân ≤5 cm</v>
          </cell>
        </row>
        <row r="608">
          <cell r="A608" t="str">
            <v>Cây hoa ban đường kính thân 5 cm &lt; ĐK thân ≤10 cm</v>
          </cell>
          <cell r="F608" t="str">
            <v>Cây hoa ban đường kính thân 5 cm &lt; ĐK thân ≤10 cm</v>
          </cell>
        </row>
        <row r="609">
          <cell r="A609" t="str">
            <v>Cây hoa ban đường kính thân 10 cm &lt; ĐK thân ≤15 cm</v>
          </cell>
          <cell r="F609" t="str">
            <v>Cây hoa ban đường kính thân 10 cm &lt; ĐK thân ≤15 cm</v>
          </cell>
        </row>
        <row r="610">
          <cell r="A610" t="str">
            <v>Cây hoa ban đường kính thân 15 cm &lt; ĐK thân ≤25 cm</v>
          </cell>
          <cell r="F610" t="str">
            <v>Cây hoa ban đường kính thân 15 cm &lt; ĐK thân ≤25 cm</v>
          </cell>
        </row>
        <row r="611">
          <cell r="A611" t="str">
            <v>Cây hoa ban đường kính thân 25 cm &lt; ĐK thân ≤40 cm</v>
          </cell>
          <cell r="F611" t="str">
            <v>Cây hoa ban đường kính thân 25 cm &lt; ĐK thân ≤40 cm</v>
          </cell>
        </row>
        <row r="612">
          <cell r="A612" t="str">
            <v>Cây hoa ban ĐK thân &gt;40 cm</v>
          </cell>
          <cell r="F612" t="str">
            <v>Cây hoa ban ĐK thân &gt;40 cm</v>
          </cell>
        </row>
        <row r="613">
          <cell r="A613" t="str">
            <v>Cây móng bò</v>
          </cell>
          <cell r="F613" t="str">
            <v>Cây móng bò</v>
          </cell>
        </row>
        <row r="614">
          <cell r="A614" t="str">
            <v>Cây móng bò Cây giống mới trồng</v>
          </cell>
          <cell r="F614" t="str">
            <v>Cây móng bò Cây giống mới trồng</v>
          </cell>
        </row>
        <row r="615">
          <cell r="A615" t="str">
            <v>Cây móng bò đường kính thân 2 cm &lt; ĐK thân ≤5 cm</v>
          </cell>
          <cell r="F615" t="str">
            <v>Cây móng bò đường kính thân 2 cm &lt; ĐK thân ≤5 cm</v>
          </cell>
        </row>
        <row r="616">
          <cell r="A616" t="str">
            <v>Cây móng bò đường kính thân 5 cm &lt; ĐK thân ≤10 cm</v>
          </cell>
          <cell r="F616" t="str">
            <v>Cây móng bò đường kính thân 5 cm &lt; ĐK thân ≤10 cm</v>
          </cell>
        </row>
        <row r="617">
          <cell r="A617" t="str">
            <v>Cây móng bò đường kính thân 10 cm &lt; ĐK thân ≤15 cm</v>
          </cell>
          <cell r="F617" t="str">
            <v>Cây móng bò đường kính thân 10 cm &lt; ĐK thân ≤15 cm</v>
          </cell>
        </row>
        <row r="618">
          <cell r="A618" t="str">
            <v>Cây móng bò đường kính thân 15 cm &lt; ĐK thân ≤25 cm</v>
          </cell>
          <cell r="F618" t="str">
            <v>Cây móng bò đường kính thân 15 cm &lt; ĐK thân ≤25 cm</v>
          </cell>
        </row>
        <row r="619">
          <cell r="A619" t="str">
            <v>Cây móng bò đường kính thân 25 cm &lt; ĐK thân ≤40 cm</v>
          </cell>
          <cell r="F619" t="str">
            <v>Cây móng bò đường kính thân 25 cm &lt; ĐK thân ≤40 cm</v>
          </cell>
        </row>
        <row r="620">
          <cell r="A620" t="str">
            <v>Cây móng bò ĐK thân &gt;40 cm</v>
          </cell>
          <cell r="F620" t="str">
            <v>Cây móng bò ĐK thân &gt;40 cm</v>
          </cell>
        </row>
        <row r="621">
          <cell r="A621" t="str">
            <v>Cây phượng vĩ (bằng lăng, muồng, lim xẹt)</v>
          </cell>
          <cell r="F621" t="str">
            <v>Cây móng bò</v>
          </cell>
        </row>
        <row r="622">
          <cell r="A622" t="str">
            <v>Cây phượng vĩ (bằng lăng, muồng, lim xẹt) Cây giống mới trồng</v>
          </cell>
          <cell r="F622" t="str">
            <v>Cây phượng vĩ (bằng lăng, muồng, lim xẹt) Cây giống mới trồng</v>
          </cell>
        </row>
        <row r="623">
          <cell r="A623" t="str">
            <v>Cây phượng vĩ (bằng lăng, muồng, lim xẹt) đường kính thân 2 cm &lt; ĐK thân ≤5 cm</v>
          </cell>
          <cell r="F623">
            <v>0</v>
          </cell>
        </row>
        <row r="624">
          <cell r="A624" t="str">
            <v>Cây phượng vĩ (bằng lăng, muồng, lim xẹt) đường kính thân 5 cm &lt; ĐK thân ≤10 cm</v>
          </cell>
          <cell r="F624" t="str">
            <v>Cây phượng vĩ (bằng lăng, muồng, lim xẹt) đường kính thân 5 cm &lt; ĐK thân ≤10 cm</v>
          </cell>
        </row>
        <row r="625">
          <cell r="A625" t="str">
            <v>Cây phượng vĩ (bằng lăng, muồng, lim xẹt) đường kính thân 10 cm &lt; ĐK thân ≤15 cm</v>
          </cell>
          <cell r="F625" t="str">
            <v>Cây phượng vĩ (bằng lăng, muồng, lim xẹt) đường kính thân 10 cm &lt; ĐK thân ≤15 cm</v>
          </cell>
        </row>
        <row r="626">
          <cell r="A626" t="str">
            <v>Cây phượng vĩ (bằng lăng, muồng, lim xẹt) đường kính thân 15 cm &lt; ĐK thân ≤25 cm</v>
          </cell>
          <cell r="F626" t="str">
            <v>Cây phượng vĩ (bằng lăng, muồng, lim xẹt) đường kính thân 15 cm &lt; ĐK thân ≤25 cm</v>
          </cell>
        </row>
        <row r="627">
          <cell r="A627" t="str">
            <v>Cây phượng vĩ (bằng lăng, muồng, lim xẹt) đường kính thân 25 cm &lt; ĐK thân ≤40 cm</v>
          </cell>
          <cell r="F627" t="str">
            <v>Cây phượng vĩ (bằng lăng, muồng, lim xẹt) đường kính thân 25 cm &lt; ĐK thân ≤40 cm</v>
          </cell>
        </row>
        <row r="628">
          <cell r="A628" t="str">
            <v>Cây phượng vĩ (bằng lăng, muồng, lim xẹt) đường kính thân 40 cm &lt; ĐK thân ≤60 cm</v>
          </cell>
          <cell r="F628" t="str">
            <v>Cây phượng vĩ (bằng lăng, muồng, lim xẹt) đường kính thân 40 cm &lt; ĐK thân ≤60 cm</v>
          </cell>
        </row>
        <row r="629">
          <cell r="A629" t="str">
            <v>Cây phượng vĩ (bằng lăng, muồng, lim xẹt) ĐK thân &gt; 60 cm</v>
          </cell>
          <cell r="F629" t="str">
            <v>Cây phượng vĩ (bằng lăng, muồng, lim xẹt) ĐK thân &gt; 60 cm</v>
          </cell>
        </row>
        <row r="630">
          <cell r="A630" t="str">
            <v>Cây long não, bồ đề</v>
          </cell>
          <cell r="F630" t="str">
            <v>Cây long não, bồ đề</v>
          </cell>
        </row>
        <row r="631">
          <cell r="A631" t="str">
            <v>Cây long não, bồ đề Giống đủ tiêu chuẩn mới trồng, chiều cao cây H ≤40cm</v>
          </cell>
          <cell r="F631" t="str">
            <v>Cây long não, bồ đề Giống đủ tiêu chuẩn mới trồng, chiều cao cây H ≤40cm</v>
          </cell>
        </row>
        <row r="632">
          <cell r="A632" t="str">
            <v>Cây long não, bồ đề đường kính gốc 1cm &lt; ĐK gốc &lt; 3cm</v>
          </cell>
          <cell r="F632" t="str">
            <v>Cây long não, bồ đề đường kính gốc 1cm &lt; ĐK gốc &lt; 3cm</v>
          </cell>
        </row>
        <row r="633">
          <cell r="A633" t="str">
            <v>Cây long não, bồ đề đường kính gốc 3 cm ≤ ĐK gốc &lt; 5 cm</v>
          </cell>
          <cell r="F633" t="str">
            <v>Cây long não, bồ đề đường kính gốc 3 cm ≤ ĐK gốc &lt; 5 cm</v>
          </cell>
        </row>
        <row r="634">
          <cell r="A634" t="str">
            <v>Cây long não, bồ đề đường kính gốc 5cm ≤ ĐK gốc &lt; 10cm</v>
          </cell>
          <cell r="F634" t="str">
            <v>Cây long não, bồ đề đường kính gốc 5cm ≤ ĐK gốc &lt; 10cm</v>
          </cell>
        </row>
        <row r="635">
          <cell r="A635" t="str">
            <v>Cây long não, bồ đề đường kính gốc 10cm ≤ ĐK gốc &lt; 15cm</v>
          </cell>
          <cell r="F635" t="str">
            <v>Cây long não, bồ đề đường kính gốc 10cm ≤ ĐK gốc &lt; 15cm</v>
          </cell>
        </row>
        <row r="636">
          <cell r="A636" t="str">
            <v>Cây long não, bồ đề đường kính gốc 15cm ≤ ĐK gôc &lt; 20cm</v>
          </cell>
          <cell r="F636" t="str">
            <v>Cây long não, bồ đề đường kính gốc 15cm ≤ ĐK gôc &lt; 20cm</v>
          </cell>
        </row>
        <row r="637">
          <cell r="A637" t="str">
            <v>Cây long não, bồ đề đường kính gốc 20cm ≤ ĐK gốc &lt; 30cm</v>
          </cell>
          <cell r="F637" t="str">
            <v>Cây long não, bồ đề đường kính gốc 20cm ≤ ĐK gốc &lt; 30cm</v>
          </cell>
        </row>
        <row r="638">
          <cell r="A638" t="str">
            <v>Cây long não, bồ đề đường kính gốc 30cm ≤ ĐK gốc &lt; 40cm</v>
          </cell>
          <cell r="F638" t="str">
            <v>Cây long não, bồ đề đường kính gốc 30cm ≤ ĐK gốc &lt; 40cm</v>
          </cell>
        </row>
        <row r="639">
          <cell r="A639" t="str">
            <v>Cây long não, bồ đề ĐK gốc ≥ 40cm</v>
          </cell>
          <cell r="F639" t="str">
            <v>Cây long não, bồ đề ĐK gốc ≥ 40cm</v>
          </cell>
        </row>
        <row r="640">
          <cell r="A640" t="str">
            <v>Sao đen</v>
          </cell>
          <cell r="F640" t="str">
            <v>Sao đen</v>
          </cell>
        </row>
        <row r="641">
          <cell r="A641" t="str">
            <v>Sao đen đường kính gốc 1 cm ≤ ĐK gốc &lt; 3cm</v>
          </cell>
          <cell r="F641" t="str">
            <v>Sao đen đường kính gốc 1 cm ≤ ĐK gốc &lt; 3cm</v>
          </cell>
        </row>
        <row r="642">
          <cell r="A642" t="str">
            <v>Sao đen đường kính gốc 3 cm ≤ ĐK gốc &lt; 5cm</v>
          </cell>
          <cell r="F642" t="str">
            <v>Sao đen đường kính gốc 3 cm ≤ ĐK gốc &lt; 5cm</v>
          </cell>
        </row>
        <row r="643">
          <cell r="A643" t="str">
            <v>Sao đen đường kính gốc 5cm ≤ ĐK gốc &lt; 7cm</v>
          </cell>
          <cell r="F643" t="str">
            <v>Sao đen đường kính gốc 5cm ≤ ĐK gốc &lt; 7cm</v>
          </cell>
        </row>
        <row r="644">
          <cell r="A644" t="str">
            <v>Sao đen đường kính gốc 7cm ≤ ĐK gốc &lt; 9cm</v>
          </cell>
          <cell r="F644" t="str">
            <v>Sao đen đường kính gốc 7cm ≤ ĐK gốc &lt; 9cm</v>
          </cell>
        </row>
        <row r="645">
          <cell r="A645" t="str">
            <v>Sao đen ĐK gốc ≥ 9cm</v>
          </cell>
          <cell r="F645" t="str">
            <v>Sao đen ĐK gốc ≥ 9cm</v>
          </cell>
        </row>
        <row r="646">
          <cell r="A646" t="str">
            <v>Cây sưa</v>
          </cell>
          <cell r="F646" t="str">
            <v>Cây sưa</v>
          </cell>
        </row>
        <row r="647">
          <cell r="A647" t="str">
            <v>Cây sưa Cây giống đủ tiêu chuẩn, mới trồng, chiều cao cây H ≥ 30cm</v>
          </cell>
          <cell r="F647" t="str">
            <v>Cây sưa Cây giống đủ tiêu chuẩn, mới trồng, chiều cao cây H ≥ 30cm</v>
          </cell>
        </row>
        <row r="648">
          <cell r="A648" t="str">
            <v>Cây sưa đường kính thân 2 cm &lt; ĐK thân ≤5 cm</v>
          </cell>
          <cell r="F648" t="str">
            <v>Cây sưa đường kính thân 2 cm &lt; ĐK thân ≤5 cm</v>
          </cell>
        </row>
        <row r="649">
          <cell r="A649" t="str">
            <v>Cây sưa đường kính thân 5 cm &lt; ĐK thân ≤10 cm</v>
          </cell>
          <cell r="F649" t="str">
            <v>Cây sưa đường kính thân 5 cm &lt; ĐK thân ≤10 cm</v>
          </cell>
        </row>
        <row r="650">
          <cell r="A650" t="str">
            <v>Cây sưa đường kính thân 10 cm &lt; ĐK thân ≤15 cm</v>
          </cell>
          <cell r="F650" t="str">
            <v>Cây sưa đường kính thân 10 cm &lt; ĐK thân ≤15 cm</v>
          </cell>
        </row>
        <row r="651">
          <cell r="A651" t="str">
            <v>Cây sưa đường kính thân 15 cm &lt; ĐK thân ≤25 cm</v>
          </cell>
          <cell r="F651" t="str">
            <v>Cây sưa đường kính thân 15 cm &lt; ĐK thân ≤25 cm</v>
          </cell>
        </row>
        <row r="652">
          <cell r="A652" t="str">
            <v>Cây sưa đường kính thân 25 cm &lt; ĐK thân ≤40 cm</v>
          </cell>
          <cell r="F652" t="str">
            <v>Cây sưa đường kính thân 25 cm &lt; ĐK thân ≤40 cm</v>
          </cell>
        </row>
        <row r="653">
          <cell r="A653" t="str">
            <v>Cây sưa đường kính thân 40 cm &lt; ĐK thân ≤ 60 cm</v>
          </cell>
          <cell r="F653" t="str">
            <v>Cây sưa đường kính thân 40 cm &lt; ĐK thân ≤ 60 cm</v>
          </cell>
        </row>
        <row r="654">
          <cell r="A654" t="str">
            <v>Cây sưa ĐK thân &gt; 60 cm</v>
          </cell>
          <cell r="F654" t="str">
            <v>Cây sưa ĐK thân &gt; 60 cm</v>
          </cell>
        </row>
        <row r="655">
          <cell r="A655" t="str">
            <v>Cây trám</v>
          </cell>
          <cell r="F655" t="str">
            <v>Cây trám</v>
          </cell>
        </row>
        <row r="656">
          <cell r="A656" t="str">
            <v>Cây trám Mới trồng, đường kính gốc &lt; 2cm</v>
          </cell>
          <cell r="F656" t="str">
            <v>Cây trám Mới trồng, đường kính gốc &lt; 2cm</v>
          </cell>
        </row>
        <row r="657">
          <cell r="A657" t="str">
            <v>Cây trám đường kính gốc 2 cm &lt; ĐK gốc ≤ 5 cm</v>
          </cell>
          <cell r="F657" t="str">
            <v>Cây trám đường kính gốc 2 cm &lt; ĐK gốc ≤ 5 cm</v>
          </cell>
        </row>
        <row r="658">
          <cell r="A658" t="str">
            <v>Cây trám đường kính gốc 5 cm &lt; ĐK gốc ≤ 10 cm</v>
          </cell>
          <cell r="F658" t="str">
            <v>Cây trám đường kính gốc 5 cm &lt; ĐK gốc ≤ 10 cm</v>
          </cell>
        </row>
        <row r="659">
          <cell r="A659" t="str">
            <v>Cây trám đường kính gốc 10 cm &lt; ĐK gôc ≤ 15 cm</v>
          </cell>
          <cell r="F659" t="str">
            <v>Cây trám đường kính gốc 10 cm &lt; ĐK gôc ≤ 15 cm</v>
          </cell>
        </row>
        <row r="660">
          <cell r="A660" t="str">
            <v>Cây trám đường kính gốc 15 cm &lt; ĐK gốc ≤ 20 cm</v>
          </cell>
          <cell r="F660" t="str">
            <v>Cây trám đường kính gốc 15 cm &lt; ĐK gốc ≤ 20 cm</v>
          </cell>
        </row>
        <row r="661">
          <cell r="A661" t="str">
            <v>Cây trám đường kính gốc 20 cm &lt; ĐK gốc ≤ 25 cm</v>
          </cell>
          <cell r="F661" t="str">
            <v>Cây trám đường kính gốc 20 cm &lt; ĐK gốc ≤ 25 cm</v>
          </cell>
        </row>
        <row r="662">
          <cell r="A662" t="str">
            <v>Cây trám đường kính gốc 25 cm &lt; ĐK gốc ≤ 30 cm</v>
          </cell>
          <cell r="F662" t="str">
            <v>Cây trám đường kính gốc 25 cm &lt; ĐK gốc ≤ 30 cm</v>
          </cell>
        </row>
        <row r="663">
          <cell r="A663" t="str">
            <v>Cây trám ĐK gốc &gt; 30cm</v>
          </cell>
          <cell r="F663" t="str">
            <v>Cây trám ĐK gốc &gt; 30cm</v>
          </cell>
        </row>
        <row r="664">
          <cell r="A664" t="str">
            <v>Cây xoan</v>
          </cell>
          <cell r="F664" t="str">
            <v>Cây xoan</v>
          </cell>
        </row>
        <row r="665">
          <cell r="A665" t="str">
            <v>Cây xoan Cây giống mới trồng</v>
          </cell>
          <cell r="F665" t="str">
            <v>Cây xoan Cây giống mới trồng</v>
          </cell>
        </row>
        <row r="666">
          <cell r="A666" t="str">
            <v>Cây xoan đường kính thân 2 cm &lt; ĐK thân ≤5 cm</v>
          </cell>
          <cell r="F666" t="str">
            <v>Cây xoan đường kính thân 2 cm &lt; ĐK thân ≤5 cm</v>
          </cell>
        </row>
        <row r="667">
          <cell r="A667" t="str">
            <v>Cây xoan đường kính thân 5 cm &lt; ĐK thân ≤10 cm</v>
          </cell>
          <cell r="F667" t="str">
            <v>Cây xoan đường kính thân 5 cm &lt; ĐK thân ≤10 cm</v>
          </cell>
        </row>
        <row r="668">
          <cell r="A668" t="str">
            <v>Cây xoan đường kính thân 10 cm &lt; ĐK thân ≤15 cm</v>
          </cell>
          <cell r="F668" t="str">
            <v>Cây xoan đường kính thân 10 cm &lt; ĐK thân ≤15 cm</v>
          </cell>
        </row>
        <row r="669">
          <cell r="A669" t="str">
            <v>Cây xoan đường kính thân 15 cm &lt; ĐK thân ≤20 cm</v>
          </cell>
          <cell r="F669" t="str">
            <v>Cây xoan đường kính thân 15 cm &lt; ĐK thân ≤20 cm</v>
          </cell>
        </row>
        <row r="670">
          <cell r="A670" t="str">
            <v>Cây xoan đường kính thân 20 cm &lt; ĐK thân ≤30 cm</v>
          </cell>
          <cell r="F670" t="str">
            <v>Cây xoan đường kính thân 20 cm &lt; ĐK thân ≤30 cm</v>
          </cell>
        </row>
        <row r="671">
          <cell r="A671" t="str">
            <v>Cây xoan ĐK thân &gt; 30 cm</v>
          </cell>
          <cell r="F671" t="str">
            <v>Cây xoan ĐK thân &gt; 30 cm</v>
          </cell>
        </row>
        <row r="672">
          <cell r="A672" t="str">
            <v>Cây xà cừ (lát, sồi, lim xanh)</v>
          </cell>
          <cell r="F672" t="str">
            <v>Cây xà cừ (lát, sồi, lim xanh)</v>
          </cell>
        </row>
        <row r="673">
          <cell r="A673" t="str">
            <v>Cây xà cừ (lát, sồi, lim xanh) Cây giống mới trồng</v>
          </cell>
          <cell r="F673" t="str">
            <v>Cây xà cừ (lát, sồi, lim xanh) Cây giống mới trồng</v>
          </cell>
        </row>
        <row r="674">
          <cell r="A674" t="str">
            <v>Cây xà cừ (lát, sồi, lim xanh) đường kính thân 2 cm &lt; ĐK thân ≤5 cm</v>
          </cell>
          <cell r="F674" t="str">
            <v>Cây xà cừ (lát, sồi, lim xanh) đường kính thân 2 cm &lt; ĐK thân ≤5 cm</v>
          </cell>
        </row>
        <row r="675">
          <cell r="A675" t="str">
            <v>Cây xà cừ (lát, sồi, lim xanh) 5 cm &lt; ĐK thân ≤10 cm</v>
          </cell>
          <cell r="F675" t="str">
            <v>Cây xà cừ (lát, sồi, lim xanh) 5 cm &lt; ĐK thân ≤10 cm</v>
          </cell>
        </row>
        <row r="676">
          <cell r="A676" t="str">
            <v>Cây xà cừ (lát, sồi, lim xanh) 10 cm &lt; ĐK thân ≤15 cm</v>
          </cell>
          <cell r="F676" t="str">
            <v>Cây xà cừ (lát, sồi, lim xanh) 10 cm &lt; ĐK thân ≤15 cm</v>
          </cell>
        </row>
        <row r="677">
          <cell r="A677" t="str">
            <v>Cây xà cừ (lát, sồi, lim xanh) 15 cm &lt; ĐK thân ≤25 cm</v>
          </cell>
          <cell r="F677">
            <v>0</v>
          </cell>
        </row>
        <row r="678">
          <cell r="A678" t="str">
            <v>Cây xà cừ (lát, sồi, lim xanh) 25 &lt; ĐK thân ≤40 cm</v>
          </cell>
          <cell r="F678" t="str">
            <v>Cây phượng vĩ (bằng lăng, muồng, lim xẹt) đường kính thân 2 cm &lt; ĐK thân ≤5 cm</v>
          </cell>
        </row>
        <row r="679">
          <cell r="A679" t="str">
            <v>Cây xà cừ (lát, sồi, lim xanh) 40 cm &lt; ĐK thân ≤60 cm</v>
          </cell>
          <cell r="F679" t="str">
            <v>Cây xà cừ (lát, sồi, lim xanh) 40 cm &lt; ĐK thân ≤60 cm</v>
          </cell>
        </row>
        <row r="680">
          <cell r="A680" t="str">
            <v>Cây xà cừ (lát, sồi, lim xanh) ĐK thân &gt; 60 cm</v>
          </cell>
          <cell r="F680" t="str">
            <v>Cây xà cừ (lát, sồi, lim xanh) ĐK thân &gt; 60 cm</v>
          </cell>
        </row>
        <row r="681">
          <cell r="A681" t="str">
            <v>Cây bàng</v>
          </cell>
          <cell r="F681" t="str">
            <v>Cây bàng</v>
          </cell>
        </row>
        <row r="682">
          <cell r="A682" t="str">
            <v>Cây bàng giống mới trồng</v>
          </cell>
          <cell r="F682" t="str">
            <v>Cây bàng giống mới trồng</v>
          </cell>
        </row>
        <row r="683">
          <cell r="A683" t="str">
            <v>Cây bàng đường kính thân 2 cm &lt; ĐK thân ≤5 cm</v>
          </cell>
          <cell r="F683" t="str">
            <v>Cây bàng đường kính thân 2 cm &lt; ĐK thân ≤5 cm</v>
          </cell>
        </row>
        <row r="684">
          <cell r="A684" t="str">
            <v>Cây bàng đường kính thân 5 cm &lt; ĐK thân ≤10 cm</v>
          </cell>
          <cell r="F684" t="str">
            <v>Cây bàng đường kính thân 5 cm &lt; ĐK thân ≤10 cm</v>
          </cell>
        </row>
        <row r="685">
          <cell r="A685" t="str">
            <v>Cây bàng đường kính thân 10 cm &lt; ĐK thân ≤15 cm</v>
          </cell>
          <cell r="F685" t="str">
            <v>Cây bàng đường kính thân 10 cm &lt; ĐK thân ≤15 cm</v>
          </cell>
        </row>
        <row r="686">
          <cell r="A686" t="str">
            <v>Cây bàng đường kính thân 15 cm &lt; ĐK thân ≤20 cm</v>
          </cell>
          <cell r="F686" t="str">
            <v>Cây bàng đường kính thân 15 cm &lt; ĐK thân ≤20 cm</v>
          </cell>
        </row>
        <row r="687">
          <cell r="A687" t="str">
            <v>Cây bàng đường kính thân 20 cm &lt; ĐK thân ≤30 cm</v>
          </cell>
          <cell r="F687" t="str">
            <v>Cây bàng đường kính thân 20 cm &lt; ĐK thân ≤30 cm</v>
          </cell>
        </row>
        <row r="688">
          <cell r="A688" t="str">
            <v>Cây bàng ĐK thân &gt; 30 cm</v>
          </cell>
          <cell r="F688" t="str">
            <v>Cây bàng ĐK thân &gt; 30 cm</v>
          </cell>
        </row>
        <row r="689">
          <cell r="A689" t="str">
            <v>Cây trứng cá</v>
          </cell>
          <cell r="F689" t="str">
            <v>Cây trứng cá</v>
          </cell>
        </row>
        <row r="690">
          <cell r="A690" t="str">
            <v>Cây trứng cá giống mới trồng</v>
          </cell>
          <cell r="F690" t="str">
            <v>Cây trứng cá giống mới trồng</v>
          </cell>
        </row>
        <row r="691">
          <cell r="A691" t="str">
            <v>Cây trứng cá đường kính thân 2 cm &lt; ĐK thân ≤5 cm</v>
          </cell>
          <cell r="F691" t="str">
            <v>Cây trứng cá đường kính thân 2 cm &lt; ĐK thân ≤5 cm</v>
          </cell>
        </row>
        <row r="692">
          <cell r="A692" t="str">
            <v>Cây trứng cá đường kính thân 5 cm &lt; ĐK thân ≤10 cm</v>
          </cell>
          <cell r="F692" t="str">
            <v>Cây trứng cá đường kính thân 5 cm &lt; ĐK thân ≤10 cm</v>
          </cell>
        </row>
        <row r="693">
          <cell r="A693" t="str">
            <v>Cây trứng cá đường kính thân 10 cm &lt; ĐK thân ≤15 cm</v>
          </cell>
          <cell r="F693" t="str">
            <v>Cây trứng cá đường kính thân 10 cm &lt; ĐK thân ≤15 cm</v>
          </cell>
        </row>
        <row r="694">
          <cell r="A694" t="str">
            <v>Cây trứng cá đường kính thân 15 cm &lt; ĐK thân ≤20 cm</v>
          </cell>
          <cell r="F694" t="str">
            <v>Cây trứng cá đường kính thân 15 cm &lt; ĐK thân ≤20 cm</v>
          </cell>
        </row>
        <row r="695">
          <cell r="A695" t="str">
            <v>Cây trứng cá đường kính thân 20 cm &lt; ĐK thân ≤30 cm</v>
          </cell>
          <cell r="F695" t="str">
            <v>Cây trứng cá đường kính thân 20 cm &lt; ĐK thân ≤30 cm</v>
          </cell>
        </row>
        <row r="696">
          <cell r="A696" t="str">
            <v>Cây trứng cá ĐK thân &gt; 30 cm</v>
          </cell>
          <cell r="F696" t="str">
            <v>Cây trứng cá ĐK thân &gt; 30 cm</v>
          </cell>
        </row>
        <row r="697">
          <cell r="A697" t="str">
            <v>Cây bạch đàn</v>
          </cell>
          <cell r="F697" t="str">
            <v>Cây trứng cá</v>
          </cell>
        </row>
        <row r="698">
          <cell r="A698" t="str">
            <v>Cây bạch đàn Cây giống mới trồng</v>
          </cell>
          <cell r="F698" t="str">
            <v>Cây bạch đàn Cây giống mới trồng</v>
          </cell>
        </row>
        <row r="699">
          <cell r="A699" t="str">
            <v>Cây bạch đàn đường kính thân 2 cm &lt; ĐK thân ≤5 cm</v>
          </cell>
          <cell r="F699" t="str">
            <v>Cây bạch đàn đường kính thân 2 cm &lt; ĐK thân ≤5 cm</v>
          </cell>
        </row>
        <row r="700">
          <cell r="A700" t="str">
            <v>Cây bạch đàn đường kính thân 5 cm &lt; ĐK thân ≤10 cm</v>
          </cell>
          <cell r="F700" t="str">
            <v>Cây bạch đàn đường kính thân 5 cm &lt; ĐK thân ≤10 cm</v>
          </cell>
        </row>
        <row r="701">
          <cell r="A701" t="str">
            <v>Cây bạch đàn đường kính thân 10 cm &lt; ĐK thân ≤20 cm</v>
          </cell>
          <cell r="F701" t="str">
            <v>Cây bạch đàn đường kính thân 10 cm &lt; ĐK thân ≤20 cm</v>
          </cell>
        </row>
        <row r="702">
          <cell r="A702" t="str">
            <v>Cây bạch đàn đường kính thân 20 cm &lt; ĐK thân ≤30 cm</v>
          </cell>
          <cell r="F702" t="str">
            <v>Cây bạch đàn đường kính thân 20 cm &lt; ĐK thân ≤30 cm</v>
          </cell>
        </row>
        <row r="703">
          <cell r="A703" t="str">
            <v>Cây bạch đàn đường kính thân 30 cm &lt; ĐK thân ≤40 cm</v>
          </cell>
          <cell r="F703" t="str">
            <v>Cây bạch đàn đường kính thân 30 cm &lt; ĐK thân ≤40 cm</v>
          </cell>
        </row>
        <row r="704">
          <cell r="A704" t="str">
            <v>Cây bạch đàn ĐK thân &gt; 40 cm</v>
          </cell>
          <cell r="F704" t="str">
            <v>Cây bạch đàn ĐK thân &gt; 40 cm</v>
          </cell>
        </row>
        <row r="705">
          <cell r="A705" t="str">
            <v>Cây phi lao, thông</v>
          </cell>
          <cell r="F705" t="str">
            <v>Cây phi lao, thông</v>
          </cell>
        </row>
        <row r="706">
          <cell r="A706" t="str">
            <v>Cây phi lao giống mới trồng</v>
          </cell>
          <cell r="F706" t="str">
            <v>Cây phi lao giống mới trồng</v>
          </cell>
        </row>
        <row r="707">
          <cell r="A707" t="str">
            <v>Cây phi lao đường kính thân 2 cm &lt; ĐK thân ≤5 cm</v>
          </cell>
          <cell r="F707" t="str">
            <v>Cây phi lao đường kính thân 2 cm &lt; ĐK thân ≤5 cm</v>
          </cell>
        </row>
        <row r="708">
          <cell r="A708" t="str">
            <v>Cây phi lao đường kính thân 5 cm &lt; ĐK thân ≤10 cm</v>
          </cell>
          <cell r="F708" t="str">
            <v>Cây phi lao đường kính thân 5 cm &lt; ĐK thân ≤10 cm</v>
          </cell>
        </row>
        <row r="709">
          <cell r="A709" t="str">
            <v>Cây phi lao đường kính thân 10 cm &lt; ĐK thân ≤20 cm</v>
          </cell>
          <cell r="F709" t="str">
            <v>Cây phi lao đường kính thân 10 cm &lt; ĐK thân ≤20 cm</v>
          </cell>
        </row>
        <row r="710">
          <cell r="A710" t="str">
            <v>Cây phi lao đường kính thân 20cm &lt; ĐK thân ≤30 cm</v>
          </cell>
          <cell r="F710" t="str">
            <v>Cây phi lao đường kính thân 20cm &lt; ĐK thân ≤30 cm</v>
          </cell>
        </row>
        <row r="711">
          <cell r="A711" t="str">
            <v>Cây phi lao đường kính thân 30 cm &lt; ĐK thân ≤40 cm</v>
          </cell>
          <cell r="F711" t="str">
            <v>Cây phi lao đường kính thân 30 cm &lt; ĐK thân ≤40 cm</v>
          </cell>
        </row>
        <row r="712">
          <cell r="A712" t="str">
            <v>Cây phi lao ĐK thân &gt; 40 cm</v>
          </cell>
          <cell r="F712" t="str">
            <v>Cây phi lao ĐK thân &gt; 40 cm</v>
          </cell>
        </row>
        <row r="713">
          <cell r="A713" t="str">
            <v>Cây keo tai tượng</v>
          </cell>
          <cell r="F713" t="str">
            <v>Cây keo tai tượng</v>
          </cell>
        </row>
        <row r="714">
          <cell r="A714" t="str">
            <v>Cây keo tai tượng giống mới trồng</v>
          </cell>
          <cell r="F714" t="str">
            <v>Cây keo tai tượng giống mới trồng</v>
          </cell>
        </row>
        <row r="715">
          <cell r="A715" t="str">
            <v>Cây keo tai tượng đường kính thân 2 cm &lt; ĐK thân ≤5 cm</v>
          </cell>
          <cell r="F715" t="str">
            <v>Cây keo tai tượng đường kính thân 2 cm &lt; ĐK thân ≤5 cm</v>
          </cell>
        </row>
        <row r="716">
          <cell r="A716" t="str">
            <v>Cây keo tai tượng đường kính thân 5 cm &lt; ĐK thân &lt;10 cm</v>
          </cell>
          <cell r="F716" t="str">
            <v>Cây keo tai tượng đường kính thân 5 cm &lt; ĐK thân &lt;10 cm</v>
          </cell>
        </row>
        <row r="717">
          <cell r="A717" t="str">
            <v>Cây keo tai tượng đường kính thân 10 cm &lt; ĐK thân ≤20 cm</v>
          </cell>
          <cell r="F717" t="str">
            <v>Cây keo tai tượng đường kính thân 10 cm &lt; ĐK thân ≤20 cm</v>
          </cell>
        </row>
        <row r="718">
          <cell r="A718" t="str">
            <v>Cây keo tai tượng đường kính thân 20 cm &lt; ĐK thân ≤30 cm</v>
          </cell>
          <cell r="F718" t="str">
            <v>Cây keo tai tượng đường kính thân 20 cm &lt; ĐK thân ≤30 cm</v>
          </cell>
        </row>
        <row r="719">
          <cell r="A719" t="str">
            <v>Cây keo tai tượng đường kính thân 30 cm &lt; ĐK thân ≤40 cm</v>
          </cell>
          <cell r="F719" t="str">
            <v>Cây keo tai tượng đường kính thân 30 cm &lt; ĐK thân ≤40 cm</v>
          </cell>
        </row>
        <row r="720">
          <cell r="A720" t="str">
            <v>Cây keo tai tượng ĐK thân &gt; 40 cm</v>
          </cell>
          <cell r="F720" t="str">
            <v>Cây keo tai tượng ĐK thân &gt; 40 cm</v>
          </cell>
        </row>
        <row r="721">
          <cell r="A721" t="str">
            <v>Cây liễu</v>
          </cell>
          <cell r="F721" t="str">
            <v>Cây liễu</v>
          </cell>
        </row>
        <row r="722">
          <cell r="A722" t="str">
            <v>Cây liễu giống mới trồng</v>
          </cell>
          <cell r="F722" t="str">
            <v>Cây liễu giống mới trồng</v>
          </cell>
        </row>
        <row r="723">
          <cell r="A723" t="str">
            <v>Cây liễu đường kính thân 2 cm &lt; ĐK thân ≤5 cm</v>
          </cell>
          <cell r="F723" t="str">
            <v>Cây liễu đường kính thân 2 cm &lt; ĐK thân ≤5 cm</v>
          </cell>
        </row>
        <row r="724">
          <cell r="A724" t="str">
            <v>Cây liễu đường kính thân 5 cm &lt; ĐK thân ≤10 cm</v>
          </cell>
          <cell r="F724" t="str">
            <v>Cây liễu đường kính thân 5 cm &lt; ĐK thân ≤10 cm</v>
          </cell>
        </row>
        <row r="725">
          <cell r="A725" t="str">
            <v>Cây liễu đường kính thân 10 cm &lt; ĐK thân ≤15 cm</v>
          </cell>
          <cell r="F725" t="str">
            <v>Cây liễu đường kính thân 10 cm &lt; ĐK thân ≤15 cm</v>
          </cell>
        </row>
        <row r="726">
          <cell r="A726" t="str">
            <v>Cây liễu đường kính thân 15 cm &lt; ĐK thân ≤25 cm</v>
          </cell>
          <cell r="F726" t="str">
            <v>Cây liễu đường kính thân 15 cm &lt; ĐK thân ≤25 cm</v>
          </cell>
        </row>
        <row r="727">
          <cell r="A727" t="str">
            <v>Cây liễu ĐK thân &gt; 25 cm</v>
          </cell>
          <cell r="F727" t="str">
            <v>Cây liễu ĐK thân &gt; 25 cm</v>
          </cell>
        </row>
        <row r="728">
          <cell r="A728" t="str">
            <v>Cây lộc vừng</v>
          </cell>
          <cell r="F728" t="str">
            <v>Cây lộc vừng</v>
          </cell>
        </row>
        <row r="729">
          <cell r="A729" t="str">
            <v>Cây lộc vừng giống mới trồng</v>
          </cell>
          <cell r="F729" t="str">
            <v>Cây lộc vừng giống mới trồng</v>
          </cell>
        </row>
        <row r="730">
          <cell r="A730" t="str">
            <v>Cây lộc vừng đường kính thân 2 cm &lt; ĐK thân ≤5 cm</v>
          </cell>
          <cell r="F730" t="str">
            <v>Cây lộc vừng đường kính thân 2 cm &lt; ĐK thân ≤5 cm</v>
          </cell>
        </row>
        <row r="731">
          <cell r="A731" t="str">
            <v>Cây lộc vừng đường kính thân 5 cm &lt; ĐK thân ≤10 cm</v>
          </cell>
          <cell r="F731" t="str">
            <v>Cây lộc vừng đường kính thân 5 cm &lt; ĐK thân ≤10 cm</v>
          </cell>
        </row>
        <row r="732">
          <cell r="A732" t="str">
            <v>Cây lộc vừng đường kính thân 10 cm &lt; ĐK thân ≤15 cm</v>
          </cell>
        </row>
        <row r="733">
          <cell r="A733" t="str">
            <v>Cây lộc vừng đường kính thân 15 cm &lt; ĐK thân ≤20 cm</v>
          </cell>
          <cell r="F733">
            <v>0</v>
          </cell>
        </row>
        <row r="734">
          <cell r="A734" t="str">
            <v>Cây lộc vừng đường kính thân 20 cm &lt; ĐK thân ≤25 cm</v>
          </cell>
          <cell r="F734" t="str">
            <v>Cây lộc vừng đường kính thân 20 cm &lt; ĐK thân ≤25 cm</v>
          </cell>
        </row>
        <row r="735">
          <cell r="A735" t="str">
            <v>Cây lộc vừng đường kính thân 25 cm &lt; ĐK thân ≤30 cm</v>
          </cell>
          <cell r="F735" t="str">
            <v>Cây lộc vừng đường kính thân 25 cm &lt; ĐK thân ≤30 cm</v>
          </cell>
        </row>
        <row r="736">
          <cell r="A736" t="str">
            <v>Cây lộc vừng ĐK thân &gt;30 cm</v>
          </cell>
          <cell r="F736" t="str">
            <v>Cây lộc vừng ĐK thân &gt;30 cm</v>
          </cell>
        </row>
        <row r="737">
          <cell r="A737" t="str">
            <v>Cây móng rồng</v>
          </cell>
          <cell r="F737" t="str">
            <v>Cây móng rồng</v>
          </cell>
        </row>
        <row r="738">
          <cell r="A738" t="str">
            <v>Cây móng rồng giống</v>
          </cell>
          <cell r="F738" t="str">
            <v>Cây móng rồng giống</v>
          </cell>
        </row>
        <row r="739">
          <cell r="A739" t="str">
            <v>Cây móng rồng đường kính thân 1 cm &lt; ĐK thân ≤3 cm</v>
          </cell>
          <cell r="F739" t="str">
            <v>Cây móng rồng đường kính thân 1 cm &lt; ĐK thân ≤3 cm</v>
          </cell>
        </row>
        <row r="740">
          <cell r="A740" t="str">
            <v>Cây móng rồng đường kính thân 3 cm &lt; ĐK thân ≤5 cm</v>
          </cell>
          <cell r="F740" t="str">
            <v>Cây móng rồng đường kính thân 3 cm &lt; ĐK thân ≤5 cm</v>
          </cell>
        </row>
        <row r="741">
          <cell r="A741" t="str">
            <v>Cây móng rồng đường kính thân 5 cm &lt; ĐK thân ≤10 cm</v>
          </cell>
          <cell r="F741" t="str">
            <v>Cây móng rồng đường kính thân 5 cm &lt; ĐK thân ≤10 cm</v>
          </cell>
        </row>
        <row r="742">
          <cell r="A742" t="str">
            <v>Cây móng rồng đường kính thân 10 cm &lt; ĐK thân ≤15 cm</v>
          </cell>
          <cell r="F742" t="str">
            <v>Cây móng rồng đường kính thân 10 cm &lt; ĐK thân ≤15 cm</v>
          </cell>
        </row>
        <row r="743">
          <cell r="A743" t="str">
            <v>Cây móng rồng ĐK thân &gt; 15 cm</v>
          </cell>
          <cell r="F743" t="str">
            <v>Cây móng rồng ĐK thân &gt; 15 cm</v>
          </cell>
        </row>
        <row r="744">
          <cell r="A744" t="str">
            <v>Cây đa (sanh, si, duối, bồ đề)</v>
          </cell>
          <cell r="F744" t="str">
            <v>Cây đa (sanh, si, duối, bồ đề)</v>
          </cell>
        </row>
        <row r="745">
          <cell r="A745" t="str">
            <v>Cây đa (sanh, si, duối, bồ đề) Cây giống mới trồng</v>
          </cell>
          <cell r="F745" t="str">
            <v>Cây đa (sanh, si, duối, bồ đề) Cây giống mới trồng</v>
          </cell>
        </row>
        <row r="746">
          <cell r="A746" t="str">
            <v>Cây đa (sanh, si, duối, bồ đề) đường kính thân 2 cm &lt; ĐK thân ≤5 cm</v>
          </cell>
          <cell r="F746" t="str">
            <v>Cây đa (sanh, si, duối, bồ đề) đường kính thân 2 cm &lt; ĐK thân ≤5 cm</v>
          </cell>
        </row>
        <row r="747">
          <cell r="A747" t="str">
            <v>Cây đa (sanh, si, duối, bồ đề) đường kính thân 5 cm &lt; ĐK thân ≤10 cm</v>
          </cell>
          <cell r="F747" t="str">
            <v>Cây đa (sanh, si, duối, bồ đề) đường kính thân 5 cm &lt; ĐK thân ≤10 cm</v>
          </cell>
        </row>
        <row r="748">
          <cell r="A748" t="str">
            <v>Cây đa (sanh, si, duối, bồ đề) đường kính thân 10 cm &lt; ĐK thân ≤15 cm</v>
          </cell>
          <cell r="F748" t="str">
            <v>Cây đa (sanh, si, duối, bồ đề) đường kính thân 10 cm &lt; ĐK thân ≤15 cm</v>
          </cell>
        </row>
        <row r="749">
          <cell r="A749" t="str">
            <v>Cây đa (sanh, si, duối, bồ đề) đường kính thân 15 cm &lt; ĐK thân ≤25 cm</v>
          </cell>
          <cell r="F749" t="str">
            <v>Cây đa (sanh, si, duối, bồ đề) đường kính thân 15 cm &lt; ĐK thân ≤25 cm</v>
          </cell>
        </row>
        <row r="750">
          <cell r="A750" t="str">
            <v>Cây đa (sanh, si, duối, bồ đề) đường kính thân 25 cm &lt; ĐK thân ≤40 cm</v>
          </cell>
          <cell r="F750" t="str">
            <v>Cây đa (sanh, si, duối, bồ đề) đường kính thân 25 cm &lt; ĐK thân ≤40 cm</v>
          </cell>
        </row>
        <row r="751">
          <cell r="A751" t="str">
            <v>Cây đa (sanh, si, duối, bồ đề) đường kính thân 40 cm &lt; ĐK thân ≤60 cm</v>
          </cell>
          <cell r="F751" t="str">
            <v>Cây đa (sanh, si, duối, bồ đề) đường kính thân 40 cm &lt; ĐK thân ≤60 cm</v>
          </cell>
        </row>
        <row r="752">
          <cell r="A752" t="str">
            <v>Cây đa (sanh, si, duối, bồ đề) ĐK thân &gt; 60 cm</v>
          </cell>
          <cell r="F752" t="str">
            <v>Cây đa (sanh, si, duối, bồ đề) ĐK thân &gt; 60 cm</v>
          </cell>
        </row>
        <row r="753">
          <cell r="A753" t="str">
            <v>Cây sộp (Túc)</v>
          </cell>
          <cell r="F753" t="str">
            <v>Cây sộp (Túc)</v>
          </cell>
        </row>
        <row r="754">
          <cell r="A754" t="str">
            <v>Cây sộp (Túc) Cây giống đủ tiêu chuẩn mới trồng, chiều cao cây H &lt; 40cm</v>
          </cell>
          <cell r="F754" t="str">
            <v>Cây sộp (Túc) Cây giống đủ tiêu chuẩn mới trồng, chiều cao cây H &lt; 40cm</v>
          </cell>
        </row>
        <row r="755">
          <cell r="A755" t="str">
            <v>Cây sộp (Túc) đường kính thân 10 cm &lt; ĐK thân ≤15 cm</v>
          </cell>
          <cell r="F755" t="str">
            <v>Cây sộp (Túc) đường kính thân 10 cm &lt; ĐK thân ≤15 cm</v>
          </cell>
        </row>
        <row r="756">
          <cell r="A756" t="str">
            <v>Cây sộp (Túc) đường kính thân 15 cm &lt; ĐK thân ≤20 cm</v>
          </cell>
          <cell r="F756" t="str">
            <v>Cây sộp (Túc) đường kính thân 15 cm &lt; ĐK thân ≤20 cm</v>
          </cell>
        </row>
        <row r="757">
          <cell r="A757" t="str">
            <v>Cây sộp (Túc) đường kính thân 20 cm &lt; ĐK thân ≤30 cm</v>
          </cell>
          <cell r="F757" t="str">
            <v>Cây sộp (Túc) đường kính thân 20 cm &lt; ĐK thân ≤30 cm</v>
          </cell>
        </row>
        <row r="758">
          <cell r="A758" t="str">
            <v>Cây sộp (Túc) đường kính thân 30 cm&lt; ĐK thân ≤40cm</v>
          </cell>
          <cell r="F758" t="str">
            <v>Cây sộp (Túc) đường kính thân 30 cm&lt; ĐK thân ≤40cm</v>
          </cell>
        </row>
        <row r="759">
          <cell r="A759" t="str">
            <v>Cây sộp (Túc) ĐK thân &gt; 40 cm</v>
          </cell>
          <cell r="F759" t="str">
            <v>Cây sộp (Túc) ĐK thân &gt; 40 cm</v>
          </cell>
        </row>
        <row r="760">
          <cell r="A760" t="str">
            <v>Cây gáo</v>
          </cell>
          <cell r="F760" t="str">
            <v>Cây gáo</v>
          </cell>
        </row>
        <row r="761">
          <cell r="A761" t="str">
            <v>Cây gáo Giống đủ tiêu chuẩn mới trồng, chiều cao cây H ≥ 40cm</v>
          </cell>
          <cell r="F761" t="str">
            <v>Cây gáo Giống đủ tiêu chuẩn mới trồng, chiều cao cây H ≥ 40cm</v>
          </cell>
        </row>
        <row r="762">
          <cell r="A762" t="str">
            <v>Cây gáo đường kính gốc 1cm ≤ ĐK gốc &lt; 3cm</v>
          </cell>
          <cell r="F762" t="str">
            <v>Cây gáo đường kính gốc 1cm ≤ ĐK gốc &lt; 3cm</v>
          </cell>
        </row>
        <row r="763">
          <cell r="A763" t="str">
            <v>Cây gáo đường kính gốc 3 cm ≤ ĐK gốc &lt; 5 cm</v>
          </cell>
          <cell r="F763" t="str">
            <v>Cây gáo đường kính gốc 3 cm ≤ ĐK gốc &lt; 5 cm</v>
          </cell>
        </row>
        <row r="764">
          <cell r="A764" t="str">
            <v>Cây gáo đường kính gốc 5cm ≤ ĐK gốc &lt; 10cm</v>
          </cell>
          <cell r="F764" t="str">
            <v>Cây gáo đường kính gốc 5cm ≤ ĐK gốc &lt; 10cm</v>
          </cell>
        </row>
        <row r="765">
          <cell r="A765" t="str">
            <v>Cây gáo đường kính gốc 10cm ≤ ĐK gốc &lt; 15cm</v>
          </cell>
          <cell r="F765" t="str">
            <v>Cây gáo đường kính gốc 10cm ≤ ĐK gốc &lt; 15cm</v>
          </cell>
        </row>
        <row r="766">
          <cell r="A766" t="str">
            <v>Cây gáo đường kính gốc 15cm ≤ ĐK gốc &lt; 20cm</v>
          </cell>
          <cell r="F766" t="str">
            <v>Cây gáo đường kính gốc 15cm ≤ ĐK gốc &lt; 20cm</v>
          </cell>
        </row>
        <row r="767">
          <cell r="A767" t="str">
            <v>Cây gáo đường kính gốc 20cm ≤ ĐK gốc &lt; 30cm</v>
          </cell>
          <cell r="F767" t="str">
            <v>Cây gáo đường kính gốc 20cm ≤ ĐK gốc &lt; 30cm</v>
          </cell>
        </row>
        <row r="768">
          <cell r="A768" t="str">
            <v>Cây gáo đường kính gốc 30cm ≤ ĐK gốc &lt; 40cm</v>
          </cell>
          <cell r="F768" t="str">
            <v>Cây gáo đường kính gốc 30cm ≤ ĐK gốc &lt; 40cm</v>
          </cell>
        </row>
        <row r="769">
          <cell r="A769" t="str">
            <v>Cây gáo ĐK gốc ≥  40cm</v>
          </cell>
          <cell r="F769" t="str">
            <v>Cây gáo ĐK gốc ≥  40cm</v>
          </cell>
        </row>
        <row r="770">
          <cell r="A770" t="str">
            <v>Cây vọng cách</v>
          </cell>
          <cell r="F770" t="str">
            <v>Cây vọng cách</v>
          </cell>
        </row>
        <row r="771">
          <cell r="A771" t="str">
            <v>Cây vọng cách Cây giống mới trồng</v>
          </cell>
          <cell r="F771" t="str">
            <v>Cây vọng cách Cây giống mới trồng</v>
          </cell>
        </row>
        <row r="772">
          <cell r="A772" t="str">
            <v>Cây vọng cách đường kính thân 2 cm &lt; ĐK thân ≤5 cm</v>
          </cell>
          <cell r="F772" t="str">
            <v>Cây vọng cách đường kính thân 2 cm &lt; ĐK thân ≤5 cm</v>
          </cell>
        </row>
        <row r="773">
          <cell r="A773" t="str">
            <v>Cây vọng cách đường kính thân 5 cm &lt; ĐK thân ≤10 cm</v>
          </cell>
          <cell r="F773" t="str">
            <v>Cây vọng cách đường kính thân 5 cm &lt; ĐK thân ≤10 cm</v>
          </cell>
        </row>
        <row r="774">
          <cell r="A774" t="str">
            <v>Cây vọng cách đường kính thân 10 cm &lt; ĐK thân ≤15 cm</v>
          </cell>
          <cell r="F774" t="str">
            <v>Cây vọng cách đường kính thân 10 cm &lt; ĐK thân ≤15 cm</v>
          </cell>
        </row>
        <row r="775">
          <cell r="A775" t="str">
            <v>Cây vọng cách đường kính thân 15 cm &lt; ĐK thân ≤20 cm</v>
          </cell>
          <cell r="F775" t="str">
            <v>Cây vọng cách đường kính thân 15 cm &lt; ĐK thân ≤20 cm</v>
          </cell>
        </row>
        <row r="776">
          <cell r="A776" t="str">
            <v>Cây vọng cách đường kính thân 20 cm &lt; ĐK thân ≤30 cm</v>
          </cell>
          <cell r="F776" t="str">
            <v>Cây vọng cách đường kính thân 20 cm &lt; ĐK thân ≤30 cm</v>
          </cell>
        </row>
        <row r="777">
          <cell r="A777" t="str">
            <v>Cây vọng cách đường kính thân 30 cm &lt; ĐK thân ≤40 cm</v>
          </cell>
          <cell r="F777" t="str">
            <v>Cây vọng cách đường kính thân 30 cm &lt; ĐK thân ≤40 cm</v>
          </cell>
        </row>
        <row r="778">
          <cell r="A778" t="str">
            <v>Cây vọng cách ĐK thân &gt; 40 cm</v>
          </cell>
          <cell r="F778" t="str">
            <v>Cây vọng cách ĐK thân &gt; 40 cm</v>
          </cell>
        </row>
        <row r="779">
          <cell r="A779" t="str">
            <v>Muồng Hoàng yến (Osaka vàng)</v>
          </cell>
          <cell r="F779" t="str">
            <v>Muồng Hoàng yến (Osaka vàng)</v>
          </cell>
        </row>
        <row r="780">
          <cell r="A780" t="str">
            <v>Muồng Hoàng yến (Osaka vàng) Giống đủ tiêu chuẩn mới trồng, chiều cao cây H  ≤40cm</v>
          </cell>
          <cell r="F780" t="str">
            <v>Muồng Hoàng yến (Osaka vàng) Giống đủ tiêu chuẩn mới trồng, chiều cao cây H  ≤40cm</v>
          </cell>
        </row>
        <row r="781">
          <cell r="A781" t="str">
            <v>Muồng Hoàng yến (Osaka vàng) đường kính gốc 1 cm  ≤ ĐK gốc &lt; 3 cm</v>
          </cell>
          <cell r="F781" t="str">
            <v>Muồng Hoàng yến (Osaka vàng) đường kính gốc 1 cm  ≤ ĐK gốc &lt; 3 cm</v>
          </cell>
        </row>
        <row r="782">
          <cell r="A782" t="str">
            <v>Muồng Hoàng yến (Osaka vàng) đường kính gốc 3 cm  ≤ ĐK gốc &lt; 5 cm</v>
          </cell>
          <cell r="F782" t="str">
            <v>Muồng Hoàng yến (Osaka vàng) đường kính gốc 3 cm  ≤ ĐK gốc &lt; 5 cm</v>
          </cell>
        </row>
        <row r="783">
          <cell r="A783" t="str">
            <v>Muồng Hoàng yến (Osaka vàng) đường kính gốc 5cm  ≤ ĐK gốc &lt; 10cm</v>
          </cell>
          <cell r="F783" t="str">
            <v>Muồng Hoàng yến (Osaka vàng) đường kính gốc 5cm  ≤ ĐK gốc &lt; 10cm</v>
          </cell>
        </row>
        <row r="784">
          <cell r="A784" t="str">
            <v>Muồng Hoàng yến (Osaka vàng) đường kính gốc 10cm  ≤ ĐK gốc &lt; 15cm</v>
          </cell>
          <cell r="F784" t="str">
            <v>Muồng Hoàng yến (Osaka vàng) đường kính gốc 10cm  ≤ ĐK gốc &lt; 15cm</v>
          </cell>
        </row>
        <row r="785">
          <cell r="A785" t="str">
            <v>Muồng Hoàng yến (Osaka vàng) đường kính gốc 15cm  ≤ ĐK gốc &lt; 20cm</v>
          </cell>
          <cell r="F785" t="str">
            <v>Muồng Hoàng yến (Osaka vàng) đường kính gốc 15cm  ≤ ĐK gốc &lt; 20cm</v>
          </cell>
        </row>
        <row r="786">
          <cell r="A786" t="str">
            <v>Muồng Hoàng yến (Osaka vàng) đường kính gốc 20cm  ≤ ĐK gốc &lt; 30cm</v>
          </cell>
          <cell r="F786" t="str">
            <v>Muồng Hoàng yến (Osaka vàng) đường kính gốc 20cm  ≤ ĐK gốc &lt; 30cm</v>
          </cell>
        </row>
        <row r="787">
          <cell r="A787" t="str">
            <v>Muồng Hoàng yến (Osaka vàng) đường kính gốc 30cm  ≤ ĐK gốc &lt; 40cm</v>
          </cell>
          <cell r="F787" t="str">
            <v>Muồng Hoàng yến (Osaka vàng) đường kính gốc 30cm  ≤ ĐK gốc &lt; 40cm</v>
          </cell>
        </row>
        <row r="788">
          <cell r="A788" t="str">
            <v>Muồng Hoàng yến (Osaka vàng) ĐK gốc ≥ 40cm</v>
          </cell>
          <cell r="F788" t="str">
            <v>Muồng Hoàng yến (Osaka vàng) ĐK gốc ≥ 40cm</v>
          </cell>
        </row>
        <row r="789">
          <cell r="A789" t="str">
            <v>Cây bồ kết</v>
          </cell>
          <cell r="F789" t="str">
            <v>Cây bồ kết</v>
          </cell>
        </row>
        <row r="790">
          <cell r="A790" t="str">
            <v>Cây bồ kết Cây giống đủ tiêu chuẩn mới trồng, chiều cao cây H ≥ 40cm</v>
          </cell>
          <cell r="F790" t="str">
            <v>Cây vọng cách đường kính thân 20 cm &lt; ĐK thân ≤30 cm</v>
          </cell>
        </row>
        <row r="791">
          <cell r="A791" t="str">
            <v>Cây bồ kết đường kính gốc 1 cm ≤ ĐK gốc &lt; 2cm</v>
          </cell>
          <cell r="F791" t="str">
            <v>Cây bồ kết đường kính gốc 1 cm ≤ ĐK gốc &lt; 2cm</v>
          </cell>
        </row>
        <row r="792">
          <cell r="A792" t="str">
            <v>Cây bồ kết đường kính gốc 2cm ≤ ĐK gốc &lt; 5cm</v>
          </cell>
          <cell r="F792" t="str">
            <v>Cây bồ kết đường kính gốc 2cm ≤ ĐK gốc &lt; 5cm</v>
          </cell>
        </row>
        <row r="793">
          <cell r="A793" t="str">
            <v>Cây bồ kết đường kính gốc 5cm ≤ ĐK gốc &lt; 7cm</v>
          </cell>
          <cell r="F793" t="str">
            <v>Cây bồ kết đường kính gốc 5cm ≤ ĐK gốc &lt; 7cm</v>
          </cell>
        </row>
        <row r="794">
          <cell r="A794" t="str">
            <v>Cây bồ kết đường kính gốc 7cm ≤ ĐK gốc &lt; 9cm</v>
          </cell>
          <cell r="F794" t="str">
            <v>Cây bồ kết đường kính gốc 7cm ≤ ĐK gốc &lt; 9cm</v>
          </cell>
        </row>
        <row r="795">
          <cell r="A795" t="str">
            <v>Cây bồ kết đường kính gốc 9cm ≤ ĐK gốc &lt; 12cm</v>
          </cell>
          <cell r="F795" t="str">
            <v>Cây bồ kết đường kính gốc 9cm ≤ ĐK gốc &lt; 12cm</v>
          </cell>
        </row>
        <row r="796">
          <cell r="A796" t="str">
            <v>Cây bồ kết đường kính gốc 12cm ≤ ĐK gốc &lt; 15cm</v>
          </cell>
          <cell r="F796" t="str">
            <v>Cây bồ kết đường kính gốc 12cm ≤ ĐK gốc &lt; 15cm</v>
          </cell>
        </row>
        <row r="797">
          <cell r="A797" t="str">
            <v>Cây bồ kết đường kính gốc 15cm ≤ ĐK gốc &lt; 20cm</v>
          </cell>
          <cell r="F797" t="str">
            <v>Cây bồ kết đường kính gốc 15cm ≤ ĐK gốc &lt; 20cm</v>
          </cell>
        </row>
        <row r="798">
          <cell r="A798" t="str">
            <v>Cây bồ kết đường kính gốc 20cm ≤ ĐK gốc &lt; 25cm</v>
          </cell>
          <cell r="F798" t="str">
            <v>Cây bồ kết đường kính gốc 20cm ≤ ĐK gốc &lt; 25cm</v>
          </cell>
        </row>
        <row r="799">
          <cell r="A799" t="str">
            <v>Cây bồ kết đường kính gốc 25cm ≤ ĐK gốc &lt; 30cm</v>
          </cell>
          <cell r="F799" t="str">
            <v>Cây bồ kết đường kính gốc 25cm ≤ ĐK gốc &lt; 30cm</v>
          </cell>
        </row>
        <row r="800">
          <cell r="A800" t="str">
            <v>Cây bồ kết đường kính gốc 30cm ≤ ĐK gốc &lt; 35cm</v>
          </cell>
          <cell r="F800" t="str">
            <v>Cây bồ kết đường kính gốc 30cm ≤ ĐK gốc &lt; 35cm</v>
          </cell>
        </row>
        <row r="801">
          <cell r="A801" t="str">
            <v>Cây bồ kết đường kính gốc 35cm ≤ ĐK gốc &lt; 50cm</v>
          </cell>
          <cell r="F801" t="str">
            <v>Cây bồ kết đường kính gốc 35cm ≤ ĐK gốc &lt; 50cm</v>
          </cell>
        </row>
        <row r="802">
          <cell r="A802" t="str">
            <v>Cây bồ kết ĐK gốc ≥ 50cm</v>
          </cell>
          <cell r="F802" t="str">
            <v>Cây bồ kết ĐK gốc ≥ 50cm</v>
          </cell>
        </row>
        <row r="803">
          <cell r="A803" t="str">
            <v>Cây vông</v>
          </cell>
          <cell r="F803" t="str">
            <v>Cây vông</v>
          </cell>
        </row>
        <row r="804">
          <cell r="A804" t="str">
            <v>Cây vông giống mới trồng</v>
          </cell>
          <cell r="F804" t="str">
            <v>Cây vông giống mới trồng</v>
          </cell>
        </row>
        <row r="805">
          <cell r="A805" t="str">
            <v>Cây vông đường kính thân 2 cm &lt; ĐK thân ≤5 cm</v>
          </cell>
          <cell r="F805" t="str">
            <v>Cây vông đường kính thân 2 cm &lt; ĐK thân ≤5 cm</v>
          </cell>
        </row>
        <row r="806">
          <cell r="A806" t="str">
            <v>Cây vông đường kính thân 5 cm &lt; ĐK thân ≤10 cm</v>
          </cell>
          <cell r="F806" t="str">
            <v>Cây vông đường kính thân 5 cm &lt; ĐK thân ≤10 cm</v>
          </cell>
        </row>
        <row r="807">
          <cell r="A807" t="str">
            <v>Cây vông đường kính thân 10 cm &lt; ĐK thân ≤15 cm</v>
          </cell>
          <cell r="F807" t="str">
            <v>Cây vông đường kính thân 10 cm &lt; ĐK thân ≤15 cm</v>
          </cell>
        </row>
        <row r="808">
          <cell r="A808" t="str">
            <v>Cây vông đường kính thân 15 cm &lt; ĐK thân ≤25 cm</v>
          </cell>
          <cell r="F808" t="str">
            <v>Cây vông đường kính thân 15 cm &lt; ĐK thân ≤25 cm</v>
          </cell>
        </row>
        <row r="809">
          <cell r="A809" t="str">
            <v>Cây vông đường kính thân 25 cm &lt; ĐK thân ≤40 cm</v>
          </cell>
          <cell r="F809" t="str">
            <v>Cây vông đường kính thân 25 cm &lt; ĐK thân ≤40 cm</v>
          </cell>
        </row>
        <row r="810">
          <cell r="A810" t="str">
            <v>Cây vông đường kính thân 40 cm &lt; ĐK thân ≤60 cm</v>
          </cell>
          <cell r="F810" t="str">
            <v>Cây vông đường kính thân 40 cm &lt; ĐK thân ≤60 cm</v>
          </cell>
        </row>
        <row r="811">
          <cell r="A811" t="str">
            <v>Cây vông ĐK thân &gt; 60 cm</v>
          </cell>
          <cell r="F811" t="str">
            <v>Cây vông ĐK thân &gt; 60 cm</v>
          </cell>
        </row>
        <row r="812">
          <cell r="A812" t="str">
            <v>Cây tre hóa</v>
          </cell>
          <cell r="F812" t="str">
            <v>Cây tre hóa</v>
          </cell>
        </row>
        <row r="813">
          <cell r="A813" t="str">
            <v>Cây tre hóa Cây giống đủ tiêu chuẩn mới trồng</v>
          </cell>
          <cell r="F813" t="str">
            <v>Cây tre hóa Cây giống đủ tiêu chuẩn mới trồng</v>
          </cell>
        </row>
        <row r="814">
          <cell r="A814" t="str">
            <v>Cây tre hóa đường kính thân 2 cm &lt; ĐK thân ≤5 cm</v>
          </cell>
          <cell r="F814" t="str">
            <v>Cây tre hóa đường kính thân 2 cm &lt; ĐK thân ≤5 cm</v>
          </cell>
        </row>
        <row r="815">
          <cell r="A815" t="str">
            <v>Cây tre hóa đường kính thân 5 cm &lt; ĐK thân ≤10 cm</v>
          </cell>
          <cell r="F815" t="str">
            <v>Cây bồ kết đường kính gốc 25cm ≤ ĐK gốc &lt; 30cm</v>
          </cell>
        </row>
        <row r="816">
          <cell r="A816" t="str">
            <v>Cây tre hóa ĐK thân &gt; 10 cm</v>
          </cell>
          <cell r="F816">
            <v>0</v>
          </cell>
        </row>
        <row r="817">
          <cell r="A817" t="str">
            <v>Cây cau bụng</v>
          </cell>
          <cell r="F817" t="str">
            <v>Cây cau bụng</v>
          </cell>
        </row>
        <row r="818">
          <cell r="A818" t="str">
            <v>Cây cau bụng Cây giống mới trồng</v>
          </cell>
          <cell r="F818" t="str">
            <v>Cây cau bụng Cây giống mới trồng</v>
          </cell>
        </row>
        <row r="819">
          <cell r="A819" t="str">
            <v>Cây cau bụng đường kính thân 2 cm&lt; ĐK thân ≤5 cm</v>
          </cell>
          <cell r="F819" t="str">
            <v>Cây cau bụng đường kính thân 2 cm&lt; ĐK thân ≤5 cm</v>
          </cell>
        </row>
        <row r="820">
          <cell r="A820" t="str">
            <v>Cây cau bụng đường kính thân 5 cm &lt; ĐK thân ≤10 cm</v>
          </cell>
          <cell r="F820" t="str">
            <v>Cây cau bụng đường kính thân 5 cm &lt; ĐK thân ≤10 cm</v>
          </cell>
        </row>
        <row r="821">
          <cell r="A821" t="str">
            <v>Cây cau bụng đường kính thân 10 cm &lt; ĐK thân ≤15 cm</v>
          </cell>
          <cell r="F821" t="str">
            <v>Cây cau bụng đường kính thân 10 cm &lt; ĐK thân ≤15 cm</v>
          </cell>
        </row>
        <row r="822">
          <cell r="A822" t="str">
            <v>Cây cau bụng đường kính thân 15 cm &lt; ĐK thân ≤25 cm</v>
          </cell>
          <cell r="F822" t="str">
            <v>Cây cau bụng đường kính thân 15 cm &lt; ĐK thân ≤25 cm</v>
          </cell>
        </row>
        <row r="823">
          <cell r="A823" t="str">
            <v>Cây cau bụng đường kính thân 25 cm &lt; ĐK thân ≤40 cm</v>
          </cell>
          <cell r="F823" t="str">
            <v>Cây cau bụng đường kính thân 25 cm &lt; ĐK thân ≤40 cm</v>
          </cell>
        </row>
        <row r="824">
          <cell r="A824" t="str">
            <v>Cây cau bụng ĐK thân &gt; 40 cm</v>
          </cell>
          <cell r="F824" t="str">
            <v>Cây cau bụng ĐK thân &gt; 40 cm</v>
          </cell>
        </row>
        <row r="825">
          <cell r="A825" t="str">
            <v>Cây cau sâm panh</v>
          </cell>
          <cell r="F825" t="str">
            <v>Cây cau sâm panh</v>
          </cell>
        </row>
        <row r="826">
          <cell r="A826" t="str">
            <v>Cây cau sâm panh Cây giống mới trồng</v>
          </cell>
          <cell r="F826" t="str">
            <v>Cây cau sâm panh Cây giống mới trồng</v>
          </cell>
        </row>
        <row r="827">
          <cell r="A827" t="str">
            <v>Cây cau sâm panh đường kính thân 2 cm &lt; ĐK thân ≤5 cm</v>
          </cell>
          <cell r="F827" t="str">
            <v>Cây cau sâm panh đường kính thân 2 cm &lt; ĐK thân ≤5 cm</v>
          </cell>
        </row>
        <row r="828">
          <cell r="A828" t="str">
            <v>Cây cau sâm panh đường kính thân 5 cm &lt; ĐK thân ≤10 cm</v>
          </cell>
          <cell r="F828" t="str">
            <v>Cây cau sâm panh đường kính thân 5 cm &lt; ĐK thân ≤10 cm</v>
          </cell>
        </row>
        <row r="829">
          <cell r="A829" t="str">
            <v>Cây cau sâm panh đường kính thân 10 cm &lt; ĐK thân ≤15 cm</v>
          </cell>
          <cell r="F829" t="str">
            <v>Cây cau sâm panh đường kính thân 10 cm &lt; ĐK thân ≤15 cm</v>
          </cell>
        </row>
        <row r="830">
          <cell r="A830" t="str">
            <v>Cây cau sâm panh đường kính thân 15 cm &lt; ĐK thân ≤25 cm</v>
          </cell>
          <cell r="F830" t="str">
            <v>Cây cau sâm panh đường kính thân 15 cm &lt; ĐK thân ≤25 cm</v>
          </cell>
        </row>
        <row r="831">
          <cell r="A831" t="str">
            <v>Cây cau sâm panh đường kính thân 25 cm &lt; ĐK thân ≤40 cm</v>
          </cell>
          <cell r="F831" t="str">
            <v>Cây cau sâm panh đường kính thân 25 cm &lt; ĐK thân ≤40 cm</v>
          </cell>
        </row>
        <row r="832">
          <cell r="A832" t="str">
            <v>Cây cau sâm panh đường kính thân 40 cm &lt; ĐK thân ≤60 cm</v>
          </cell>
          <cell r="F832" t="str">
            <v>Cây cau sâm panh đường kính thân 40 cm &lt; ĐK thân ≤60 cm</v>
          </cell>
        </row>
        <row r="833">
          <cell r="A833" t="str">
            <v>Cây cau sâm panh ĐK thân &gt; 60 cm</v>
          </cell>
          <cell r="F833" t="str">
            <v>Cây cau sâm panh ĐK thân &gt; 60 cm</v>
          </cell>
        </row>
        <row r="834">
          <cell r="A834" t="str">
            <v>Cây cần thăng</v>
          </cell>
          <cell r="F834" t="str">
            <v>Cây cần thăng</v>
          </cell>
        </row>
        <row r="835">
          <cell r="A835" t="str">
            <v>Cây cần thăng Cây giống mới trồng</v>
          </cell>
          <cell r="F835" t="str">
            <v>Cây cần thăng Cây giống mới trồng</v>
          </cell>
        </row>
        <row r="836">
          <cell r="A836" t="str">
            <v>Cây cần thăng đường kính thân 2 cm &lt; ĐK thân ≤5 cm</v>
          </cell>
          <cell r="F836" t="str">
            <v>Cây cần thăng đường kính thân 2 cm &lt; ĐK thân ≤5 cm</v>
          </cell>
        </row>
        <row r="837">
          <cell r="A837" t="str">
            <v>Cây cần thăng đường kính thân 5 cm &lt; ĐK thân ≤  10 cm</v>
          </cell>
          <cell r="F837" t="str">
            <v>Cây cần thăng đường kính thân 5 cm &lt; ĐK thân ≤  10 cm</v>
          </cell>
        </row>
        <row r="838">
          <cell r="A838" t="str">
            <v>Cây cần thăng đường kính thân 10 cm &lt; ĐK thân ≤ 15 cm</v>
          </cell>
          <cell r="F838" t="str">
            <v>Cây cần thăng đường kính thân 10 cm &lt; ĐK thân ≤ 15 cm</v>
          </cell>
        </row>
        <row r="839">
          <cell r="A839" t="str">
            <v>Cây cần thăng ĐK thân &gt; 15 cm</v>
          </cell>
          <cell r="F839">
            <v>0</v>
          </cell>
        </row>
        <row r="840">
          <cell r="A840" t="str">
            <v>Cây hoa trà</v>
          </cell>
          <cell r="F840" t="str">
            <v>Cây tre hóa ĐK thân &gt; 10 cm</v>
          </cell>
        </row>
        <row r="841">
          <cell r="A841" t="str">
            <v>Cây hoa trà Cây giống mới trồng</v>
          </cell>
          <cell r="F841" t="str">
            <v>Cây hoa trà Cây giống mới trồng</v>
          </cell>
        </row>
        <row r="842">
          <cell r="A842" t="str">
            <v>Cây hoa trà đường kính thân 0,5 cm &lt; ĐK thân ≤3 cm</v>
          </cell>
          <cell r="F842" t="str">
            <v>Cây hoa trà đường kính thân 0,5 cm &lt; ĐK thân ≤3 cm</v>
          </cell>
        </row>
        <row r="843">
          <cell r="A843" t="str">
            <v>Cây hoa trà đường kính thân 3 cm &lt; ĐK thân ≤5 cm</v>
          </cell>
          <cell r="F843" t="str">
            <v>Cây hoa trà đường kính thân 3 cm &lt; ĐK thân ≤5 cm</v>
          </cell>
        </row>
        <row r="844">
          <cell r="A844" t="str">
            <v>Cây hoa trà đường kính thân 5 cm &lt; ĐK thân ≤8 cm</v>
          </cell>
          <cell r="F844" t="str">
            <v>Cây hoa trà đường kính thân 5 cm &lt; ĐK thân ≤8 cm</v>
          </cell>
        </row>
        <row r="845">
          <cell r="A845" t="str">
            <v>Cây hoa trà ĐK thân &gt; 8 cm</v>
          </cell>
          <cell r="F845" t="str">
            <v>Cây hoa trà ĐK thân &gt; 8 cm</v>
          </cell>
        </row>
        <row r="846">
          <cell r="A846" t="str">
            <v>Cây hải đường</v>
          </cell>
          <cell r="F846" t="str">
            <v>Cây hải đường</v>
          </cell>
        </row>
        <row r="847">
          <cell r="A847" t="str">
            <v>Cây hải đường Cây giống đủ tiêu chuẩn mới trồng</v>
          </cell>
          <cell r="F847" t="str">
            <v>Cây hải đường Cây giống đủ tiêu chuẩn mới trồng</v>
          </cell>
        </row>
        <row r="848">
          <cell r="A848" t="str">
            <v>Cây hải đường  đường kính thân 0,5 cm &lt; ĐK thân ≤3 cm</v>
          </cell>
          <cell r="F848" t="str">
            <v>Cây hải đường  đường kính thân 0,5 cm &lt; ĐK thân ≤3 cm</v>
          </cell>
        </row>
        <row r="849">
          <cell r="A849" t="str">
            <v>Cây hải đường  đường kính thân 3 cm &lt; ĐK thân ≤5 cm</v>
          </cell>
          <cell r="F849" t="str">
            <v>Cây hải đường  đường kính thân 3 cm &lt; ĐK thân ≤5 cm</v>
          </cell>
        </row>
        <row r="850">
          <cell r="A850" t="str">
            <v>Cây hải đường  đường kính thân 5 cm &lt; ĐK thân ≤8 cm</v>
          </cell>
          <cell r="F850" t="str">
            <v>Cây hải đường  đường kính thân 5 cm &lt; ĐK thân ≤8 cm</v>
          </cell>
        </row>
        <row r="851">
          <cell r="A851" t="str">
            <v>Cây hải đường ĐK thân &gt; 8 cm</v>
          </cell>
          <cell r="F851" t="str">
            <v>Cây hải đường ĐK thân &gt; 8 cm</v>
          </cell>
        </row>
        <row r="852">
          <cell r="A852" t="str">
            <v>Cây tường vi</v>
          </cell>
          <cell r="F852" t="str">
            <v>Cây tường vi</v>
          </cell>
        </row>
        <row r="853">
          <cell r="A853" t="str">
            <v>Cây tường vi Cây giống mới trồng</v>
          </cell>
          <cell r="F853" t="str">
            <v>Cây tường vi Cây giống mới trồng</v>
          </cell>
        </row>
        <row r="854">
          <cell r="A854" t="str">
            <v>Cây tường vi đường kính thân 2 cm &lt; ĐK thân ≤5 cm</v>
          </cell>
          <cell r="F854" t="str">
            <v>Cây tường vi đường kính thân 2 cm &lt; ĐK thân ≤5 cm</v>
          </cell>
        </row>
        <row r="855">
          <cell r="A855" t="str">
            <v>Cây tường vi đường kính thân 5 cm &lt; ĐK thân ≤10 cm</v>
          </cell>
          <cell r="F855">
            <v>0</v>
          </cell>
        </row>
        <row r="856">
          <cell r="A856" t="str">
            <v>Cây tường vi ĐKthân&gt; 10 cm</v>
          </cell>
          <cell r="F856" t="str">
            <v>Cây tường vi ĐKthân&gt; 10 cm</v>
          </cell>
        </row>
        <row r="857">
          <cell r="A857" t="str">
            <v>Cây mai tứ quý</v>
          </cell>
          <cell r="F857" t="str">
            <v>Cây mai tứ quý</v>
          </cell>
        </row>
        <row r="858">
          <cell r="A858" t="str">
            <v>Cây mai tứ quý Cây giống mới trồng</v>
          </cell>
          <cell r="F858" t="str">
            <v>Cây mai tứ quý Cây giống mới trồng</v>
          </cell>
        </row>
        <row r="859">
          <cell r="A859" t="str">
            <v>Cây mai tứ quý đường kính thân 2 cm &lt; ĐK thân ≤5 cm</v>
          </cell>
          <cell r="F859" t="str">
            <v>Cây mai tứ quý đường kính thân 2 cm &lt; ĐK thân ≤5 cm</v>
          </cell>
        </row>
        <row r="860">
          <cell r="A860" t="str">
            <v>Cây mai tứ quý đường kính thân 5 cm &lt; ĐK thân ≤10 cm</v>
          </cell>
          <cell r="F860" t="str">
            <v>Cây mai tứ quý đường kính thân 5 cm &lt; ĐK thân ≤10 cm</v>
          </cell>
        </row>
        <row r="861">
          <cell r="A861" t="str">
            <v>Cây mai tứ quý đường kính thân 10 cm &lt; ĐK thân ≤15 cm</v>
          </cell>
          <cell r="F861" t="str">
            <v>Cây mai tứ quý đường kính thân 10 cm &lt; ĐK thân ≤15 cm</v>
          </cell>
        </row>
        <row r="862">
          <cell r="A862" t="str">
            <v>Cây mai tứ quý ĐKthân&gt; 15 cm</v>
          </cell>
          <cell r="F862" t="str">
            <v>Cây mai tứ quý ĐKthân&gt; 15 cm</v>
          </cell>
        </row>
        <row r="863">
          <cell r="A863" t="str">
            <v>Cây mai chiếu thủy</v>
          </cell>
          <cell r="F863" t="str">
            <v>Cây mai chiếu thủy</v>
          </cell>
        </row>
        <row r="864">
          <cell r="A864" t="str">
            <v>Cây mai chiếu thủy Cây giống mới trồng</v>
          </cell>
          <cell r="F864" t="str">
            <v>Cây mai chiếu thủy Cây giống mới trồng</v>
          </cell>
        </row>
        <row r="865">
          <cell r="A865" t="str">
            <v>Cây mai chiếu thủy đường kính thân 2 cm &lt; ĐK thân ≤5 cm</v>
          </cell>
          <cell r="F865" t="str">
            <v>Cây mai chiếu thủy đường kính thân 2 cm &lt; ĐK thân ≤5 cm</v>
          </cell>
        </row>
        <row r="866">
          <cell r="A866" t="str">
            <v>Cây mai chiếu thủy đường kính thân 5 cm &lt; ĐK thân ≤10 cm</v>
          </cell>
          <cell r="F866" t="str">
            <v>Cây mai chiếu thủy đường kính thân 5 cm &lt; ĐK thân ≤10 cm</v>
          </cell>
        </row>
        <row r="867">
          <cell r="A867" t="str">
            <v>Cây mai chiếu thủy đường kính thân 10 cm &lt; ĐK thân ≤15 cm</v>
          </cell>
          <cell r="F867" t="str">
            <v>Cây mai chiếu thủy đường kính thân 10 cm &lt; ĐK thân ≤15 cm</v>
          </cell>
        </row>
        <row r="868">
          <cell r="A868" t="str">
            <v>Cây mai chiếu thủy ĐKthân&gt;15cm</v>
          </cell>
          <cell r="F868" t="str">
            <v>Cây mai chiếu thủy ĐKthân&gt;15cm</v>
          </cell>
        </row>
        <row r="869">
          <cell r="A869" t="str">
            <v>Cây mộc hương, cây hạnh phúc</v>
          </cell>
          <cell r="F869" t="str">
            <v>Cây mộc hương, cây hạnh phúc</v>
          </cell>
        </row>
        <row r="870">
          <cell r="A870" t="str">
            <v>Cây mộc hương, cây hạnh phúc Cây giống mới trồng</v>
          </cell>
          <cell r="F870" t="str">
            <v>Cây mộc hương, cây hạnh phúc Cây giống mới trồng</v>
          </cell>
        </row>
        <row r="871">
          <cell r="A871" t="str">
            <v>Cây mộc hương, cây hạnh phúc đường kính thân 2 cm &lt; ĐK thân ≤5 cm</v>
          </cell>
          <cell r="F871" t="str">
            <v>Cây mộc hương, cây hạnh phúc đường kính thân 2 cm &lt; ĐK thân ≤5 cm</v>
          </cell>
        </row>
        <row r="872">
          <cell r="A872" t="str">
            <v>Cây mộc hương, cây hạnh phúc đường kính thân 5 cm &lt; ĐK thân ≤10 cm</v>
          </cell>
          <cell r="F872">
            <v>0</v>
          </cell>
        </row>
        <row r="873">
          <cell r="A873" t="str">
            <v>Cây mộc hương, cây hạnh phúc đường kính thân 10 cm &lt; ĐK thân ≤15 cm</v>
          </cell>
          <cell r="F873" t="str">
            <v>Cây tường vi đường kính thân 5 cm &lt; ĐK thân ≤10 cm</v>
          </cell>
        </row>
        <row r="874">
          <cell r="A874" t="str">
            <v>Cây mộc hương, cây hạnh phúc ĐK thân &gt; 15 cm</v>
          </cell>
          <cell r="F874" t="str">
            <v>Cây mộc hương, cây hạnh phúc ĐK thân &gt; 15 cm</v>
          </cell>
        </row>
        <row r="875">
          <cell r="A875" t="str">
            <v>Cây hoa giấy</v>
          </cell>
          <cell r="F875" t="str">
            <v>Cây hoa giấy</v>
          </cell>
        </row>
        <row r="876">
          <cell r="A876" t="str">
            <v>Cây hoa giấy Cây giống mới trồng</v>
          </cell>
          <cell r="F876" t="str">
            <v>Cây hoa giấy Cây giống mới trồng</v>
          </cell>
        </row>
        <row r="877">
          <cell r="A877" t="str">
            <v>Cây hoa giấy ĐK thân ≤2 cm</v>
          </cell>
          <cell r="F877" t="str">
            <v>Cây hoa giấy ĐK thân ≤2 cm</v>
          </cell>
        </row>
        <row r="878">
          <cell r="A878" t="str">
            <v>Cây hoa giấy đường kính thân 2 cm &lt; ĐK thân ≤5 cm</v>
          </cell>
          <cell r="F878" t="str">
            <v>Cây hoa giấy đường kính thân 2 cm &lt; ĐK thân ≤5 cm</v>
          </cell>
        </row>
        <row r="879">
          <cell r="A879" t="str">
            <v>Cây hoa giấy đường kính thân 5 cm &lt; ĐK thân ≤10 cm</v>
          </cell>
          <cell r="F879" t="str">
            <v>Cây hoa giấy đường kính thân 5 cm &lt; ĐK thân ≤10 cm</v>
          </cell>
        </row>
        <row r="880">
          <cell r="A880" t="str">
            <v>Cây hoa giấy đường kính thân 10 cm &lt; ĐK thân ≤15 cm</v>
          </cell>
          <cell r="F880" t="str">
            <v>Cây hoa giấy đường kính thân 10 cm &lt; ĐK thân ≤15 cm</v>
          </cell>
        </row>
        <row r="881">
          <cell r="A881" t="str">
            <v>Cây hoa giấy đường kính thân 15 cm &lt; ĐK thân ≤20 cm</v>
          </cell>
          <cell r="F881" t="str">
            <v>Cây hoa giấy đường kính thân 15 cm &lt; ĐK thân ≤20 cm</v>
          </cell>
        </row>
        <row r="882">
          <cell r="A882" t="str">
            <v>Cây hoa giấy đường kính thân 20 cm&lt; ĐK thân ≤25 cm</v>
          </cell>
          <cell r="F882" t="str">
            <v>Cây hoa giấy đường kính thân 20 cm&lt; ĐK thân ≤25 cm</v>
          </cell>
        </row>
        <row r="883">
          <cell r="A883" t="str">
            <v>Cây hoa giấy ĐK thân &gt; 25 cm</v>
          </cell>
          <cell r="F883" t="str">
            <v>Cây hoa giấy ĐK thân &gt; 25 cm</v>
          </cell>
        </row>
        <row r="884">
          <cell r="A884" t="str">
            <v>Cây lan bình rượu (náng đế)</v>
          </cell>
          <cell r="F884" t="str">
            <v>Cây lan bình rượu (náng đế)</v>
          </cell>
        </row>
        <row r="885">
          <cell r="A885" t="str">
            <v>Cây lan bình rượu (náng đế) Cây giống mới trồng</v>
          </cell>
          <cell r="F885" t="str">
            <v>Cây lan bình rượu (náng đế) Cây giống mới trồng</v>
          </cell>
        </row>
        <row r="886">
          <cell r="A886" t="str">
            <v>Cây lan bình rượu (náng đế) đường kính thân 2 cm &lt; ĐK thân ≤5 cm</v>
          </cell>
          <cell r="F886" t="str">
            <v>Cây lan bình rượu (náng đế) đường kính thân 2 cm &lt; ĐK thân ≤5 cm</v>
          </cell>
        </row>
        <row r="887">
          <cell r="A887" t="str">
            <v>Cây lan bình rượu (náng đế) đường kính thân 5 cm &lt; ĐK thân ≤10 cm</v>
          </cell>
          <cell r="F887" t="str">
            <v>Cây lan bình rượu (náng đế) đường kính thân 5 cm &lt; ĐK thân ≤10 cm</v>
          </cell>
        </row>
        <row r="888">
          <cell r="A888" t="str">
            <v>Cây lan bình rượu (náng đế) đường kính thân 10 cm &lt; ĐK thân ≤15 cm</v>
          </cell>
          <cell r="F888" t="str">
            <v>Cây lan bình rượu (náng đế) đường kính thân 10 cm &lt; ĐK thân ≤15 cm</v>
          </cell>
        </row>
        <row r="889">
          <cell r="A889" t="str">
            <v>Cây lan bình rượu (náng đế) đường kính thân 15 cm &lt; ĐK thân ≤25 cm</v>
          </cell>
          <cell r="F889" t="str">
            <v>Cây lan bình rượu (náng đế) đường kính thân 15 cm &lt; ĐK thân ≤25 cm</v>
          </cell>
        </row>
        <row r="890">
          <cell r="A890" t="str">
            <v>Cây lan bình rượu (náng đế) ĐK thân &gt; 25 cm</v>
          </cell>
          <cell r="F890" t="str">
            <v>Cây lan bình rượu (náng đế) ĐK thân &gt; 25 cm</v>
          </cell>
        </row>
        <row r="891">
          <cell r="A891" t="str">
            <v>Cây mắc mật (Móc mật)</v>
          </cell>
          <cell r="F891" t="str">
            <v>Cây mắc mật (Móc mật)</v>
          </cell>
        </row>
        <row r="892">
          <cell r="A892" t="str">
            <v>Cây mắc mật (Móc mật) Cây mới trồng, ĐK thân ≤2cm</v>
          </cell>
          <cell r="F892" t="str">
            <v>Cây mắc mật (Móc mật) Cây mới trồng, ĐK thân ≤2cm</v>
          </cell>
        </row>
        <row r="893">
          <cell r="A893" t="str">
            <v>Cây mắc mật (Móc mật) đường kính gốc 2 cm &lt; ĐK gốc ≤ 5 cm</v>
          </cell>
          <cell r="F893" t="str">
            <v>Cây mắc mật (Móc mật) đường kính gốc 2 cm &lt; ĐK gốc ≤ 5 cm</v>
          </cell>
        </row>
        <row r="894">
          <cell r="A894" t="str">
            <v>Cây mắc mật (Móc mật) đường kính gốc 5 cm &lt; ĐK gốc ≤ 10 cm</v>
          </cell>
          <cell r="F894" t="str">
            <v>Cây mắc mật (Móc mật) đường kính gốc 5 cm &lt; ĐK gốc ≤ 10 cm</v>
          </cell>
        </row>
        <row r="895">
          <cell r="A895" t="str">
            <v>Cây mắc mật (Móc mật) đường kính gốc 10 cm &lt; ĐK gốc ≤ 150 cm</v>
          </cell>
          <cell r="F895" t="str">
            <v>Cây mắc mật (Móc mật) đường kính gốc 10 cm &lt; ĐK gốc ≤ 150 cm</v>
          </cell>
        </row>
        <row r="896">
          <cell r="A896" t="str">
            <v>Cây mắc mật (Móc mật) đường kính gốc 15 cm &lt; ĐK gốc ≤ 20 cm</v>
          </cell>
          <cell r="F896" t="str">
            <v>Cây mắc mật (Móc mật) đường kính gốc 15 cm &lt; ĐK gốc ≤ 20 cm</v>
          </cell>
        </row>
        <row r="897">
          <cell r="A897" t="str">
            <v>Cây mắc mật (Móc mật) ĐK gốc &gt; 20 cm</v>
          </cell>
          <cell r="F897" t="str">
            <v>Cây mắc mật (Móc mật) ĐK gốc &gt; 20 cm</v>
          </cell>
        </row>
        <row r="898">
          <cell r="A898" t="str">
            <v>Cây sim</v>
          </cell>
          <cell r="F898" t="str">
            <v>Cây sim</v>
          </cell>
        </row>
        <row r="899">
          <cell r="A899" t="str">
            <v>Cây sim Cây giống mới trồng</v>
          </cell>
          <cell r="F899" t="str">
            <v>Cây sim Cây giống mới trồng</v>
          </cell>
        </row>
        <row r="900">
          <cell r="A900" t="str">
            <v>Cây sim ĐK thân ≤5 cm</v>
          </cell>
          <cell r="F900" t="str">
            <v>Cây sim ĐK thân ≤5 cm</v>
          </cell>
        </row>
        <row r="901">
          <cell r="A901" t="str">
            <v>Cây sim đường kính thân 5 cm &lt; ĐK thân ≤7 cm</v>
          </cell>
          <cell r="F901" t="str">
            <v>Cây sim đường kính thân 5 cm &lt; ĐK thân ≤7 cm</v>
          </cell>
        </row>
        <row r="902">
          <cell r="A902" t="str">
            <v>Cây sim đường kính thân 7 cm &lt; ĐK thân ≤10 cm</v>
          </cell>
          <cell r="F902" t="str">
            <v>Cây sim đường kính thân 7 cm &lt; ĐK thân ≤10 cm</v>
          </cell>
        </row>
        <row r="903">
          <cell r="A903" t="str">
            <v>Cây sim ĐK thân &gt; 10 cm</v>
          </cell>
          <cell r="F903" t="str">
            <v>Cây sim ĐK thân &gt; 10 cm</v>
          </cell>
        </row>
        <row r="904">
          <cell r="A904" t="str">
            <v>Cây tùng bách tán</v>
          </cell>
          <cell r="F904" t="str">
            <v>Cây tùng bách tán</v>
          </cell>
        </row>
        <row r="905">
          <cell r="A905" t="str">
            <v>Cây tùng bách tán Cây giống mới trồng</v>
          </cell>
          <cell r="F905" t="str">
            <v>Cây tùng bách tán Cây giống mới trồng</v>
          </cell>
        </row>
        <row r="906">
          <cell r="A906" t="str">
            <v>Cây tùng bách tán ĐK thân ≤2 cm</v>
          </cell>
          <cell r="F906" t="str">
            <v>Cây tùng bách tán ĐK thân ≤2 cm</v>
          </cell>
        </row>
        <row r="907">
          <cell r="A907" t="str">
            <v>Cây tùng bách tán đường kính thân 2 cm &lt; ĐK thân ≤5 cm</v>
          </cell>
          <cell r="F907" t="str">
            <v>Cây tùng bách tán đường kính thân 2 cm &lt; ĐK thân ≤5 cm</v>
          </cell>
        </row>
        <row r="908">
          <cell r="A908" t="str">
            <v>Cây tùng bách tán đường kính thân 5 cm &lt; ĐK thân ≤10 cm</v>
          </cell>
          <cell r="F908" t="str">
            <v>Cây tùng bách tán đường kính thân 5 cm &lt; ĐK thân ≤10 cm</v>
          </cell>
        </row>
        <row r="909">
          <cell r="A909" t="str">
            <v>Cây tùng bách tán đường kính thân 10 cm &lt; ĐK thân ≤15 cm</v>
          </cell>
          <cell r="F909" t="str">
            <v>Cây tùng bách tán đường kính thân 10 cm &lt; ĐK thân ≤15 cm</v>
          </cell>
        </row>
        <row r="910">
          <cell r="A910" t="str">
            <v>Cây tùng bách tán đường kính thân 15 cm &lt; ĐK thân ≤20 cm</v>
          </cell>
          <cell r="F910" t="str">
            <v>Cây tùng bách tán đường kính thân 15 cm &lt; ĐK thân ≤20 cm</v>
          </cell>
        </row>
        <row r="911">
          <cell r="A911" t="str">
            <v>Cây tùng bách tán đường kính thân 20 cm &lt; ĐK thân ≤25 cm</v>
          </cell>
          <cell r="F911" t="str">
            <v>Cây tùng bách tán đường kính thân 20 cm &lt; ĐK thân ≤25 cm</v>
          </cell>
        </row>
        <row r="912">
          <cell r="A912" t="str">
            <v>Cây tùng bách tán ĐK thân &gt; 25 cm</v>
          </cell>
          <cell r="F912" t="str">
            <v>Cây tùng bách tán ĐK thân &gt; 25 cm</v>
          </cell>
        </row>
        <row r="913">
          <cell r="A913" t="str">
            <v>Cây tùng la hán</v>
          </cell>
          <cell r="F913" t="str">
            <v>Cây tùng la hán</v>
          </cell>
        </row>
        <row r="914">
          <cell r="A914" t="str">
            <v>Cây tùng la hán Cây giống mới trồng</v>
          </cell>
          <cell r="F914" t="str">
            <v>Cây tùng la hán Cây giống mới trồng</v>
          </cell>
        </row>
        <row r="915">
          <cell r="A915" t="str">
            <v>Cây tùng la hán ĐK thân ≤2 cm</v>
          </cell>
          <cell r="F915" t="str">
            <v>Cây tùng la hán ĐK thân ≤2 cm</v>
          </cell>
        </row>
        <row r="916">
          <cell r="A916" t="str">
            <v>Cây tùng la hán đường kính thân 2 cm &lt; ĐK thân ≤5 cm</v>
          </cell>
          <cell r="F916" t="str">
            <v>Cây tùng la hán đường kính thân 2 cm &lt; ĐK thân ≤5 cm</v>
          </cell>
        </row>
        <row r="917">
          <cell r="A917" t="str">
            <v>Cây tùng la hán đường kính thân 5 cm &lt; ĐK thân ≤10 cm</v>
          </cell>
          <cell r="F917" t="str">
            <v>Cây tùng la hán đường kính thân 5 cm &lt; ĐK thân ≤10 cm</v>
          </cell>
        </row>
        <row r="918">
          <cell r="A918" t="str">
            <v>Cây tùng la hán đường kính thân 10 cm &lt; ĐK thân ≤15 cm</v>
          </cell>
          <cell r="F918" t="str">
            <v>Cây tùng la hán đường kính thân 10 cm &lt; ĐK thân ≤15 cm</v>
          </cell>
        </row>
        <row r="919">
          <cell r="A919" t="str">
            <v>Cây tùng la hán đường kính thân 15 cm &lt; ĐK thân ≤20 cm</v>
          </cell>
          <cell r="F919" t="str">
            <v>Cây tùng la hán đường kính thân 15 cm &lt; ĐK thân ≤20 cm</v>
          </cell>
        </row>
        <row r="920">
          <cell r="A920" t="str">
            <v>Cây tùng la hán đường kính thân 20 cm &lt; ĐK thân ≤25 cm</v>
          </cell>
          <cell r="F920" t="str">
            <v>Cây tùng la hán đường kính thân 20 cm &lt; ĐK thân ≤25 cm</v>
          </cell>
        </row>
        <row r="921">
          <cell r="A921" t="str">
            <v>Cây tùng la hán ĐK thân &gt; 25 cm</v>
          </cell>
          <cell r="F921" t="str">
            <v>Cây tùng la hán ĐK thân &gt; 25 cm</v>
          </cell>
        </row>
        <row r="922">
          <cell r="A922" t="str">
            <v>Cây tùng kim</v>
          </cell>
          <cell r="F922" t="str">
            <v>Cây tùng kim</v>
          </cell>
        </row>
        <row r="923">
          <cell r="A923" t="str">
            <v>Cây tùng kim Cây giống mới trồng</v>
          </cell>
          <cell r="F923" t="str">
            <v>Cây tùng kim Cây giống mới trồng</v>
          </cell>
        </row>
        <row r="924">
          <cell r="A924" t="str">
            <v>Cây tùng kim ĐK thân ≤2 cm</v>
          </cell>
          <cell r="F924" t="str">
            <v>Cây tùng kim ĐK thân ≤2 cm</v>
          </cell>
        </row>
        <row r="925">
          <cell r="A925" t="str">
            <v>Cây tùng kim đường kính thân 2 cm &lt; ĐK thân ≤5 cm</v>
          </cell>
          <cell r="F925" t="str">
            <v>Cây tùng kim đường kính thân 2 cm &lt; ĐK thân ≤5 cm</v>
          </cell>
        </row>
        <row r="926">
          <cell r="A926" t="str">
            <v>Cây tùng kim đường kính thân 5 cm &lt; ĐK thân ≤10 cm</v>
          </cell>
          <cell r="F926" t="str">
            <v>Cây tùng kim đường kính thân 5 cm &lt; ĐK thân ≤10 cm</v>
          </cell>
        </row>
        <row r="927">
          <cell r="A927" t="str">
            <v>Cây tùng kim đường kính thân 10 cm &lt; ĐK thân ≤15 cm</v>
          </cell>
          <cell r="F927" t="str">
            <v>Cây tùng kim đường kính thân 10 cm &lt; ĐK thân ≤15 cm</v>
          </cell>
        </row>
        <row r="928">
          <cell r="A928" t="str">
            <v>Cây tùng kim đường kính thân 15 cm &lt; ĐK thân ≤20 cm</v>
          </cell>
          <cell r="F928" t="str">
            <v>Cây tùng kim đường kính thân 15 cm &lt; ĐK thân ≤20 cm</v>
          </cell>
        </row>
        <row r="929">
          <cell r="A929" t="str">
            <v>Cây tùng kim đường kính thân 20 cm &lt; ĐK thân ≤25 cm</v>
          </cell>
          <cell r="F929" t="str">
            <v>Cây tùng kim đường kính thân 20 cm &lt; ĐK thân ≤25 cm</v>
          </cell>
        </row>
        <row r="930">
          <cell r="A930" t="str">
            <v>Cây tùng kim ĐK thân &gt; 25 cm</v>
          </cell>
          <cell r="F930" t="str">
            <v>Cây tùng kim ĐK thân &gt; 25 cm</v>
          </cell>
        </row>
        <row r="931">
          <cell r="A931" t="str">
            <v>Bàng Đài Loan</v>
          </cell>
          <cell r="F931" t="str">
            <v>Bàng Đài Loan</v>
          </cell>
        </row>
        <row r="932">
          <cell r="A932" t="str">
            <v>Bàng Đài Loan Giống đủ tiêu chuẩn mới trồng, chiều cao cây H  ≤ 40cm</v>
          </cell>
          <cell r="F932" t="str">
            <v>Bàng Đài Loan Giống đủ tiêu chuẩn mới trồng, chiều cao cây H  ≤ 40cm</v>
          </cell>
        </row>
        <row r="933">
          <cell r="A933" t="str">
            <v>Bàng Đài Loan đường kính gốc 1cm  ≤ ĐK gốc &lt; 3cm</v>
          </cell>
          <cell r="F933" t="str">
            <v>Bàng Đài Loan đường kính gốc 1cm  ≤ ĐK gốc &lt; 3cm</v>
          </cell>
        </row>
        <row r="934">
          <cell r="A934" t="str">
            <v>Bàng Đài Loan đường kính gốc 3cm  ≤ ĐK gốc &lt; 5cm</v>
          </cell>
          <cell r="F934" t="str">
            <v>Bàng Đài Loan đường kính gốc 3cm  ≤ ĐK gốc &lt; 5cm</v>
          </cell>
        </row>
        <row r="935">
          <cell r="A935" t="str">
            <v>Bàng Đài Loan đường kính gốc 5cm  ≤ ĐK gốc &lt; 10cm</v>
          </cell>
          <cell r="F935" t="str">
            <v>Bàng Đài Loan đường kính gốc 5cm  ≤ ĐK gốc &lt; 10cm</v>
          </cell>
        </row>
        <row r="936">
          <cell r="A936" t="str">
            <v>Bàng Đài Loan đường kính gốc 10cm  ≤ ĐK gốc &lt; 15cm</v>
          </cell>
          <cell r="F936" t="str">
            <v>Bàng Đài Loan đường kính gốc 10cm  ≤ ĐK gốc &lt; 15cm</v>
          </cell>
        </row>
        <row r="937">
          <cell r="A937" t="str">
            <v>Bàng Đài Loan đường kính gốc 15cm  ≤ ĐK gốc &lt; 20cm</v>
          </cell>
          <cell r="F937" t="str">
            <v>Bàng Đài Loan đường kính gốc 15cm  ≤ ĐK gốc &lt; 20cm</v>
          </cell>
        </row>
        <row r="938">
          <cell r="A938" t="str">
            <v>Bàng Đài Loan đường kính gốc 20cm  ≤ ĐK gốc &lt; 25cm</v>
          </cell>
          <cell r="F938" t="str">
            <v>Bàng Đài Loan đường kính gốc 20cm  ≤ ĐK gốc &lt; 25cm</v>
          </cell>
        </row>
        <row r="939">
          <cell r="A939" t="str">
            <v>Bàng Đài Loan đường kính gốc 25cm  ≤ ĐK gốc &lt; 30cm</v>
          </cell>
          <cell r="F939" t="str">
            <v>Bàng Đài Loan đường kính gốc 25cm  ≤ ĐK gốc &lt; 30cm</v>
          </cell>
        </row>
        <row r="940">
          <cell r="A940" t="str">
            <v>Bàng Đài Loan ĐK gốc ≥ 30cm</v>
          </cell>
          <cell r="F940" t="str">
            <v>Bàng Đài Loan ĐK gốc ≥ 30cm</v>
          </cell>
        </row>
        <row r="941">
          <cell r="A941" t="str">
            <v>Tùng Ấn Độ</v>
          </cell>
          <cell r="F941" t="str">
            <v>Tùng Ấn Độ</v>
          </cell>
        </row>
        <row r="942">
          <cell r="A942" t="str">
            <v>Tùng Ấn Độ Cây giống đủ tiêu chuẩn mới trồng, chiều cao cây H &lt; 40cm</v>
          </cell>
          <cell r="F942" t="str">
            <v>Tùng Ấn Độ Cây giống đủ tiêu chuẩn mới trồng, chiều cao cây H &lt; 40cm</v>
          </cell>
        </row>
        <row r="943">
          <cell r="A943" t="str">
            <v>Tùng Ấn Độ đường kính gốc 1 cm  ≤ ĐK gốc &lt; 3cm</v>
          </cell>
          <cell r="F943" t="str">
            <v>Tùng Ấn Độ đường kính gốc 1 cm  ≤ ĐK gốc &lt; 3cm</v>
          </cell>
        </row>
        <row r="944">
          <cell r="A944" t="str">
            <v>Tùng Ấn Độ đường kính gốc 3cm  ≤ ĐK gốc &lt; 5cm</v>
          </cell>
          <cell r="F944" t="str">
            <v>Tùng Ấn Độ đường kính gốc 3cm  ≤ ĐK gốc &lt; 5cm</v>
          </cell>
        </row>
        <row r="945">
          <cell r="A945" t="str">
            <v>Tùng Ấn Độ đường kính gốc 5cm  ≤ ĐK gốc &lt; 10cm</v>
          </cell>
          <cell r="F945" t="str">
            <v>Tùng Ấn Độ đường kính gốc 5cm  ≤ ĐK gốc &lt; 10cm</v>
          </cell>
        </row>
        <row r="946">
          <cell r="A946" t="str">
            <v>Tùng Ấn Độ đường kính gốc 10cm  ≤ ĐK gốc &lt; 15cm</v>
          </cell>
          <cell r="F946" t="str">
            <v>Tùng Ấn Độ đường kính gốc 10cm  ≤ ĐK gốc &lt; 15cm</v>
          </cell>
        </row>
        <row r="947">
          <cell r="A947" t="str">
            <v>Tùng Ấn Độ ĐK gốc ≥ 15cm</v>
          </cell>
          <cell r="F947" t="str">
            <v>Tùng Ấn Độ ĐK gốc ≥ 15cm</v>
          </cell>
        </row>
        <row r="948">
          <cell r="A948" t="str">
            <v>Sầu riêng</v>
          </cell>
          <cell r="F948" t="str">
            <v>Sầu riêng</v>
          </cell>
        </row>
        <row r="949">
          <cell r="A949" t="str">
            <v>Sầu riêng Cây mới trồng &lt;01 năm (cây từ hạt)</v>
          </cell>
          <cell r="F949" t="str">
            <v>Sầu riêng Cây mới trồng &lt;01 năm (cây từ hạt)</v>
          </cell>
        </row>
        <row r="950">
          <cell r="A950" t="str">
            <v>Sầu riêng Cây mới trồng &lt; 01 năm (cây ghép)</v>
          </cell>
          <cell r="F950" t="str">
            <v>Sầu riêng Cây mới trồng &lt; 01 năm (cây ghép)</v>
          </cell>
        </row>
        <row r="951">
          <cell r="A951" t="str">
            <v>Sầu riêng Cây trồng ≥  01 năm, chiều cao thân cây &lt; 1m chưa có quả</v>
          </cell>
          <cell r="F951" t="str">
            <v>Sầu riêng Cây trồng ≥  01 năm, chiều cao thân cây &lt; 1m chưa có quả</v>
          </cell>
        </row>
        <row r="952">
          <cell r="A952" t="str">
            <v>Sầu riêng Cây trồng có chiều cao thân cây từ ≥1 m chưa có quả</v>
          </cell>
          <cell r="F952" t="str">
            <v>Sầu riêng Cây trồng có chiều cao thân cây từ ≥1 m chưa có quả</v>
          </cell>
        </row>
        <row r="953">
          <cell r="A953" t="str">
            <v>Sầu riêng Cây có quả đường kính gốc &lt; 20cm</v>
          </cell>
          <cell r="F953" t="str">
            <v>Sầu riêng Cây có quả đường kính gốc &lt; 20cm</v>
          </cell>
        </row>
        <row r="954">
          <cell r="A954" t="str">
            <v>Sầu riêng Cây có quả tốt đường kính thân ≥ 20cm đến &lt; 45cm</v>
          </cell>
          <cell r="F954" t="str">
            <v>Sầu riêng Cây có quả tốt đường kính thân ≥ 20cm đến &lt; 45cm</v>
          </cell>
        </row>
        <row r="955">
          <cell r="A955" t="str">
            <v>Sầu riêng Cây có quả thu hoạch tốt đường kính gốc ≥ 45 cm</v>
          </cell>
          <cell r="F955" t="str">
            <v>Sầu riêng Cây có quả thu hoạch tốt đường kính gốc ≥ 45 cm</v>
          </cell>
        </row>
        <row r="956">
          <cell r="A956" t="str">
            <v>Cây Dẻ lấy quả</v>
          </cell>
          <cell r="F956" t="str">
            <v>Cây Dẻ lấy quả</v>
          </cell>
        </row>
        <row r="957">
          <cell r="A957" t="str">
            <v>Cây Dẻ lấy quả Mới trồng, ĐK gốc &lt; 5 cm</v>
          </cell>
          <cell r="F957" t="str">
            <v>Cây Dẻ lấy quả Mới trồng, ĐK gốc &lt; 5 cm</v>
          </cell>
        </row>
        <row r="958">
          <cell r="A958" t="str">
            <v>Cây Dẻ lấy quả đường kính gốc 5 cm ≤ ĐK gốc &lt;10cm</v>
          </cell>
          <cell r="F958" t="str">
            <v>Cây Dẻ lấy quả đường kính gốc 5 cm ≤ ĐK gốc &lt;10cm</v>
          </cell>
        </row>
        <row r="959">
          <cell r="A959" t="str">
            <v>Cây Dẻ lấy quả đường kính gốc 10cm ≤ ĐK gốc &lt; 20cm</v>
          </cell>
          <cell r="F959" t="str">
            <v>Cây Dẻ lấy quả đường kính gốc 10cm ≤ ĐK gốc &lt; 20cm</v>
          </cell>
        </row>
        <row r="960">
          <cell r="A960" t="str">
            <v>Cây Dẻ lấy quả đường kính gốc 20cm ≤ ĐK gốc &lt; 30cm</v>
          </cell>
          <cell r="F960" t="str">
            <v>Cây Dẻ lấy quả đường kính gốc 20cm ≤ ĐK gốc &lt; 30cm</v>
          </cell>
        </row>
        <row r="961">
          <cell r="A961" t="str">
            <v>Cây Dẻ lấy quả ĐK gốc &gt; 30cm</v>
          </cell>
          <cell r="F961" t="str">
            <v>Cây Dẻ lấy quả ĐK gốc &gt; 30cm</v>
          </cell>
        </row>
        <row r="962">
          <cell r="A962" t="str">
            <v>Cây lựu</v>
          </cell>
          <cell r="F962" t="str">
            <v>Cây lựu</v>
          </cell>
        </row>
        <row r="963">
          <cell r="A963" t="str">
            <v>Cây lựu Mới trồng, chiều cao cây H ≥ 40cm</v>
          </cell>
          <cell r="F963" t="str">
            <v>Cây lựu Mới trồng, chiều cao cây H ≥ 40cm</v>
          </cell>
        </row>
        <row r="964">
          <cell r="A964" t="str">
            <v>Cây lựu đường kính gốc 1 cm  ≤ ĐK gốc &lt; 2cm</v>
          </cell>
          <cell r="F964" t="str">
            <v>Cây lựu đường kính gốc 1 cm  ≤ ĐK gốc &lt; 2cm</v>
          </cell>
        </row>
        <row r="965">
          <cell r="A965" t="str">
            <v>Cây lựu đường kính gốc 2cm  ≤ ĐK gốc &lt; 5cm</v>
          </cell>
          <cell r="F965" t="str">
            <v>Cây lựu đường kính gốc 2cm  ≤ ĐK gốc &lt; 5cm</v>
          </cell>
        </row>
        <row r="966">
          <cell r="A966" t="str">
            <v>Cây lựu đường kính gốc 5cm  ≤ ĐK gốc &lt; 7cm</v>
          </cell>
          <cell r="F966" t="str">
            <v>Cây lựu đường kính gốc 5cm  ≤ ĐK gốc &lt; 7cm</v>
          </cell>
        </row>
        <row r="967">
          <cell r="A967" t="str">
            <v>Cây lựu đường kính gốc 7cm  ≤ ĐK gốc &lt; 9cm</v>
          </cell>
          <cell r="F967" t="str">
            <v>Cây lựu đường kính gốc 7cm  ≤ ĐK gốc &lt; 9cm</v>
          </cell>
        </row>
        <row r="968">
          <cell r="A968" t="str">
            <v>Cây lựu đường kính gốc 9cm  ≤ ĐK gốc &lt; 12cm</v>
          </cell>
          <cell r="F968" t="str">
            <v>Cây lựu đường kính gốc 9cm  ≤ ĐK gốc &lt; 12cm</v>
          </cell>
        </row>
        <row r="969">
          <cell r="A969" t="str">
            <v>Cây lựu đường kính gốc 12cm  ≤ ĐK gốc &lt; 15cm</v>
          </cell>
          <cell r="F969" t="str">
            <v>Cây lựu đường kính gốc 12cm  ≤ ĐK gốc &lt; 15cm</v>
          </cell>
        </row>
        <row r="970">
          <cell r="A970" t="str">
            <v>Cây lựu đường kính gốc 15cm  ≤ ĐK gốc &lt; 20cm</v>
          </cell>
          <cell r="F970" t="str">
            <v>Cây lựu đường kính gốc 15cm  ≤ ĐK gốc &lt; 20cm</v>
          </cell>
        </row>
        <row r="971">
          <cell r="A971" t="str">
            <v>Cây lựu ĐK gốc ≥ 20cm</v>
          </cell>
          <cell r="F971" t="str">
            <v>Cây lựu ĐK gốc ≥ 20cm</v>
          </cell>
        </row>
        <row r="972">
          <cell r="A972" t="str">
            <v>Cây mai vàng</v>
          </cell>
          <cell r="F972" t="str">
            <v>Cây mai vàng</v>
          </cell>
        </row>
        <row r="973">
          <cell r="A973" t="str">
            <v>Cây mai vàng đường kính gốc 0,5cm ≤ ĐK gốc &lt; 1cm</v>
          </cell>
          <cell r="F973" t="str">
            <v>Cây mai vàng đường kính gốc 0,5cm ≤ ĐK gốc &lt; 1cm</v>
          </cell>
        </row>
        <row r="974">
          <cell r="A974" t="str">
            <v>Cây mai vàng đường kính gốc 1 cm ≤ ĐK gốc &lt; 2cm</v>
          </cell>
          <cell r="F974" t="str">
            <v>Cây mai vàng đường kính gốc 1 cm ≤ ĐK gốc &lt; 2cm</v>
          </cell>
        </row>
        <row r="975">
          <cell r="A975" t="str">
            <v>Cây mai vàng đường kính gốc 2cm ≤ ĐK gốc &lt; 4cm</v>
          </cell>
          <cell r="F975" t="str">
            <v>Cây mai vàng đường kính gốc 2cm ≤ ĐK gốc &lt; 4cm</v>
          </cell>
        </row>
        <row r="976">
          <cell r="A976" t="str">
            <v>Cây mai vàng đường kính gốc 4cm ≤ ĐK gôc &lt; 6cm</v>
          </cell>
          <cell r="F976" t="str">
            <v>Cây mai vàng đường kính gốc 4cm ≤ ĐK gôc &lt; 6cm</v>
          </cell>
        </row>
        <row r="977">
          <cell r="A977" t="str">
            <v>Cây mai vàng đường kính gốc 6cm ≤ ĐK gốc &lt; 10cm</v>
          </cell>
          <cell r="F977" t="str">
            <v>Cây mai vàng đường kính gốc 6cm ≤ ĐK gốc &lt; 10cm</v>
          </cell>
        </row>
        <row r="978">
          <cell r="A978" t="str">
            <v>Cây mai vàng ĐK gốc ≥ 10cm</v>
          </cell>
          <cell r="F978" t="str">
            <v>Cây mai vàng ĐK gốc ≥ 10cm</v>
          </cell>
        </row>
        <row r="979">
          <cell r="A979" t="str">
            <v>Vạn Tuế</v>
          </cell>
          <cell r="F979" t="str">
            <v>Vạn Tuế</v>
          </cell>
        </row>
        <row r="980">
          <cell r="A980" t="str">
            <v>Vạn Tuế ĐK gốc &lt; 10 cm</v>
          </cell>
          <cell r="F980" t="str">
            <v>Vạn Tuế ĐK gốc &lt; 10 cm</v>
          </cell>
        </row>
        <row r="981">
          <cell r="A981" t="str">
            <v>Vạn Tuế đường kính gốc 10 cm ≤ ĐK gốc &lt; 20 cm</v>
          </cell>
          <cell r="F981" t="str">
            <v>Vạn Tuế đường kính gốc 10 cm ≤ ĐK gốc &lt; 20 cm</v>
          </cell>
        </row>
        <row r="982">
          <cell r="A982" t="str">
            <v>Vạn Tuế đường kính gốc 20 cm ≤ ĐK gốc &lt; 30 cm</v>
          </cell>
          <cell r="F982" t="str">
            <v>Vạn Tuế đường kính gốc 20 cm ≤ ĐK gốc &lt; 30 cm</v>
          </cell>
        </row>
        <row r="983">
          <cell r="A983" t="str">
            <v>Vạn Tuế ĐK gốc ≥ 30 cm</v>
          </cell>
          <cell r="F983" t="str">
            <v>Vạn Tuế ĐK gốc ≥ 30 cm</v>
          </cell>
        </row>
        <row r="984">
          <cell r="A984" t="str">
            <v>NHÓM CÂY TÍNH THEO ĐƯỜNG KÍNH TÁN</v>
          </cell>
          <cell r="F984">
            <v>0</v>
          </cell>
        </row>
        <row r="985">
          <cell r="A985" t="str">
            <v>Cây hồng xiêm</v>
          </cell>
          <cell r="F985" t="str">
            <v>Cây hồng xiêm</v>
          </cell>
        </row>
        <row r="986">
          <cell r="A986" t="str">
            <v>Cây hồng xiêm Cây giống đủ tiêu chuẩn mới trồng</v>
          </cell>
          <cell r="F986" t="str">
            <v>Cây hồng xiêm Cây giống đủ tiêu chuẩn mới trồng</v>
          </cell>
        </row>
        <row r="987">
          <cell r="A987" t="str">
            <v>Cây hồng xiêm ĐK tán ≤ 1,5 m</v>
          </cell>
          <cell r="F987" t="str">
            <v>Cây hồng xiêm ĐK tán ≤ 1,5 m</v>
          </cell>
        </row>
        <row r="988">
          <cell r="A988" t="str">
            <v>Cây hồng xiêm đường kính tán 1,5 m &lt; ĐK tán ≤2,5 m</v>
          </cell>
          <cell r="F988" t="str">
            <v>Cây hồng xiêm đường kính tán 1,5 m &lt; ĐK tán ≤2,5 m</v>
          </cell>
        </row>
        <row r="989">
          <cell r="A989" t="str">
            <v>Cây hồng xiêm đường kính tán 2,5 m &lt; ĐK tán ≤ 3,5 m</v>
          </cell>
          <cell r="F989" t="str">
            <v>Cây hồng xiêm đường kính tán 2,5 m &lt; ĐK tán ≤ 3,5 m</v>
          </cell>
        </row>
        <row r="990">
          <cell r="A990" t="str">
            <v>Cây hồng xiêm đường kính tán 3,5 m &lt; ĐK tán ≤ 4,5 m</v>
          </cell>
          <cell r="F990" t="str">
            <v>Cây hồng xiêm đường kính tán 3,5 m &lt; ĐK tán ≤ 4,5 m</v>
          </cell>
        </row>
        <row r="991">
          <cell r="A991" t="str">
            <v>Cây hồng xiêm đường kính tán 4,5 m &lt; ĐK tán ≤ 5,5 m</v>
          </cell>
          <cell r="F991" t="str">
            <v>Cây hồng xiêm đường kính tán 4,5 m &lt; ĐK tán ≤ 5,5 m</v>
          </cell>
        </row>
        <row r="992">
          <cell r="A992" t="str">
            <v>Cây hồng xiêm đường kính tán 5,5 m &lt; ĐK tán ≤ 8 m</v>
          </cell>
          <cell r="F992" t="str">
            <v>Cây hồng xiêm đường kính tán 5,5 m &lt; ĐK tán ≤ 8 m</v>
          </cell>
        </row>
        <row r="993">
          <cell r="A993" t="str">
            <v>Cây hồng xiêm đường kính tán 8 m &lt; ĐK tán &lt; 10 m</v>
          </cell>
          <cell r="F993" t="str">
            <v>Cây hồng xiêm đường kính tán 8 m &lt; ĐK tán &lt; 10 m</v>
          </cell>
        </row>
        <row r="994">
          <cell r="A994" t="str">
            <v>Cây hồng xiêm ĐKtán &gt; 10 m</v>
          </cell>
          <cell r="F994" t="str">
            <v>Cây hồng xiêm ĐKtán &gt; 10 m</v>
          </cell>
        </row>
        <row r="995">
          <cell r="A995" t="str">
            <v>Cây roi</v>
          </cell>
          <cell r="F995" t="str">
            <v>Cây roi</v>
          </cell>
        </row>
        <row r="996">
          <cell r="A996" t="str">
            <v>Cây roi Cây giống đủ tiêu chuẩn mới trồng</v>
          </cell>
          <cell r="F996" t="str">
            <v>Cây roi Cây giống đủ tiêu chuẩn mới trồng</v>
          </cell>
        </row>
        <row r="997">
          <cell r="A997" t="str">
            <v>Cây roi đường kính tán 0,7m &lt; ĐK tán ≤ 1m</v>
          </cell>
          <cell r="F997" t="str">
            <v>Cây roi đường kính tán 0,7m &lt; ĐK tán ≤ 1m</v>
          </cell>
        </row>
        <row r="998">
          <cell r="A998" t="str">
            <v>Cây roi đường kính tán 1 m ≤ĐK tán &lt; l,5m</v>
          </cell>
          <cell r="F998" t="str">
            <v>Cây roi đường kính tán 1 m ≤ĐK tán &lt; l,5m</v>
          </cell>
        </row>
        <row r="999">
          <cell r="A999" t="str">
            <v>Cây roi đường kính tán 1,5m ≤ ĐK tán ≤2m</v>
          </cell>
          <cell r="F999" t="str">
            <v>Cây roi đường kính tán 1,5m ≤ ĐK tán ≤2m</v>
          </cell>
        </row>
        <row r="1000">
          <cell r="A1000" t="str">
            <v>Cây roi đường kính tán 2m ≤ ĐK tán ≤3m</v>
          </cell>
          <cell r="F1000" t="str">
            <v>Cây roi đường kính tán 2m ≤ ĐK tán ≤3m</v>
          </cell>
        </row>
        <row r="1001">
          <cell r="A1001" t="str">
            <v>Cây roi đường kính tán 3m ≤ ĐK tán ≤4m</v>
          </cell>
          <cell r="F1001" t="str">
            <v>Cây roi đường kính tán 3m ≤ ĐK tán ≤4m</v>
          </cell>
        </row>
        <row r="1002">
          <cell r="A1002" t="str">
            <v>Cây roi đường kính tán 4m ≤ ĐK tán ≤5m</v>
          </cell>
          <cell r="F1002" t="str">
            <v>Cây roi đường kính tán 4m ≤ ĐK tán ≤5m</v>
          </cell>
        </row>
        <row r="1003">
          <cell r="A1003" t="str">
            <v>Cây roi đường kính tán 5m ≤ ĐK tán ≤6m</v>
          </cell>
          <cell r="F1003" t="str">
            <v>Cây roi đường kính tán 5m ≤ ĐK tán ≤6m</v>
          </cell>
        </row>
        <row r="1004">
          <cell r="A1004" t="str">
            <v>Cây roi đường kính tán 6m ≤ ĐK tán ≤7m</v>
          </cell>
          <cell r="F1004" t="str">
            <v>Cây roi đường kính tán 6m ≤ ĐK tán ≤7m</v>
          </cell>
        </row>
        <row r="1005">
          <cell r="A1005" t="str">
            <v>Cây roi đường kính tán 7m ≤ ĐK tán ≤8m</v>
          </cell>
          <cell r="F1005" t="str">
            <v>Cây roi đường kính tán 7m ≤ ĐK tán ≤8m</v>
          </cell>
        </row>
        <row r="1006">
          <cell r="A1006" t="str">
            <v>Cây roi đường kính tán 8m ≤  ĐK tán ≤9m</v>
          </cell>
          <cell r="F1006" t="str">
            <v>Cây roi đường kính tán 8m ≤  ĐK tán ≤9m</v>
          </cell>
        </row>
        <row r="1007">
          <cell r="A1007" t="str">
            <v>Cây roi đường kính tán 9m ≤ ĐK tán ≤12m</v>
          </cell>
          <cell r="F1007" t="str">
            <v>Cây roi đường kính tán 9m ≤ ĐK tán ≤12m</v>
          </cell>
        </row>
        <row r="1008">
          <cell r="A1008" t="str">
            <v>Cây roi ĐK tán ≥ 12m</v>
          </cell>
          <cell r="F1008" t="str">
            <v>Cây roi ĐK tán ≥ 12m</v>
          </cell>
        </row>
        <row r="1009">
          <cell r="A1009" t="str">
            <v>Cây hồng, cây cậy</v>
          </cell>
          <cell r="F1009" t="str">
            <v>Cây hồng, cây cậy</v>
          </cell>
        </row>
        <row r="1010">
          <cell r="A1010" t="str">
            <v>Cây hồng, cây cậy Cây giống đủ tiêu chuẩn mới trồng, chiều cao cây H ≥ 40cm</v>
          </cell>
          <cell r="F1010" t="str">
            <v>Cây hồng, cây cậy Cây giống đủ tiêu chuẩn mới trồng, chiều cao cây H ≥ 40cm</v>
          </cell>
        </row>
        <row r="1011">
          <cell r="A1011" t="str">
            <v>Cây hồng, cây cậy ĐK tán ≤ 1,5m</v>
          </cell>
          <cell r="F1011" t="str">
            <v>Cây hồng, cây cậy ĐK tán ≤ 1,5m</v>
          </cell>
        </row>
        <row r="1012">
          <cell r="A1012" t="str">
            <v>Cây hồng, cây cậy đường kính tán 1,5 m &lt; ĐK tán ≤2,5 m</v>
          </cell>
          <cell r="F1012" t="str">
            <v>Cây hồng, cây cậy đường kính tán 1,5 m &lt; ĐK tán ≤2,5 m</v>
          </cell>
        </row>
        <row r="1013">
          <cell r="A1013" t="str">
            <v>Cây hồng, cây cậy đường kính tán 2,5 m &lt; ĐK tán ≤3,5 m</v>
          </cell>
          <cell r="F1013" t="str">
            <v>Cây hồng, cây cậy đường kính tán 2,5 m &lt; ĐK tán ≤3,5 m</v>
          </cell>
        </row>
        <row r="1014">
          <cell r="A1014" t="str">
            <v>Cây hồng, cây cậy đường kính tán 3,5 m &lt; ĐK tán ≤4,5 m</v>
          </cell>
          <cell r="F1014" t="str">
            <v>Cây hồng, cây cậy đường kính tán 3,5 m &lt; ĐK tán ≤4,5 m</v>
          </cell>
        </row>
        <row r="1015">
          <cell r="A1015" t="str">
            <v>Cây hồng, cây cậy đường kính tán 4,5 m &lt; ĐK tán ≤5,5 m</v>
          </cell>
          <cell r="F1015" t="str">
            <v>Cây hồng, cây cậy đường kính tán 4,5 m &lt; ĐK tán ≤5,5 m</v>
          </cell>
        </row>
        <row r="1016">
          <cell r="A1016" t="str">
            <v>Cây hồng, cây cậy đường kính tán 5,5 m &lt; ĐK tán ≤8 m</v>
          </cell>
          <cell r="F1016" t="str">
            <v>Cây hồng, cây cậy đường kính tán 5,5 m &lt; ĐK tán ≤8 m</v>
          </cell>
        </row>
        <row r="1017">
          <cell r="A1017" t="str">
            <v>Cây hồng, cây cậy đường kính tán 8 m &lt; ĐK tán ≤10 m</v>
          </cell>
          <cell r="F1017" t="str">
            <v>Cây hồng, cây cậy đường kính tán 8 m &lt; ĐK tán ≤10 m</v>
          </cell>
        </row>
        <row r="1018">
          <cell r="A1018" t="str">
            <v>Cây hồng, cây cậy ĐKtán &gt; 10 m</v>
          </cell>
          <cell r="F1018" t="str">
            <v>Cây hồng, cây cậy ĐKtán &gt; 10 m</v>
          </cell>
        </row>
        <row r="1019">
          <cell r="A1019" t="str">
            <v>Cây chanh</v>
          </cell>
          <cell r="F1019" t="str">
            <v>Cây chanh</v>
          </cell>
        </row>
        <row r="1020">
          <cell r="A1020" t="str">
            <v>Cây chanh Cây giống đủ tiêu chuẩn mới trồng, chiều cao cây H ≥ 40cm</v>
          </cell>
          <cell r="F1020" t="str">
            <v>Cây chanh Cây giống đủ tiêu chuẩn mới trồng, chiều cao cây H ≥ 40cm</v>
          </cell>
        </row>
        <row r="1021">
          <cell r="A1021" t="str">
            <v>Cây chanh ĐK tán ≤1 m</v>
          </cell>
          <cell r="F1021" t="str">
            <v>Cây chanh ĐK tán ≤1 m</v>
          </cell>
        </row>
        <row r="1022">
          <cell r="A1022" t="str">
            <v>Cây chanh đường kính tán 1 m &lt; ĐK tán ≤ 1,5 m</v>
          </cell>
          <cell r="F1022" t="str">
            <v>Cây chanh đường kính tán 1 m &lt; ĐK tán ≤ 1,5 m</v>
          </cell>
        </row>
        <row r="1023">
          <cell r="A1023" t="str">
            <v>Cây chanh đường kính tán 1,5 m &lt; ĐK tán ≤ 2 m</v>
          </cell>
          <cell r="F1023" t="str">
            <v>Cây chanh đường kính tán 1,5 m &lt; ĐK tán ≤ 2 m</v>
          </cell>
        </row>
        <row r="1024">
          <cell r="A1024" t="str">
            <v>Cây chanh đường kính tán 2 m &lt; ĐK tán ≤ 3 m</v>
          </cell>
          <cell r="F1024" t="str">
            <v>Cây chanh đường kính tán 2 m &lt; ĐK tán ≤ 3 m</v>
          </cell>
        </row>
        <row r="1025">
          <cell r="A1025" t="str">
            <v>Cây chanh đường kính tán 3 m &lt; ĐK tán ≤ 4 m</v>
          </cell>
          <cell r="F1025" t="str">
            <v>Cây chanh đường kính tán 3 m &lt; ĐK tán ≤ 4 m</v>
          </cell>
        </row>
        <row r="1026">
          <cell r="A1026" t="str">
            <v>Cây chanh ĐKtán &gt; 4m</v>
          </cell>
          <cell r="F1026" t="str">
            <v>Cây chanh ĐKtán &gt; 4m</v>
          </cell>
        </row>
        <row r="1027">
          <cell r="A1027" t="str">
            <v>Cây cam</v>
          </cell>
          <cell r="F1027" t="str">
            <v>Cây cam</v>
          </cell>
        </row>
        <row r="1028">
          <cell r="A1028" t="str">
            <v>Cây cam giống Loại cây ghép có chiều cao cây 40cm ≤ H &lt; 1m</v>
          </cell>
          <cell r="F1028">
            <v>0</v>
          </cell>
        </row>
        <row r="1029">
          <cell r="A1029" t="str">
            <v>Cây cam giống Loại cây ghép có chiều cao cây H ≥ 1 m</v>
          </cell>
          <cell r="F1029" t="str">
            <v>Cây cam giống Loại cây ghép có chiều cao cây H ≥ 1 m</v>
          </cell>
        </row>
        <row r="1030">
          <cell r="A1030" t="str">
            <v>Cây cam giống Loại cây chiết cành có chiều cao 40cm ≤ H &lt; 1m</v>
          </cell>
          <cell r="F1030" t="str">
            <v>Cây cam giống Loại cây chiết cành có chiều cao 40cm ≤ H &lt; 1m</v>
          </cell>
        </row>
        <row r="1031">
          <cell r="A1031" t="str">
            <v>Cây cam giống Loại cây chiết cành có chiều cao cây H ≥ 1m</v>
          </cell>
          <cell r="F1031" t="str">
            <v>Cây cam giống Loại cây chiết cành có chiều cao cây H ≥ 1m</v>
          </cell>
        </row>
        <row r="1032">
          <cell r="A1032" t="str">
            <v>Cây cam ĐK tán ≤1 m</v>
          </cell>
          <cell r="F1032" t="str">
            <v>Cây cam ĐK tán ≤1 m</v>
          </cell>
        </row>
        <row r="1033">
          <cell r="A1033" t="str">
            <v>Cây cam đường kính tán 1 m &lt; ĐKtán ≤ 1,5 m</v>
          </cell>
          <cell r="F1033" t="str">
            <v>Cây cam đường kính tán 1 m &lt; ĐKtán ≤ 1,5 m</v>
          </cell>
        </row>
        <row r="1034">
          <cell r="A1034" t="str">
            <v>Cây cam đường kính tán 1,5 m &lt; ĐK tán ≤ 2 m</v>
          </cell>
          <cell r="F1034" t="str">
            <v>Cây chanh Cây giống đủ tiêu chuẩn mới trồng, chiều cao cây H ≥ 40cm</v>
          </cell>
        </row>
        <row r="1035">
          <cell r="A1035" t="str">
            <v>Cây cam đường kính tán 2 m &lt; ĐK tán ≤ 3 m</v>
          </cell>
          <cell r="F1035" t="str">
            <v>Cây cam đường kính tán 2 m &lt; ĐK tán ≤ 3 m</v>
          </cell>
        </row>
        <row r="1036">
          <cell r="A1036" t="str">
            <v>Cây cam đường kính tán 3 m &lt; ĐK tán ≤ 5 m</v>
          </cell>
          <cell r="F1036" t="str">
            <v>Cây cam đường kính tán 3 m &lt; ĐK tán ≤ 5 m</v>
          </cell>
        </row>
        <row r="1037">
          <cell r="A1037" t="str">
            <v>Cây cam ĐK tán &gt; 5 m</v>
          </cell>
          <cell r="F1037" t="str">
            <v>Cây cam ĐK tán &gt; 5 m</v>
          </cell>
        </row>
        <row r="1038">
          <cell r="A1038" t="str">
            <v>Cây quýt</v>
          </cell>
          <cell r="F1038" t="str">
            <v>Cây quýt</v>
          </cell>
        </row>
        <row r="1039">
          <cell r="A1039" t="str">
            <v>Cây quýt ĐK tán ≤ 1,5 m</v>
          </cell>
          <cell r="F1039" t="str">
            <v>Cây quýt ĐK tán ≤ 1,5 m</v>
          </cell>
        </row>
        <row r="1040">
          <cell r="A1040" t="str">
            <v>Cây quýt đường kính tán 1,5 m &lt; ĐK tán ≤ 2 m</v>
          </cell>
          <cell r="F1040" t="str">
            <v>Cây quýt đường kính tán 1,5 m &lt; ĐK tán ≤ 2 m</v>
          </cell>
        </row>
        <row r="1041">
          <cell r="A1041" t="str">
            <v>Cây quýt đường kính tán 2 m &lt; ĐK tán ≤ 3 m</v>
          </cell>
          <cell r="F1041" t="str">
            <v>Cây quýt đường kính tán 2 m &lt; ĐK tán ≤ 3 m</v>
          </cell>
        </row>
        <row r="1042">
          <cell r="A1042" t="str">
            <v>Cây quýt đường kính tán 3 m &lt; ĐK tán ≤ 5 m</v>
          </cell>
          <cell r="F1042" t="str">
            <v>Cây quýt đường kính tán 3 m &lt; ĐK tán ≤ 5 m</v>
          </cell>
        </row>
        <row r="1043">
          <cell r="A1043" t="str">
            <v>Cây quýt ĐK tán &gt; 5 m</v>
          </cell>
          <cell r="F1043" t="str">
            <v>Cây quýt ĐK tán &gt; 5 m</v>
          </cell>
        </row>
        <row r="1044">
          <cell r="A1044" t="str">
            <v>Cây quất</v>
          </cell>
          <cell r="F1044" t="str">
            <v>Cây quất</v>
          </cell>
        </row>
        <row r="1045">
          <cell r="A1045" t="str">
            <v>Cây quất Cây giống đủ tiêu chuẩn mới trồng</v>
          </cell>
          <cell r="F1045" t="str">
            <v>Cây quất Cây giống đủ tiêu chuẩn mới trồng</v>
          </cell>
        </row>
        <row r="1046">
          <cell r="A1046" t="str">
            <v>Cây quất ĐK tán ≤1 m</v>
          </cell>
          <cell r="F1046" t="str">
            <v>Cây quất ĐK tán ≤1 m</v>
          </cell>
        </row>
        <row r="1047">
          <cell r="A1047" t="str">
            <v>Cây quất đường kính tán 1 m &lt; ĐK tán ≤2 m</v>
          </cell>
          <cell r="F1047" t="str">
            <v>Cây quất đường kính tán 1 m &lt; ĐK tán ≤2 m</v>
          </cell>
        </row>
        <row r="1048">
          <cell r="A1048" t="str">
            <v>Cây quất ĐK tán &gt; 2 m</v>
          </cell>
          <cell r="F1048" t="str">
            <v>Cây quất ĐK tán &gt; 2 m</v>
          </cell>
        </row>
        <row r="1049">
          <cell r="A1049" t="str">
            <v>Cây đào (lấy quả), cây mận (lấy quả), cây mơ (lấy quả)</v>
          </cell>
          <cell r="F1049" t="str">
            <v>Cây đào (lấy quả), cây mận (lấy quả), cây mơ (lấy quả)</v>
          </cell>
        </row>
        <row r="1050">
          <cell r="A1050" t="str">
            <v>Cây đào (lấy quả), cây mận (lấy quả), cây mơ (lấy quả) ĐK tán ≤1 m</v>
          </cell>
          <cell r="F1050" t="str">
            <v>Cây đào (lấy quả), cây mận (lấy quả), cây mơ (lấy quả) ĐK tán ≤1 m</v>
          </cell>
        </row>
        <row r="1051">
          <cell r="A1051" t="str">
            <v>Cây đào (lấy quả), cây mận (lấy quả), cây mơ (lấy quả) đường kính tán 1 m &lt; ĐK tán ≤1,5 m</v>
          </cell>
          <cell r="F1051" t="str">
            <v>Cây đào (lấy quả), cây mận (lấy quả), cây mơ (lấy quả) đường kính tán 1 m &lt; ĐK tán ≤1,5 m</v>
          </cell>
        </row>
        <row r="1052">
          <cell r="A1052" t="str">
            <v>Cây đào (lấy quả), cây mận (lấy quả), cây mơ (lấy quả) đường kính tán  1,5 m &lt; ĐK tán ≤ 2 m</v>
          </cell>
          <cell r="F1052" t="str">
            <v>Cây đào (lấy quả), cây mận (lấy quả), cây mơ (lấy quả) đường kính tán  1,5 m &lt; ĐK tán ≤ 2 m</v>
          </cell>
        </row>
        <row r="1053">
          <cell r="A1053" t="str">
            <v>Cây đào (lấy quả), cây mận (lấy quả), cây mơ (lấy quả) đường kính tán 2 m &lt; ĐK tán ≤ 3 m</v>
          </cell>
          <cell r="F1053" t="str">
            <v>Cây đào (lấy quả), cây mận (lấy quả), cây mơ (lấy quả) đường kính tán 2 m &lt; ĐK tán ≤ 3 m</v>
          </cell>
        </row>
        <row r="1054">
          <cell r="A1054" t="str">
            <v>Cây đào (lấy quả), cây mận (lấy quả), cây mơ (lấy quả) đường kính tán  3 m &lt; ĐK tán ≤ 5 m</v>
          </cell>
          <cell r="F1054" t="str">
            <v>Cây đào (lấy quả), cây mận (lấy quả), cây mơ (lấy quả) đường kính tán  3 m &lt; ĐK tán ≤ 5 m</v>
          </cell>
        </row>
        <row r="1055">
          <cell r="A1055" t="str">
            <v>Cây đào (lấy quả), cây mận (lấy quả), cây mơ (lấy quả) ĐK tán &gt; 5 m</v>
          </cell>
          <cell r="F1055" t="str">
            <v>Cây đào (lấy quả), cây mận (lấy quả), cây mơ (lấy quả) ĐK tán &gt; 5 m</v>
          </cell>
        </row>
        <row r="1056">
          <cell r="A1056" t="str">
            <v>Cây thanh trà (chanh trà)</v>
          </cell>
          <cell r="F1056" t="str">
            <v>Cây thanh trà (chanh trà)</v>
          </cell>
        </row>
        <row r="1057">
          <cell r="A1057" t="str">
            <v>Cây thanh trà (chanh trà) Cây giống đủ tiêu chuẩn mới trồng, chiều cao cây H ≥ 40cm</v>
          </cell>
          <cell r="F1057" t="str">
            <v>Cây thanh trà (chanh trà) Cây giống đủ tiêu chuẩn mới trồng, chiều cao cây H ≥ 40cm</v>
          </cell>
        </row>
        <row r="1058">
          <cell r="A1058" t="str">
            <v>Cây thanh trà (chanh trà) ĐK tán ≤1 m</v>
          </cell>
          <cell r="F1058" t="str">
            <v>Cây thanh trà (chanh trà) ĐK tán ≤1 m</v>
          </cell>
        </row>
        <row r="1059">
          <cell r="A1059" t="str">
            <v>Cây thanh trà (chanh trà) đường kính tán 1 m &lt; ĐK tán ≤ 1,5 m</v>
          </cell>
          <cell r="F1059" t="str">
            <v>Cây thanh trà (chanh trà) đường kính tán 1 m &lt; ĐK tán ≤ 1,5 m</v>
          </cell>
        </row>
        <row r="1060">
          <cell r="A1060" t="str">
            <v>Cây thanh trà (chanh trà) đường kính tán 1,5 m &lt; ĐK tán ≤ 2 m</v>
          </cell>
          <cell r="F1060" t="str">
            <v>Cây thanh trà (chanh trà) đường kính tán 1,5 m &lt; ĐK tán ≤ 2 m</v>
          </cell>
        </row>
        <row r="1061">
          <cell r="A1061" t="str">
            <v>Cây thanh trà (chanh trà) đường kính tán 2 m &lt; ĐK tán ≤ 3 m</v>
          </cell>
          <cell r="F1061" t="str">
            <v>Cây thanh trà (chanh trà) đường kính tán 2 m &lt; ĐK tán ≤ 3 m</v>
          </cell>
        </row>
        <row r="1062">
          <cell r="A1062" t="str">
            <v>Cây thanh trà (chanh trà) đường kính tán 3 m &lt; ĐK tán ≤ 5 m</v>
          </cell>
          <cell r="F1062" t="str">
            <v>Cây thanh trà (chanh trà) đường kính tán 3 m &lt; ĐK tán ≤ 5 m</v>
          </cell>
        </row>
        <row r="1063">
          <cell r="A1063" t="str">
            <v>Cây thanh trà (chanh trà) ĐK tán &gt; 5 m</v>
          </cell>
          <cell r="F1063" t="str">
            <v>Cây thanh trà (chanh trà) ĐK tán &gt; 5 m</v>
          </cell>
        </row>
        <row r="1064">
          <cell r="A1064" t="str">
            <v>Cây nhót</v>
          </cell>
          <cell r="F1064" t="str">
            <v>Cây nhót</v>
          </cell>
        </row>
        <row r="1065">
          <cell r="A1065" t="str">
            <v>Cây nhót Cây giống mới trồng</v>
          </cell>
          <cell r="F1065" t="str">
            <v>Cây nhót Cây giống mới trồng</v>
          </cell>
        </row>
        <row r="1066">
          <cell r="A1066" t="str">
            <v>Cây nhót ĐK tán ≤1,5 m</v>
          </cell>
          <cell r="F1066" t="str">
            <v>Cây nhót ĐK tán ≤1,5 m</v>
          </cell>
        </row>
        <row r="1067">
          <cell r="A1067" t="str">
            <v>Cây nhót đường kính tán 1,5 m &lt; ĐK tán ≤2 m</v>
          </cell>
          <cell r="F1067" t="str">
            <v>Cây nhót đường kính tán 1,5 m &lt; ĐK tán ≤2 m</v>
          </cell>
        </row>
        <row r="1068">
          <cell r="A1068" t="str">
            <v>Cây nhót đường kính tán 2 m &lt; ĐK tán ≤3 m</v>
          </cell>
          <cell r="F1068" t="str">
            <v>Cây nhót đường kính tán 2 m &lt; ĐK tán ≤3 m</v>
          </cell>
        </row>
        <row r="1069">
          <cell r="A1069" t="str">
            <v>Cây nhót đường kính tán 3 m &lt; ĐK tán ≤5 m</v>
          </cell>
          <cell r="F1069" t="str">
            <v>Cây nhót đường kính tán 3 m &lt; ĐK tán ≤5 m</v>
          </cell>
        </row>
        <row r="1070">
          <cell r="A1070" t="str">
            <v>Cây nhót ĐK tán &gt; 5 m</v>
          </cell>
          <cell r="F1070" t="str">
            <v>Cây nhót ĐK tán &gt; 5 m</v>
          </cell>
        </row>
        <row r="1071">
          <cell r="A1071" t="str">
            <v>Cây Thanh long</v>
          </cell>
          <cell r="F1071" t="str">
            <v>Cây Thanh long</v>
          </cell>
        </row>
        <row r="1072">
          <cell r="A1072" t="str">
            <v>Cây Thanh long ĐK tán ≤1 m</v>
          </cell>
          <cell r="F1072" t="str">
            <v>Cây Thanh long ĐK tán ≤1 m</v>
          </cell>
        </row>
        <row r="1073">
          <cell r="A1073" t="str">
            <v>Cây Thanh long đường kính tán 1 m &lt; ĐK tán ≤2 m</v>
          </cell>
          <cell r="F1073" t="str">
            <v>Cây Thanh long đường kính tán 1 m &lt; ĐK tán ≤2 m</v>
          </cell>
        </row>
        <row r="1074">
          <cell r="A1074" t="str">
            <v>Cây Thanh long đường kính tán 2 m &lt; ĐK tán ≤3 m</v>
          </cell>
          <cell r="F1074" t="str">
            <v>Cây Thanh long đường kính tán 2 m &lt; ĐK tán ≤3 m</v>
          </cell>
        </row>
        <row r="1075">
          <cell r="A1075" t="str">
            <v>Cây Thanh long ĐK tán &gt; 3 m</v>
          </cell>
          <cell r="F1075" t="str">
            <v>Cây Thanh long ĐK tán &gt; 3 m</v>
          </cell>
        </row>
        <row r="1076">
          <cell r="A1076" t="str">
            <v>Cây chè</v>
          </cell>
          <cell r="F1076" t="str">
            <v>Cây chè</v>
          </cell>
        </row>
        <row r="1077">
          <cell r="A1077" t="str">
            <v>Cây chè Cây giống đủ tiêu chuẩn mới trồng</v>
          </cell>
          <cell r="F1077" t="str">
            <v>Cây chè Cây giống đủ tiêu chuẩn mới trồng</v>
          </cell>
        </row>
        <row r="1078">
          <cell r="A1078" t="str">
            <v>Cây chè ĐK tán ≤0,8 m</v>
          </cell>
          <cell r="F1078" t="str">
            <v>Cây chè ĐK tán ≤0,8 m</v>
          </cell>
        </row>
        <row r="1079">
          <cell r="A1079" t="str">
            <v>Cây chè đường kính tán 0,8 m &lt; ĐK tán ≤1 m</v>
          </cell>
          <cell r="F1079" t="str">
            <v>Cây chè đường kính tán 0,8 m &lt; ĐK tán ≤1 m</v>
          </cell>
        </row>
        <row r="1080">
          <cell r="A1080" t="str">
            <v>Cây chè đường kính tán 1 m &lt; ĐK tán ≤1,2 m</v>
          </cell>
          <cell r="F1080" t="str">
            <v>Cây chè đường kính tán 1 m &lt; ĐK tán ≤1,2 m</v>
          </cell>
        </row>
        <row r="1081">
          <cell r="A1081" t="str">
            <v>Cây chè ĐK tán &gt; 1,2 m</v>
          </cell>
          <cell r="F1081" t="str">
            <v>Cây chè ĐK tán &gt; 1,2 m</v>
          </cell>
        </row>
        <row r="1082">
          <cell r="A1082" t="str">
            <v>Cây mẫu đơn ta</v>
          </cell>
          <cell r="F1082" t="str">
            <v>Cây mẫu đơn ta</v>
          </cell>
        </row>
        <row r="1083">
          <cell r="A1083" t="str">
            <v>Cây mẫu đơn ta Cây giống đủ tiêu chuẩn mới trồng, chiều cao cây H &lt; 40cm</v>
          </cell>
          <cell r="F1083" t="str">
            <v>Cây mẫu đơn ta Cây giống đủ tiêu chuẩn mới trồng, chiều cao cây H &lt; 40cm</v>
          </cell>
        </row>
        <row r="1084">
          <cell r="A1084" t="str">
            <v>Cây mẫu đơn ta Cây giống đủ tiêu chuẩn mới trồng, chiều cao cây 40cm ≤ H &lt; 100cm</v>
          </cell>
          <cell r="F1084" t="str">
            <v>Cây mẫu đơn ta Cây giống đủ tiêu chuẩn mới trồng, chiều cao cây 40cm ≤ H &lt; 100cm</v>
          </cell>
        </row>
        <row r="1085">
          <cell r="A1085" t="str">
            <v>Cây mẫu đơn ta Cây giống đủ tiêu chuẩn mới trồng, chiều cao cây H ≥ 100cm</v>
          </cell>
          <cell r="F1085" t="str">
            <v>Cây mẫu đơn ta Cây giống đủ tiêu chuẩn mới trồng, chiều cao cây H ≥ 100cm</v>
          </cell>
        </row>
        <row r="1086">
          <cell r="A1086" t="str">
            <v>Cây mẫu đơn ta có ĐK tán &lt; 1m, gốc có 5-7 nhánh</v>
          </cell>
          <cell r="F1086" t="str">
            <v>Cây mẫu đơn ta có ĐK tán &lt; 1m, gốc có 5-7 nhánh</v>
          </cell>
        </row>
        <row r="1087">
          <cell r="A1087" t="str">
            <v>Cây mẫu đơn ta có ĐK tán từ 1,0m đến 1,2m gốc có 5- 7 nhánh</v>
          </cell>
          <cell r="F1087" t="str">
            <v>Cây mẫu đơn ta có ĐK tán từ 1,0m đến 1,2m gốc có 5- 7 nhánh</v>
          </cell>
        </row>
        <row r="1088">
          <cell r="A1088" t="str">
            <v>Cây mẫu đơn ta có ĐK tán l,0m đến l,2m, gốc có 8-10 nhánh</v>
          </cell>
          <cell r="F1088" t="str">
            <v>Cây mẫu đơn ta có ĐK tán l,0m đến l,2m, gốc có 8-10 nhánh</v>
          </cell>
        </row>
        <row r="1089">
          <cell r="A1089" t="str">
            <v>Cây mẫu đơn ta có ĐK tán l,3m đến 1,5 m, gốc có 8- 10 nhánh</v>
          </cell>
          <cell r="F1089" t="str">
            <v>Cây mẫu đơn ta có ĐK tán l,3m đến 1,5 m, gốc có 8- 10 nhánh</v>
          </cell>
        </row>
        <row r="1090">
          <cell r="A1090" t="str">
            <v>Cây mẫu đơn ta có ĐK tán l,6m đến 2m, gốc có trên 10 nhánh</v>
          </cell>
          <cell r="F1090" t="str">
            <v>Cây mẫu đơn ta có ĐK tán l,6m đến 2m, gốc có trên 10 nhánh</v>
          </cell>
        </row>
        <row r="1091">
          <cell r="A1091" t="str">
            <v>Cây mẫu đơn ta có ĐK tán 2,0m đến 2,2 m, gốc có trên 10 nhánh</v>
          </cell>
          <cell r="F1091" t="str">
            <v>Cây mẫu đơn ta có ĐK tán 2,0m đến 2,2 m, gốc có trên 10 nhánh</v>
          </cell>
        </row>
        <row r="1092">
          <cell r="A1092" t="str">
            <v>Cây mẫu đơn ta có ĐK tán &gt;2,2m đến 2,5m, gốc có trên 10 nhánh</v>
          </cell>
          <cell r="F1092" t="str">
            <v>Cây mẫu đơn ta có ĐK tán &gt;2,2m đến 2,5m, gốc có trên 10 nhánh</v>
          </cell>
        </row>
        <row r="1093">
          <cell r="A1093" t="str">
            <v>Cây mẫu đơn ta có ĐK tán &gt;2,5 m, gôc có trên 10 nhánh</v>
          </cell>
          <cell r="F1093" t="str">
            <v>Cây mẫu đơn ta có ĐK tán &gt;2,5 m, gôc có trên 10 nhánh</v>
          </cell>
        </row>
        <row r="1094">
          <cell r="A1094" t="str">
            <v>Cây thiên phúc (pháo hoa)</v>
          </cell>
          <cell r="F1094" t="str">
            <v>Cây thiên phúc (pháo hoa)</v>
          </cell>
        </row>
        <row r="1095">
          <cell r="A1095" t="str">
            <v>Cây thiên phúc (pháo hoa) Cây giống mới trồng</v>
          </cell>
          <cell r="F1095" t="str">
            <v>Cây thiên phúc (pháo hoa) Cây giống mới trồng</v>
          </cell>
        </row>
        <row r="1096">
          <cell r="A1096" t="str">
            <v>Cây thiên phúc (pháo hoa) đường kính tán 0,5 m &lt; ĐK tán ≤1 m</v>
          </cell>
          <cell r="F1096" t="str">
            <v>Cây thiên phúc (pháo hoa) đường kính tán 0,5 m &lt; ĐK tán ≤1 m</v>
          </cell>
        </row>
        <row r="1097">
          <cell r="A1097" t="str">
            <v>Cây thiên phúc (pháo hoa) đường kính tán 1 m &lt; ĐK tán ≤2,5 m</v>
          </cell>
          <cell r="F1097" t="str">
            <v>Cây thiên phúc (pháo hoa) đường kính tán 1 m &lt; ĐK tán ≤2,5 m</v>
          </cell>
        </row>
        <row r="1098">
          <cell r="A1098" t="str">
            <v>Cây thiên phúc (pháo hoa) ĐK tán &gt; 2,5 m</v>
          </cell>
          <cell r="F1098" t="str">
            <v>Cây thiên phúc (pháo hoa) ĐK tán &gt; 2,5 m</v>
          </cell>
        </row>
        <row r="1099">
          <cell r="A1099" t="str">
            <v>Cây mẫu đơn nhật</v>
          </cell>
          <cell r="F1099" t="str">
            <v>Cây mẫu đơn nhật</v>
          </cell>
        </row>
        <row r="1100">
          <cell r="A1100" t="str">
            <v>Cây mẫu đơn nhật Cây giống mới trồng</v>
          </cell>
          <cell r="F1100" t="str">
            <v>Cây mẫu đơn nhật Cây giống mới trồng</v>
          </cell>
        </row>
        <row r="1101">
          <cell r="A1101" t="str">
            <v>Cây mẫu đơn nhật đường kính tán 1 m &lt; ĐK tán ≤ 1,5 m</v>
          </cell>
          <cell r="F1101" t="str">
            <v>Cây mẫu đơn nhật đường kính tán 1 m &lt; ĐK tán ≤ 1,5 m</v>
          </cell>
        </row>
        <row r="1102">
          <cell r="A1102" t="str">
            <v>Cây mẫu đơn nhật đường kính tán 1,5 m &lt; ĐK tán ≤ 2m</v>
          </cell>
          <cell r="F1102" t="str">
            <v>Cây mẫu đơn nhật đường kính tán 1,5 m &lt; ĐK tán ≤ 2m</v>
          </cell>
        </row>
        <row r="1103">
          <cell r="A1103" t="str">
            <v>Cây mẫu đơn nhật ĐK tán &gt; 2 m</v>
          </cell>
          <cell r="F1103" t="str">
            <v>Cây mẫu đơn nhật ĐK tán &gt; 2 m</v>
          </cell>
        </row>
        <row r="1104">
          <cell r="A1104" t="str">
            <v>Cây dâm bụt, cây ngũ sắc</v>
          </cell>
          <cell r="F1104" t="str">
            <v>Cây dâm bụt, cây ngũ sắc</v>
          </cell>
        </row>
        <row r="1105">
          <cell r="A1105" t="str">
            <v>Cây dâm bụt, cây ngũ sắc Cây giống mới trồng</v>
          </cell>
          <cell r="F1105" t="str">
            <v>Cây dâm bụt, cây ngũ sắc Cây giống mới trồng</v>
          </cell>
        </row>
        <row r="1106">
          <cell r="A1106" t="str">
            <v>Cây dâm bụt, cây ngũ sắc đường kính tán 0,5 m &lt; ĐK tán ≤ 1 m</v>
          </cell>
          <cell r="F1106" t="str">
            <v>Cây dâm bụt, cây ngũ sắc đường kính tán 0,5 m &lt; ĐK tán ≤ 1 m</v>
          </cell>
        </row>
        <row r="1107">
          <cell r="A1107" t="str">
            <v>Cây dâm bụt, cây ngũ sắc đường kính tán 1 m &lt; ĐK tán ≤ 1,5 m</v>
          </cell>
          <cell r="F1107" t="str">
            <v>Cây dâm bụt, cây ngũ sắc đường kính tán 1 m &lt; ĐK tán ≤ 1,5 m</v>
          </cell>
        </row>
        <row r="1108">
          <cell r="A1108" t="str">
            <v>Cây dâm bụt, cây ngũ sắc đường kính tán 1,5 m &lt; ĐK tán ≤ 2 m</v>
          </cell>
          <cell r="F1108" t="str">
            <v>Cây dâm bụt, cây ngũ sắc đường kính tán 1,5 m &lt; ĐK tán ≤ 2 m</v>
          </cell>
        </row>
        <row r="1109">
          <cell r="A1109" t="str">
            <v>Cây dâm bụt, cây ngũ sắc đường kính tán 2 m &lt; ĐK tán ≤ 3 m</v>
          </cell>
          <cell r="F1109" t="str">
            <v>Cây sắn thuyền chiều cao cây H &gt; 3 m</v>
          </cell>
        </row>
        <row r="1110">
          <cell r="F1110" t="str">
            <v>Cây dâm bụt, cây ngũ sắc ĐK tán &gt; 3 m</v>
          </cell>
        </row>
        <row r="1111">
          <cell r="F1111" t="str">
            <v>Cây hoa sứ</v>
          </cell>
        </row>
        <row r="1112">
          <cell r="F1112" t="str">
            <v>Cây hoa sứ Cây giống đủ tiêu chuẩn mới trồng, chưa ra hoa</v>
          </cell>
        </row>
        <row r="1113">
          <cell r="F1113" t="str">
            <v>Cây hoa sứ đường kính tán 0,5 m &lt; ĐK tán ≤1 m</v>
          </cell>
        </row>
        <row r="1114">
          <cell r="F1114" t="str">
            <v>Cây hoa sứ đường kính tán 1 m &lt; ĐK tán ≤2 m</v>
          </cell>
        </row>
        <row r="1115">
          <cell r="F1115" t="str">
            <v>Cây hoa sứ đường kính tán 2 m &lt; ĐK tán ≤3 m</v>
          </cell>
        </row>
        <row r="1116">
          <cell r="F1116" t="str">
            <v>Cây hoa sứ đường kính tán 3 m &lt; ĐK tán ≤4 m</v>
          </cell>
        </row>
        <row r="1117">
          <cell r="F1117" t="str">
            <v>Cây hoa sứ ĐK tán &gt; 4 m</v>
          </cell>
        </row>
        <row r="1118">
          <cell r="F1118" t="str">
            <v>Cây ngâu, cây tứ quý</v>
          </cell>
        </row>
        <row r="1119">
          <cell r="F1119" t="str">
            <v>Cây ngâu, cây tứ quý Cây giống đủ tiêu chuẩn mới trồng, chưa ra hoa</v>
          </cell>
        </row>
        <row r="1120">
          <cell r="F1120" t="str">
            <v>Cây ngâu, cây tứ quý đường kính tán 0,5 m &lt; ĐK tán ≤1 m</v>
          </cell>
        </row>
        <row r="1121">
          <cell r="F1121" t="str">
            <v>Cây ngâu, cây tứ quý đường kính tán 1 m &lt; ĐK tán ≤1,5 m</v>
          </cell>
        </row>
        <row r="1122">
          <cell r="F1122" t="str">
            <v>Cây ngâu, cây tứ quý đường kính tán 1,5 m &lt; ĐK tán ≤2 m</v>
          </cell>
        </row>
        <row r="1123">
          <cell r="F1123" t="str">
            <v>Cây ngâu, cây tứ quý đường kính tán 2 m &lt; ĐK tán ≤3 m</v>
          </cell>
        </row>
        <row r="1124">
          <cell r="F1124" t="str">
            <v>Cây ngâu, cây tứ quý đường kính tán 3 m &lt; ĐK tán ≤4,5 m</v>
          </cell>
        </row>
        <row r="1125">
          <cell r="F1125" t="str">
            <v>Cây ngâu, cây tứ quý đường kính tán 4,5 m &lt; ĐK tán ≤6 m</v>
          </cell>
        </row>
        <row r="1126">
          <cell r="F1126" t="str">
            <v>Cây ngâu, cây tứ quý đường kính tán 6 m &lt; ĐK tán ≤8 m</v>
          </cell>
        </row>
        <row r="1127">
          <cell r="F1127" t="str">
            <v>Cây ngâu, cây tứ quý ĐK tán &gt; 8 m</v>
          </cell>
        </row>
        <row r="1128">
          <cell r="F1128" t="str">
            <v>Cây hoa nhài</v>
          </cell>
        </row>
        <row r="1129">
          <cell r="F1129" t="str">
            <v>Cây hoa nhài giống mới trồng</v>
          </cell>
        </row>
        <row r="1130">
          <cell r="F1130" t="str">
            <v>Cây hoa nhài đường kính tán 0,5 m &lt; ĐK tán ≤1,5 m</v>
          </cell>
        </row>
        <row r="1131">
          <cell r="F1131" t="str">
            <v>Cây hoa nhài ĐK tán &gt;1,5 m</v>
          </cell>
        </row>
        <row r="1132">
          <cell r="F1132" t="str">
            <v>Cây hương thảo, tuyết sơn phi hồng</v>
          </cell>
        </row>
        <row r="1133">
          <cell r="F1133" t="str">
            <v>Cây hương thảo, tuyết sơn phi hồng giống</v>
          </cell>
        </row>
        <row r="1134">
          <cell r="F1134" t="str">
            <v>Cây hương thảo, tuyết sơn phi hồng đường kính tán 0,2 m &lt; ĐK tán ≤0,5 m</v>
          </cell>
        </row>
        <row r="1135">
          <cell r="F1135" t="str">
            <v>Cây hương thảo, tuyết sơn phi hồng đường kính tán 0,5 m &lt; ĐK tán ≤1 m</v>
          </cell>
        </row>
        <row r="1136">
          <cell r="F1136" t="str">
            <v>Cây hương thảo, tuyết sơn phi hồng ĐK tán &gt;1 m</v>
          </cell>
        </row>
        <row r="1137">
          <cell r="F1137" t="str">
            <v>Cây nhàu</v>
          </cell>
        </row>
        <row r="1138">
          <cell r="F1138" t="str">
            <v>Cây nhàu giống mới trồng</v>
          </cell>
        </row>
        <row r="1139">
          <cell r="F1139" t="str">
            <v>Cây nhàu đường kính tán 0,5 m &lt; ĐK tán ≤1 m</v>
          </cell>
        </row>
        <row r="1140">
          <cell r="F1140" t="str">
            <v>Cây nhàu đường kính tán 1 m &lt; ĐK tán ≤2 m</v>
          </cell>
        </row>
        <row r="1141">
          <cell r="F1141" t="str">
            <v>Cây nhàu ĐK tán &gt; 2 m</v>
          </cell>
        </row>
        <row r="1142">
          <cell r="F1142" t="str">
            <v>Cây hoa hòe</v>
          </cell>
        </row>
        <row r="1143">
          <cell r="F1143" t="str">
            <v>Cây hoa hòe giống đủ tiêu chuẩn mới trồng</v>
          </cell>
        </row>
        <row r="1144">
          <cell r="F1144" t="str">
            <v>Cây hoa hòe đường kính tán 0,1m &lt; ĐK tán ≤0,5m</v>
          </cell>
        </row>
        <row r="1145">
          <cell r="F1145" t="str">
            <v>Cây hoa hòe đường kính tán 0,5m &lt; ĐK tán ≤ 1m</v>
          </cell>
        </row>
        <row r="1146">
          <cell r="F1146" t="str">
            <v>Cây hoa hòe đường kính tán 1 m ≤ ĐK tán &lt; 1,5m</v>
          </cell>
        </row>
        <row r="1147">
          <cell r="F1147" t="str">
            <v>Cây hoa hòe đường kính tán 1,5m ≤ ĐK tán &lt; 2m</v>
          </cell>
        </row>
        <row r="1148">
          <cell r="F1148" t="str">
            <v>Cây hoa hòe đường kính tán 2m ≤ ĐK tán &lt; 3m</v>
          </cell>
        </row>
        <row r="1149">
          <cell r="F1149" t="str">
            <v>Cây hoa hòe đường kính tán 3m ≤ ĐK tán &lt; 4m</v>
          </cell>
        </row>
        <row r="1150">
          <cell r="F1150" t="str">
            <v>Cây hoa hòe đường kính tán 4m ≤ ĐK tán &lt; 5m</v>
          </cell>
        </row>
        <row r="1151">
          <cell r="F1151" t="str">
            <v>Cây hoa hòe đường kính tán 5m ≤ ĐK tán &lt; 6m</v>
          </cell>
        </row>
        <row r="1152">
          <cell r="F1152" t="str">
            <v>Cây hoa hòe đường kính tán 6m ≤ ĐK tán &lt; 7m</v>
          </cell>
        </row>
        <row r="1153">
          <cell r="F1153" t="str">
            <v>Cây hoa hòe đường kính tán 7m ≤ ĐK tán &lt; 8m</v>
          </cell>
        </row>
        <row r="1154">
          <cell r="F1154" t="str">
            <v>Cây hoa hòe đường kính tán 8m ≤ ĐK tán&lt; 9m</v>
          </cell>
        </row>
        <row r="1155">
          <cell r="F1155" t="str">
            <v>Cây hoa hòe đường kính tán 9m ≤ ĐK tán &lt; 12m</v>
          </cell>
        </row>
        <row r="1156">
          <cell r="F1156" t="str">
            <v>Cây hoa hòe ĐK tán ≥ 12m</v>
          </cell>
        </row>
        <row r="1157">
          <cell r="F1157" t="str">
            <v>Xạ đen</v>
          </cell>
        </row>
        <row r="1158">
          <cell r="F1158" t="str">
            <v>Xạ đen giống đủ tiêu chuẩn mới trồng</v>
          </cell>
        </row>
        <row r="1159">
          <cell r="F1159" t="str">
            <v>Xạ đen đường kính tán 0,1 ≤ ĐK tán &lt; 0,5m</v>
          </cell>
        </row>
        <row r="1160">
          <cell r="F1160" t="str">
            <v>Xạ đen đường kính tán 0,5m  ≤ ĐK tán ≤ 1m</v>
          </cell>
        </row>
        <row r="1161">
          <cell r="F1161" t="str">
            <v>Xạ đen đường kính tán 1m ≤ ĐK tán &lt; 1,5m</v>
          </cell>
        </row>
        <row r="1162">
          <cell r="F1162" t="str">
            <v>Xạ đen đường kính tán 1,5m  ≤ ĐK tán &lt; 2m</v>
          </cell>
        </row>
        <row r="1163">
          <cell r="F1163" t="str">
            <v>Xạ đen đường kính tán 2m  ≤  ĐK tán &lt; 3m</v>
          </cell>
        </row>
        <row r="1164">
          <cell r="F1164" t="str">
            <v>Xạ đen đường kính tán 3m  ≤  ĐK tán &lt; 4m</v>
          </cell>
        </row>
        <row r="1165">
          <cell r="F1165" t="str">
            <v>Xạ đen ĐK tán ≥ 4m</v>
          </cell>
        </row>
        <row r="1166">
          <cell r="F1166" t="str">
            <v>NHÓM CÂY TÍNH THEO MÉT VUÔNG GIÀN</v>
          </cell>
        </row>
        <row r="1167">
          <cell r="F1167" t="str">
            <v>Cây thiênlý</v>
          </cell>
        </row>
        <row r="1168">
          <cell r="F1168" t="str">
            <v>Cây gấc</v>
          </cell>
        </row>
        <row r="1169">
          <cell r="F1169" t="str">
            <v>Cây gấc (Tính theo m2 giàn)</v>
          </cell>
        </row>
        <row r="1170">
          <cell r="F1170" t="str">
            <v>Tính theo khóm gốc</v>
          </cell>
        </row>
        <row r="1171">
          <cell r="F1171" t="str">
            <v>Cây gấc (Tính theo khóm gốc) Chiều dài dây leo L &lt; 3m</v>
          </cell>
        </row>
        <row r="1172">
          <cell r="F1172" t="str">
            <v>Cây gấc (Tính theo khóm gốc) Chiều dài dây leo 3m ≤ L &lt; 10m</v>
          </cell>
        </row>
        <row r="1173">
          <cell r="F1173" t="str">
            <v>Cây gấc (Tính theo khóm gốc) Chiều dài dây leo L &gt; 10m</v>
          </cell>
        </row>
        <row r="1174">
          <cell r="F1174" t="str">
            <v>Cây nho</v>
          </cell>
        </row>
        <row r="1175">
          <cell r="F1175" t="str">
            <v>NHÓM CÂY KHÁC</v>
          </cell>
        </row>
        <row r="1176">
          <cell r="F1176" t="str">
            <v>Tre lấy măng</v>
          </cell>
        </row>
        <row r="1177">
          <cell r="F1177" t="str">
            <v>Tre lấy măng Loại 1 thân</v>
          </cell>
        </row>
        <row r="1178">
          <cell r="F1178" t="str">
            <v>Tre lấy măng Loại 2-3 thân</v>
          </cell>
        </row>
        <row r="1179">
          <cell r="F1179" t="str">
            <v>Tre lấy măng Loại 4-5 thân</v>
          </cell>
        </row>
        <row r="1180">
          <cell r="F1180" t="str">
            <v>Măng tây</v>
          </cell>
        </row>
        <row r="1181">
          <cell r="F1181" t="str">
            <v>Cà gai leo</v>
          </cell>
        </row>
        <row r="1182">
          <cell r="F1182" t="str">
            <v>Cây ngũ gia bì, kim ngân</v>
          </cell>
        </row>
        <row r="1183">
          <cell r="F1183" t="str">
            <v>Cây ngũ gia bì, kim ngân giống</v>
          </cell>
        </row>
        <row r="1184">
          <cell r="F1184" t="str">
            <v>Cây ngũ gia bì, kim ngân đang phát triển</v>
          </cell>
        </row>
        <row r="1185">
          <cell r="F1185" t="str">
            <v>Cây trúc mây, trúc nhật</v>
          </cell>
        </row>
        <row r="1186">
          <cell r="F1186" t="str">
            <v>Cây trúc mây, trúc nhật giống</v>
          </cell>
        </row>
        <row r="1187">
          <cell r="F1187" t="str">
            <v>Cây trúc mây, trúc nhật Khóm từ 1-2 cây</v>
          </cell>
        </row>
        <row r="1188">
          <cell r="F1188" t="str">
            <v>Cây trúc mây, trúc nhật Khóm từ 3-5 cây</v>
          </cell>
        </row>
        <row r="1189">
          <cell r="F1189" t="str">
            <v>Cây trúc mây, trúc nhật Khóm trên 5 cây</v>
          </cell>
        </row>
        <row r="1190">
          <cell r="F1190" t="str">
            <v>Cây trúc phật bà</v>
          </cell>
        </row>
        <row r="1191">
          <cell r="F1191" t="str">
            <v>Cây trúc phật bà Khóm từ 1-2 cây</v>
          </cell>
        </row>
        <row r="1192">
          <cell r="F1192" t="str">
            <v>Cây trúc phật bà Khóm từ 3-5 cây</v>
          </cell>
        </row>
        <row r="1193">
          <cell r="F1193" t="str">
            <v>Cây trúc phật bà Khóm trên 5 cây</v>
          </cell>
        </row>
        <row r="1194">
          <cell r="F1194" t="str">
            <v>Cây trúc quân tử</v>
          </cell>
        </row>
        <row r="1195">
          <cell r="F1195" t="str">
            <v>Cây trúc quân tử Khóm từ 1-2 cây</v>
          </cell>
        </row>
        <row r="1196">
          <cell r="F1196" t="str">
            <v>Cây trúc quân tử Khóm từ 3-5 cây</v>
          </cell>
        </row>
        <row r="1197">
          <cell r="F1197" t="str">
            <v>Cây trúc quân tử Khóm trên 5 cây</v>
          </cell>
        </row>
        <row r="1198">
          <cell r="F1198" t="str">
            <v>Cây thủy trúc</v>
          </cell>
        </row>
        <row r="1199">
          <cell r="F1199" t="str">
            <v>Cây cọ</v>
          </cell>
        </row>
        <row r="1200">
          <cell r="F1200" t="str">
            <v>Cây cọ giống mới trồng</v>
          </cell>
        </row>
        <row r="1201">
          <cell r="F1201" t="str">
            <v>Cây cọ Cây bóc bẹ từ 1-2 lá</v>
          </cell>
        </row>
        <row r="1202">
          <cell r="F1202" t="str">
            <v>Cây cọ Cây bóc bẹ từ 3-5 lá</v>
          </cell>
        </row>
        <row r="1203">
          <cell r="F1203" t="str">
            <v>Cây cọ Cây bóc bẹ trên 5 lá</v>
          </cell>
        </row>
        <row r="1204">
          <cell r="F1204" t="str">
            <v>Cây cau Ha Oai</v>
          </cell>
        </row>
        <row r="1205">
          <cell r="F1205" t="str">
            <v>Cây cau Ha Oai giống mới trồng</v>
          </cell>
        </row>
        <row r="1206">
          <cell r="F1206" t="str">
            <v>Cây cau Ha Oai Khóm 1-2 cây</v>
          </cell>
        </row>
        <row r="1207">
          <cell r="F1207" t="str">
            <v>Cây cau Ha Oai Khóm trên 3-5 cây</v>
          </cell>
        </row>
        <row r="1208">
          <cell r="F1208" t="str">
            <v>Cây cau Ha Oai Khóm trên 5 cây</v>
          </cell>
        </row>
        <row r="1209">
          <cell r="F1209" t="str">
            <v>Cây mây, song</v>
          </cell>
        </row>
        <row r="1210">
          <cell r="F1210" t="str">
            <v>Cây mây, song giống mới trồng</v>
          </cell>
        </row>
        <row r="1211">
          <cell r="F1211" t="str">
            <v>Cây mây, song Cây dưới 3 năm tuối (chưa cho thu hoạch)</v>
          </cell>
        </row>
        <row r="1212">
          <cell r="F1212" t="str">
            <v>Cây mây, song Cây từ 3-7 năm tuổi (bắt đầu cho thu hoạch)</v>
          </cell>
        </row>
        <row r="1213">
          <cell r="F1213" t="str">
            <v>Cây mây, song Cây từ 7 năm tuổi trở lên (chiều dài thân 3-4 m)</v>
          </cell>
        </row>
        <row r="1214">
          <cell r="F1214" t="str">
            <v>Cây đỗ quyên</v>
          </cell>
        </row>
        <row r="1215">
          <cell r="F1215" t="str">
            <v>Cây đỗ quyên giống mới trồng</v>
          </cell>
        </row>
        <row r="1216">
          <cell r="F1216" t="str">
            <v>Cây đỗ quyên đã ra hoa</v>
          </cell>
        </row>
        <row r="1217">
          <cell r="F1217" t="str">
            <v>Cây trân châu</v>
          </cell>
        </row>
        <row r="1218">
          <cell r="F1218" t="str">
            <v>Cây dành dành</v>
          </cell>
        </row>
        <row r="1219">
          <cell r="F1219" t="str">
            <v>Cây lan dừ</v>
          </cell>
        </row>
        <row r="1220">
          <cell r="F1220" t="str">
            <v>Cây lan ý</v>
          </cell>
        </row>
        <row r="1221">
          <cell r="F1221" t="str">
            <v>Cây cô tòng</v>
          </cell>
        </row>
        <row r="1222">
          <cell r="F1222" t="str">
            <v>Cây cô tòng đuôi lươn</v>
          </cell>
        </row>
        <row r="1223">
          <cell r="F1223" t="str">
            <v>Cây cẩm tú cầu, thủy tiên</v>
          </cell>
        </row>
        <row r="1224">
          <cell r="F1224" t="str">
            <v>Cây cẩm tú cầu, thủy tiên chưa có hoa</v>
          </cell>
        </row>
        <row r="1225">
          <cell r="F1225" t="str">
            <v>Cây cẩm tú cầu, thủy tiên đang có hoa</v>
          </cell>
        </row>
        <row r="1226">
          <cell r="F1226" t="str">
            <v>Cây vạn niên thanh</v>
          </cell>
        </row>
        <row r="1227">
          <cell r="F1227" t="str">
            <v>Cây vạn niên thanh Khóm 1-2 cây</v>
          </cell>
        </row>
        <row r="1228">
          <cell r="F1228" t="str">
            <v>Cây vạn niên thanh Khóm 3-5 cây</v>
          </cell>
        </row>
        <row r="1229">
          <cell r="F1229" t="str">
            <v>Cây trầu bà</v>
          </cell>
        </row>
        <row r="1230">
          <cell r="F1230" t="str">
            <v>Cây trầu bà Khóm 1-2 cây</v>
          </cell>
        </row>
        <row r="1231">
          <cell r="F1231" t="str">
            <v>Cây trầu bà Khóm 3-5 cây</v>
          </cell>
        </row>
        <row r="1232">
          <cell r="F1232" t="str">
            <v>Cây dứa cảnh, ké, lưỡi hổ</v>
          </cell>
        </row>
        <row r="1233">
          <cell r="F1233" t="str">
            <v>Cây chu định lan/lan hạc đỉnh</v>
          </cell>
        </row>
        <row r="1234">
          <cell r="F1234" t="str">
            <v>Cây hoa ti gôn, hoa pháo</v>
          </cell>
        </row>
        <row r="1235">
          <cell r="F1235" t="str">
            <v>Cây hoa ti gôn, hoa pháo chưa leo giàn</v>
          </cell>
        </row>
        <row r="1236">
          <cell r="F1236" t="str">
            <v>Cây hoa ti gôn, hoa pháo đã leo giàn</v>
          </cell>
        </row>
        <row r="1237">
          <cell r="F1237" t="str">
            <v>Cây hoa đá</v>
          </cell>
        </row>
        <row r="1238">
          <cell r="F1238" t="str">
            <v>Cây ắc ó</v>
          </cell>
        </row>
        <row r="1239">
          <cell r="F1239" t="str">
            <v>Cây bướm bạc</v>
          </cell>
        </row>
        <row r="1240">
          <cell r="F1240" t="str">
            <v>Cây huỳnh anh</v>
          </cell>
        </row>
        <row r="1241">
          <cell r="F1241" t="str">
            <v>Cây môn cuống đỏ</v>
          </cell>
        </row>
        <row r="1242">
          <cell r="F1242" t="str">
            <v>Cây lan huệ</v>
          </cell>
        </row>
        <row r="1243">
          <cell r="F1243" t="str">
            <v>Cây ngọc nữ, ngọc dạ minh châu</v>
          </cell>
        </row>
        <row r="1244">
          <cell r="F1244" t="str">
            <v>Cây cốt khí</v>
          </cell>
        </row>
        <row r="1245">
          <cell r="F1245" t="str">
            <v>Cây chuông vàng</v>
          </cell>
        </row>
        <row r="1246">
          <cell r="F1246" t="str">
            <v>Cây náng</v>
          </cell>
        </row>
        <row r="1247">
          <cell r="F1247" t="str">
            <v>Cây hoa mào gà, cầy bóng nước</v>
          </cell>
        </row>
        <row r="1248">
          <cell r="F1248" t="str">
            <v>Cây hoa mào gà, cầy bóng nước chưa có hoa</v>
          </cell>
        </row>
        <row r="1249">
          <cell r="F1249" t="str">
            <v>Cây hoa mào gà, cầy bóng nước đã có hoa</v>
          </cell>
        </row>
        <row r="1250">
          <cell r="F1250" t="str">
            <v>Cây dứa</v>
          </cell>
        </row>
        <row r="1251">
          <cell r="F1251" t="str">
            <v>Cây dứa Chưa ra quả</v>
          </cell>
        </row>
        <row r="1252">
          <cell r="F1252" t="str">
            <v>Cây dứa Đang ra quả</v>
          </cell>
        </row>
        <row r="1253">
          <cell r="F1253" t="str">
            <v>Cây hoa quỳnh</v>
          </cell>
        </row>
        <row r="1254">
          <cell r="F1254" t="str">
            <v>Cây hoa quỳnh chưa có hoa</v>
          </cell>
        </row>
        <row r="1255">
          <cell r="F1255" t="str">
            <v>Cây hoa quỳnh có hoa</v>
          </cell>
        </row>
        <row r="1256">
          <cell r="F1256" t="str">
            <v>Cây thuần tía (thài lài tía)</v>
          </cell>
        </row>
        <row r="1257">
          <cell r="F1257" t="str">
            <v>Cây thuần tía (thài lài tía) mới trồng</v>
          </cell>
        </row>
        <row r="1258">
          <cell r="F1258" t="str">
            <v>Cây thuần tía (thài lài tía) trưởng thành</v>
          </cell>
        </row>
        <row r="1259">
          <cell r="F1259" t="str">
            <v>Cây bỏng, cây xác pháo</v>
          </cell>
        </row>
        <row r="1260">
          <cell r="F1260" t="str">
            <v>Cây bỏng, cây xác pháo Cây non</v>
          </cell>
        </row>
        <row r="1261">
          <cell r="F1261" t="str">
            <v>Cây bỏng, cây xác pháo đã ra hoa</v>
          </cell>
        </row>
        <row r="1262">
          <cell r="F1262" t="str">
            <v>Cây sống đời (cây phát lộc)</v>
          </cell>
        </row>
        <row r="1263">
          <cell r="F1263" t="str">
            <v>Cây sống đời (cây phát lộc) cây non</v>
          </cell>
        </row>
        <row r="1264">
          <cell r="F1264" t="str">
            <v>Cây sống đời (cây phát lộc) đã ra hoa</v>
          </cell>
        </row>
        <row r="1265">
          <cell r="F1265" t="str">
            <v>Cây sử quân tử</v>
          </cell>
        </row>
        <row r="1266">
          <cell r="F1266" t="str">
            <v>Cây sử quân tử giống</v>
          </cell>
        </row>
        <row r="1267">
          <cell r="F1267" t="str">
            <v>Cây sử quân tử có hoa</v>
          </cell>
        </row>
        <row r="1268">
          <cell r="F1268" t="str">
            <v>Cây xương rồng</v>
          </cell>
        </row>
        <row r="1269">
          <cell r="F1269" t="str">
            <v>Cây xương rồng Chưa ra hoa</v>
          </cell>
        </row>
        <row r="1270">
          <cell r="F1270" t="str">
            <v>Cây xương rồng đã ra hoa</v>
          </cell>
        </row>
        <row r="1271">
          <cell r="F1271" t="str">
            <v>Cây thuốc: bạch chỉ, cau xi, địa liền, ngưu tất, sa nhân, bồ công anh, mã đề, diệp hạ châu (chó đẻ), cầy thuốc Băc, thuốc Nam các loại</v>
          </cell>
        </row>
        <row r="1272">
          <cell r="F1272" t="str">
            <v>Cây thuốc: bạch chỉ, cau xi, địa liền, ngưu tất, sa nhân, bồ công anh, mã đề, diệp hạ châu (chó đẻ), cầy thuốc Băc, thuốc Nam các loại chưa trưởng thành</v>
          </cell>
        </row>
        <row r="1273">
          <cell r="F1273" t="str">
            <v>Cây thuốc: bạch chỉ, cau xi, địa liền, ngưu tất, sa nhân, bồ công anh, mã đề, diệp hạ châu (chó đẻ), cầy thuốc Băc, thuốc Nam các loại trưởng thành</v>
          </cell>
        </row>
        <row r="1274">
          <cell r="F1274" t="str">
            <v>Cây thiên môn, mạch môn</v>
          </cell>
        </row>
        <row r="1275">
          <cell r="F1275" t="str">
            <v>Cây mơ lông</v>
          </cell>
        </row>
        <row r="1276">
          <cell r="F1276" t="str">
            <v>Cây mơ lông giống</v>
          </cell>
        </row>
        <row r="1277">
          <cell r="F1277" t="str">
            <v>Cây mơ lông trưởng thành</v>
          </cell>
        </row>
        <row r="1278">
          <cell r="F1278" t="str">
            <v>Cây trầu không</v>
          </cell>
        </row>
        <row r="1279">
          <cell r="F1279" t="str">
            <v>Cây trầu không giống</v>
          </cell>
        </row>
        <row r="1280">
          <cell r="F1280" t="str">
            <v>Cây trầu không trưởng thành</v>
          </cell>
        </row>
        <row r="1281">
          <cell r="F1281" t="str">
            <v>Cây diếp cá, rau sam, rau ngổ, lá cẩm</v>
          </cell>
        </row>
        <row r="1282">
          <cell r="F1282" t="str">
            <v>Cỏ nhật</v>
          </cell>
        </row>
        <row r="1283">
          <cell r="F1283" t="str">
            <v>Cây thanh táo</v>
          </cell>
        </row>
        <row r="1284">
          <cell r="F1284" t="str">
            <v>Cây dừa cạn</v>
          </cell>
        </row>
        <row r="1285">
          <cell r="F1285" t="str">
            <v>Cây tầm bỏi</v>
          </cell>
        </row>
        <row r="1286">
          <cell r="F1286" t="str">
            <v>Cây tầm bỏi giống</v>
          </cell>
        </row>
        <row r="1287">
          <cell r="F1287" t="str">
            <v>Cây tầm bỏi trưởng thành</v>
          </cell>
        </row>
        <row r="1288">
          <cell r="F1288" t="str">
            <v>Cây ráng làm chổi</v>
          </cell>
        </row>
        <row r="1289">
          <cell r="F1289" t="str">
            <v>Cây nha đam</v>
          </cell>
        </row>
        <row r="1290">
          <cell r="F1290" t="str">
            <v>Cây nha đam giống</v>
          </cell>
        </row>
        <row r="1291">
          <cell r="F1291" t="str">
            <v>Cây nha đam trưởng thành</v>
          </cell>
        </row>
        <row r="1292">
          <cell r="F1292" t="str">
            <v>Cây kim tiền</v>
          </cell>
        </row>
        <row r="1293">
          <cell r="F1293" t="str">
            <v>Cây hoa thanh tú</v>
          </cell>
        </row>
        <row r="1294">
          <cell r="F1294" t="str">
            <v>Đối với cây ươm, gieo hoặc cây trồng hàng năm xen dưới tán lá cây lầu nãm (tính bình quân trên diện tích cây trồng chiếm chỗ)</v>
          </cell>
        </row>
        <row r="1295">
          <cell r="F1295" t="str">
            <v>Đối vói lâm sản phụ trồng trên diện tích nông nghiệp do Nhà nước giao cho hộ gia đình, cá nhân để trồng, khoanh, nuôi, bảo vệ, tái sinh rừng, mà khi giao là đất trống, đồi núi trọc... hộ gia đình, cá nhân tự bỏ vốn đầu tư trồng rừng (tính bình quân trên diện tích cây trồng chiếm chỗ)</v>
          </cell>
        </row>
        <row r="1296">
          <cell r="F1296" t="str">
            <v>GIÓNG CÂỲ CẢNH</v>
          </cell>
        </row>
        <row r="1297">
          <cell r="F1297" t="str">
            <v>Cây giống đào, hoa cảnh</v>
          </cell>
        </row>
        <row r="1298">
          <cell r="F1298" t="str">
            <v>Cây giống đào, hoa cảnh Gieo, ươm hạt thành luông chưa ghép</v>
          </cell>
        </row>
        <row r="1299">
          <cell r="F1299" t="str">
            <v>Cây giống đào, hoa cảnh Gieo, ươm hạt thành luống đã ghép</v>
          </cell>
        </row>
        <row r="1300">
          <cell r="F1300" t="str">
            <v>Cây giống đào hoa cảnh đã ghép đủ tiêu chuẩn</v>
          </cell>
        </row>
        <row r="1301">
          <cell r="F1301" t="str">
            <v>Cây giống trồng từ đào mạ, không ghép trồng thành luống</v>
          </cell>
        </row>
        <row r="1302">
          <cell r="F1302" t="str">
            <v>Cây giống lộc vừng, sanh, si</v>
          </cell>
        </row>
        <row r="1303">
          <cell r="F1303" t="str">
            <v>Cây giống lộc vừng, sanh, si gieo ươm từ hạt</v>
          </cell>
        </row>
        <row r="1304">
          <cell r="F1304" t="str">
            <v>Cây giống lộc vừng, sanh, si Giống ươm gieo hạt chiều cao cây H &lt;  20cm</v>
          </cell>
        </row>
        <row r="1305">
          <cell r="F1305" t="str">
            <v>Cây giống lộc vừng, sanh, si Giống ươm gieo hạt chiều cao cây H &gt; 20cm</v>
          </cell>
        </row>
        <row r="1306">
          <cell r="F1306" t="str">
            <v>Cây giống lộc vừng, sanh, si Từ cây ươm gieo hạt tách ra đựng trong bầu nilong hoặc trồng thành luống</v>
          </cell>
        </row>
        <row r="1307">
          <cell r="F1307" t="str">
            <v>Cây giống lộc vừng, sanh, si Chiều cao cây 20cm ≤ H &lt; 50cm</v>
          </cell>
        </row>
        <row r="1308">
          <cell r="F1308" t="str">
            <v>Cây giống lộc vừng, sanh, si Chiều cao cây 50cm ≤ H &lt; 70cm</v>
          </cell>
        </row>
        <row r="1309">
          <cell r="F1309" t="str">
            <v>Cây giống lộc vừng, sanh, si Chiều cao cây 70cm ≤ H &lt;100cm</v>
          </cell>
        </row>
        <row r="1310">
          <cell r="F1310" t="str">
            <v>Cây giống cau cảnh</v>
          </cell>
        </row>
        <row r="1311">
          <cell r="F1311" t="str">
            <v>Cây giống cau cảnh gieo ươm từ hạt</v>
          </cell>
        </row>
        <row r="1312">
          <cell r="F1312" t="str">
            <v>Cây giống cau cảnh Giống ươm gieo hạt thành luống, vạt chiều cao cây H &lt; 20cm</v>
          </cell>
        </row>
        <row r="1313">
          <cell r="F1313" t="str">
            <v>Cây giống cau cảnh Giống ươm gieo hạt thành luống, vạt chiều cao cây H ≥ 20cm</v>
          </cell>
        </row>
        <row r="1314">
          <cell r="F1314" t="str">
            <v>Cây giống cau cảnh Từ cây ươm gieo hạt tách ra đựng trong bầu nilong hoặc trồng thành luống Chiều cao cây H &lt; 20cm</v>
          </cell>
        </row>
        <row r="1315">
          <cell r="F1315" t="str">
            <v>Cây giống cau cảnh Chiều cao cây 20cm ≤ H &lt; 50cm</v>
          </cell>
        </row>
        <row r="1316">
          <cell r="F1316" t="str">
            <v>Cây giống cau cảnh Chiều cao cây H ≥ 50cm</v>
          </cell>
        </row>
        <row r="1317">
          <cell r="F1317" t="str">
            <v>Đào tán (đào hoa cảnh có đặc điếm tán lá hình tròn, hình tháp, thân chính không uốn tạo thế phát triển tự nhiên, chỉ cắt tỉa cành nhỏ; trồng trên đất đã được chuyển mục đích theo quy định, bao gồm: Đào cây, các loại cây khác trồng xen canh, bể chứa nước, bể chứa phân.. .tính trên diện tích 1 sào =360m2).</v>
          </cell>
        </row>
        <row r="1318">
          <cell r="F1318" t="str">
            <v>Đào tán loại 1 (số cây có đường kính tán từ 0,8m đến Im, cao từ Im đến l,5m chiếm trên 50% diện tích; quy đổi 1 cây/l,8m2)</v>
          </cell>
        </row>
        <row r="1319">
          <cell r="F1319" t="str">
            <v>Đào tán loại 2 (số cây có đường kính tán từ 0,8m đến Im, cao từ lm đến l,5m chiếm từ 40% đến 50% diện tích; quy đổi 1 cây/l,8m2)</v>
          </cell>
        </row>
        <row r="1320">
          <cell r="F1320" t="str">
            <v>Đào tán loại 3 (số cây có đường kính tán từ 0,8m đến Im, cao từ Im đến l,5m chiếm từ 30% đến 40% diện tích; quy đổi 1 cây/l,8m2)</v>
          </cell>
        </row>
        <row r="1321">
          <cell r="F1321" t="str">
            <v>Đào tán loại 4 (số cây có đường kính tán từ 0,8m đến Im, cao từ Im đến l,5m chiếm dưới 30% diện tích; quy đổi 1 cây/l,2m2)</v>
          </cell>
        </row>
        <row r="1322">
          <cell r="F1322" t="str">
            <v>Đào thế (đào trồng trên đát đã được chuyển mục đích theo quy định, bao gồm: Đào cây, các loại cây khác trồng xen canh, bể chứa nước, bể chứa phân.. .tính trên diện tích 1 sào =360m2)</v>
          </cell>
        </row>
        <row r="1323">
          <cell r="F1323">
            <v>0</v>
          </cell>
        </row>
        <row r="1324">
          <cell r="F1324" t="str">
            <v>Đào thế loại 2 (số cây có chiều cao từ 1 m đến l,5m chiếm từ 40% đến 50% diện tích; quy đổi 1 cây/l,8m2)</v>
          </cell>
        </row>
        <row r="1325">
          <cell r="F1325" t="str">
            <v>Đào thế loại 3 (số cây có chiều cao từ Im đến l,5m chiếm dưới 40% diện tích; quy đổi 1 cây/l,2m2)</v>
          </cell>
        </row>
        <row r="1326">
          <cell r="F1326" t="str">
            <v>Cỏ cảnh lá tre (trồng dày đặc)</v>
          </cell>
        </row>
        <row r="1327">
          <cell r="F1327" t="str">
            <v>Hương nhu, lá ngải, lá nếp, lưỡi hổ, láng tía, ngũ gia bì</v>
          </cell>
        </row>
        <row r="1328">
          <cell r="F1328" t="str">
            <v>Hương bài</v>
          </cell>
        </row>
        <row r="1329">
          <cell r="F1329" t="str">
            <v>GIÓNG CÂY ĂN QUẢ</v>
          </cell>
        </row>
        <row r="1330">
          <cell r="F1330" t="str">
            <v>Thanh long</v>
          </cell>
        </row>
        <row r="1331">
          <cell r="F1331" t="str">
            <v>Thanh long giống Cành mới ươm chưa ra rễ</v>
          </cell>
        </row>
        <row r="1332">
          <cell r="F1332" t="str">
            <v>Thanh long Cây ươm đã ra rễ và mầm, thời gian trồng &lt;01 tháng</v>
          </cell>
        </row>
        <row r="1333">
          <cell r="F1333" t="str">
            <v>Thanh long Cây ươm đã ra rê và mâm, từ 01 tháng đên &lt; 02 tháng</v>
          </cell>
        </row>
        <row r="1334">
          <cell r="F1334" t="str">
            <v>Thanh long Cây ươm đã ra rễ và mầm, thời gian trồng ≥ 02 tháng</v>
          </cell>
        </row>
        <row r="1335">
          <cell r="F1335" t="str">
            <v>Cây giống cây ăn quả</v>
          </cell>
        </row>
        <row r="1336">
          <cell r="F1336" t="str">
            <v>Loại ươm gieo hạt (thành luống, dảnh)</v>
          </cell>
        </row>
        <row r="1337">
          <cell r="F1337" t="str">
            <v>Cây giống cây ăn quả, Loại ươm gieo hạt (thành luống, dảnh) Chiều cao cây H &lt; 20cm</v>
          </cell>
        </row>
        <row r="1338">
          <cell r="F1338" t="str">
            <v>Cây giống cây ăn quả, Loại ươm gieo hạt (thành luống, dảnh Chiều cao cây H ≥ 20cm</v>
          </cell>
        </row>
        <row r="1339">
          <cell r="F1339" t="str">
            <v>Cây giống vải, nhãn, doi, bưởi, thị, na, xoài, muỗm, quéo, trứng gà, sấu, táo, ổi, chay, me, khế, mận, mơ (từ cây ươm gieo hạt, đựng trong bầu nilon hoặc trồng thành luống chưa ghép)</v>
          </cell>
        </row>
        <row r="1340">
          <cell r="F1340" t="str">
            <v>Cây giống vải, nhãn, doi, bưởi, thị, na, xoài, muỗm, quéo, trứng gà, sấu, táo, ổi, chay, me, khế, mận, mơ (từ cây ươm gieo hạt, đựng trong bầu nilon hoặc trồng thành luống chưa ghép) Chiều cao cây H &lt; 40cm</v>
          </cell>
        </row>
        <row r="1341">
          <cell r="F1341" t="str">
            <v>Cây giống vải, nhãn, doi, bưởi, thị, na, xoài, muỗm, quéo, trứng gà, sấu, táo, ổi, chay, me, khế, mận, mơ (từ cây ươm gieo hạt, đựng trong bầu nilon hoặc trồng thành luống chưa ghép) Chiều cao cây 40cm ≤ H &lt; 100cn</v>
          </cell>
        </row>
        <row r="1342">
          <cell r="F1342" t="str">
            <v>Cây giống vải, nhãn, doi, bưởi, thị, na, xoài, muỗm, quéo, trứng gà, sấu, táo, ổi, chay, me, khế, mận, mơ (từ cây ươm gieo hạt, đựng trong bầu nilon hoặc trồng thành luống chưa ghép) Chiều cao cây H  ≥ 100cm</v>
          </cell>
        </row>
        <row r="1343">
          <cell r="F1343" t="str">
            <v>Cây giống vải, nhãn, cam, bưởi, táo, ổi, khế (gieo hạt ươm thành luống đã ghép)</v>
          </cell>
        </row>
        <row r="1344">
          <cell r="F1344" t="str">
            <v>Cây giống vải, nhãn, cam, bưởi, táo, ổi, khế (gieo hạt ươm thành luống đã ghép) Chiều cao cây H &lt; 40cm</v>
          </cell>
        </row>
        <row r="1345">
          <cell r="F1345" t="str">
            <v>Cây giống vải, nhãn, cam, bưởi, táo, ổi, khế (gieo hạt ươm thành luống đã ghép) Chiều cao cây 40cm ≤ H &lt; 100cm</v>
          </cell>
        </row>
        <row r="1346">
          <cell r="F1346" t="str">
            <v>Cây giống vải, nhãn, cam, bưởi, táo, ổi, khế (gieo hạt ươm thành luống đã ghép) Chiều cao cây H ≥ 100cm</v>
          </cell>
        </row>
        <row r="1347">
          <cell r="F1347" t="str">
            <v>Cây giống vải, nhãn, cam, bưởi, doi, hông xiêm ... đang chiết cành (đã có rễ) chưa đem trồng</v>
          </cell>
        </row>
        <row r="1348">
          <cell r="F1348" t="str">
            <v>Giống Vải, Nhãn đã chiết cành, đã đem dâm ra vườn</v>
          </cell>
        </row>
        <row r="1349">
          <cell r="F1349" t="str">
            <v>Giống Vải, Nhãn đã chiết cành, đã đem dâm ra vườn Chiều cao cây H &lt; 40cm</v>
          </cell>
        </row>
        <row r="1350">
          <cell r="F1350" t="str">
            <v>Giống Vải, Nhãn đã chiết cành, đã đem dâm ra vườn Chiều cao cây 40cm ≤ H &lt; 1,0m</v>
          </cell>
        </row>
        <row r="1351">
          <cell r="F1351" t="str">
            <v>Giống Vải, Nhãn đã chiết cành, đã đem dâm ra vườn Chiều cao cây H ≥ l,0m</v>
          </cell>
        </row>
        <row r="1352">
          <cell r="F1352" t="str">
            <v>Cây giống cam, bưởi, doi, hồng xiêm đã chiết cành dâm ra vườn</v>
          </cell>
        </row>
        <row r="1353">
          <cell r="F1353" t="str">
            <v>Cây giống cây lấy gỗ, cây lấy lá...ươm gieo hạt thành luống, vạt</v>
          </cell>
        </row>
        <row r="1354">
          <cell r="F1354" t="str">
            <v>Cây giống cây lấy gỗ, cây lấy lá...ươm gieo hạt thành luống, vạt Chiều cao cây H &lt; 20cm</v>
          </cell>
        </row>
        <row r="1355">
          <cell r="F1355" t="str">
            <v>Cây giống cây lấy gỗ, cây lấy lá...ươm gieo hạt thành luống, vạt Chiều cao cây H &gt; 20cm</v>
          </cell>
        </row>
        <row r="1356">
          <cell r="F1356" t="str">
            <v>Cây cảnh trồng trong chậu (tính chi phí di chuyển cả cây và chậu)</v>
          </cell>
        </row>
        <row r="1357">
          <cell r="F1357" t="str">
            <v>Di chuyển Chậu có đường kính &lt; 0,5m</v>
          </cell>
        </row>
        <row r="1358">
          <cell r="F1358" t="str">
            <v>Di chuyển Chậu có đường kính 0,5m ≤ ĐK &lt; 0,7m</v>
          </cell>
        </row>
        <row r="1359">
          <cell r="F1359" t="str">
            <v>Di chuyển Chậu có đường kính 0,7m ≤ ĐK &lt; 1m</v>
          </cell>
        </row>
        <row r="1360">
          <cell r="F1360" t="str">
            <v>Di chuyển Chậu có đường kính 1m ≤ ĐK &lt; 1,5m</v>
          </cell>
        </row>
        <row r="1361">
          <cell r="F1361" t="str">
            <v>Di chuyển Chậu có đường kính ≥ 1,5m</v>
          </cell>
        </row>
      </sheetData>
      <sheetData sheetId="4"/>
      <sheetData sheetId="5">
        <row r="14">
          <cell r="G14">
            <v>59631000.000000015</v>
          </cell>
        </row>
      </sheetData>
      <sheetData sheetId="6">
        <row r="15">
          <cell r="G15">
            <v>5158830.1998240007</v>
          </cell>
        </row>
      </sheetData>
      <sheetData sheetId="7">
        <row r="15">
          <cell r="G15">
            <v>3259942.3636000003</v>
          </cell>
        </row>
      </sheetData>
      <sheetData sheetId="8">
        <row r="13">
          <cell r="G13">
            <v>12508000</v>
          </cell>
        </row>
      </sheetData>
      <sheetData sheetId="9">
        <row r="13">
          <cell r="G13">
            <v>16284000</v>
          </cell>
        </row>
      </sheetData>
      <sheetData sheetId="10">
        <row r="13">
          <cell r="G13">
            <v>16284000</v>
          </cell>
        </row>
      </sheetData>
      <sheetData sheetId="11">
        <row r="13">
          <cell r="G13">
            <v>8260000</v>
          </cell>
        </row>
      </sheetData>
      <sheetData sheetId="12">
        <row r="13">
          <cell r="G13">
            <v>4248000</v>
          </cell>
        </row>
      </sheetData>
      <sheetData sheetId="13">
        <row r="13">
          <cell r="G13">
            <v>13216000</v>
          </cell>
        </row>
      </sheetData>
      <sheetData sheetId="14">
        <row r="13">
          <cell r="G13">
            <v>14160000</v>
          </cell>
        </row>
      </sheetData>
      <sheetData sheetId="15">
        <row r="13">
          <cell r="G13">
            <v>42480000</v>
          </cell>
        </row>
      </sheetData>
      <sheetData sheetId="16">
        <row r="13">
          <cell r="G13">
            <v>130980000</v>
          </cell>
        </row>
      </sheetData>
      <sheetData sheetId="17">
        <row r="13">
          <cell r="G13">
            <v>38940000</v>
          </cell>
        </row>
      </sheetData>
      <sheetData sheetId="18">
        <row r="13">
          <cell r="G13">
            <v>38940000</v>
          </cell>
        </row>
      </sheetData>
      <sheetData sheetId="19">
        <row r="13">
          <cell r="G13">
            <v>37760000</v>
          </cell>
        </row>
      </sheetData>
      <sheetData sheetId="20">
        <row r="13">
          <cell r="G13">
            <v>55460000</v>
          </cell>
        </row>
      </sheetData>
      <sheetData sheetId="21">
        <row r="13">
          <cell r="G13">
            <v>51920000.000000007</v>
          </cell>
        </row>
      </sheetData>
      <sheetData sheetId="22">
        <row r="13">
          <cell r="G13">
            <v>102659999.99999999</v>
          </cell>
        </row>
      </sheetData>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foxz"/>
      <sheetName val="foxz_2"/>
      <sheetName val="Đơn giá cây cối"/>
      <sheetName val="47.Thi-Toan"/>
      <sheetName val="48.Tín"/>
      <sheetName val="50.Chiên (Uyên)"/>
      <sheetName val="51.Chuẩn-Gái"/>
      <sheetName val="53.Tần"/>
      <sheetName val="55.Mai"/>
      <sheetName val="57.Phương"/>
      <sheetName val="58.Đoán-Dung"/>
      <sheetName val="59.Mai-Đường"/>
      <sheetName val="60.Diện"/>
      <sheetName val="61.Tự"/>
      <sheetName val="62.136.Toàn"/>
      <sheetName val="63.Loan-Sinh"/>
      <sheetName val="64.65.Hân -Thơm"/>
      <sheetName val="66.Ngọc"/>
      <sheetName val="68.Hậu"/>
      <sheetName val="70.Tuất"/>
      <sheetName val="73.Tiến"/>
      <sheetName val="74.Tính"/>
      <sheetName val="XXXXXXXX"/>
    </sheetNames>
    <sheetDataSet>
      <sheetData sheetId="0"/>
      <sheetData sheetId="1"/>
      <sheetData sheetId="2"/>
      <sheetData sheetId="3">
        <row r="2">
          <cell r="A2" t="str">
            <v>Lúa các loại</v>
          </cell>
          <cell r="F2" t="str">
            <v>Lúa các loại</v>
          </cell>
        </row>
        <row r="3">
          <cell r="F3" t="str">
            <v>Ngô các loại</v>
          </cell>
        </row>
        <row r="4">
          <cell r="F4" t="str">
            <v>Khoai lang</v>
          </cell>
        </row>
        <row r="5">
          <cell r="F5" t="str">
            <v>Khoai tây</v>
          </cell>
        </row>
        <row r="6">
          <cell r="F6" t="str">
            <v>Sắn mì</v>
          </cell>
        </row>
        <row r="7">
          <cell r="F7" t="str">
            <v xml:space="preserve">Khoai môn </v>
          </cell>
        </row>
        <row r="8">
          <cell r="F8" t="str">
            <v>Khoai sọ</v>
          </cell>
        </row>
        <row r="9">
          <cell r="F9" t="str">
            <v>Sắn dây</v>
          </cell>
        </row>
        <row r="10">
          <cell r="F10" t="str">
            <v>Củ ấu</v>
          </cell>
        </row>
        <row r="11">
          <cell r="F11" t="str">
            <v>Cây mía</v>
          </cell>
        </row>
        <row r="12">
          <cell r="F12" t="str">
            <v>Cây thuốc lào</v>
          </cell>
        </row>
        <row r="13">
          <cell r="F13" t="str">
            <v>Đay</v>
          </cell>
        </row>
        <row r="14">
          <cell r="F14" t="str">
            <v>Gai, dứa sợi</v>
          </cell>
        </row>
        <row r="15">
          <cell r="F15" t="str">
            <v>Đậu tương</v>
          </cell>
        </row>
        <row r="16">
          <cell r="F16" t="str">
            <v>Lạc</v>
          </cell>
        </row>
        <row r="17">
          <cell r="F17" t="str">
            <v>Vừng</v>
          </cell>
        </row>
        <row r="18">
          <cell r="F18" t="str">
            <v xml:space="preserve">Rau muống </v>
          </cell>
        </row>
        <row r="19">
          <cell r="F19" t="str">
            <v>Cải các loại</v>
          </cell>
        </row>
        <row r="20">
          <cell r="F20" t="str">
            <v>Rau mùng tơi</v>
          </cell>
        </row>
        <row r="21">
          <cell r="F21" t="str">
            <v>Rau ngót</v>
          </cell>
        </row>
        <row r="22">
          <cell r="F22" t="str">
            <v>Bắp cải</v>
          </cell>
        </row>
        <row r="23">
          <cell r="F23" t="str">
            <v>Rau dền</v>
          </cell>
        </row>
        <row r="24">
          <cell r="F24" t="str">
            <v>Súp lơ/bông cải</v>
          </cell>
        </row>
        <row r="25">
          <cell r="F25" t="str">
            <v>Dưa hấu</v>
          </cell>
        </row>
        <row r="26">
          <cell r="F26" t="str">
            <v>Dưa lê</v>
          </cell>
        </row>
        <row r="27">
          <cell r="F27" t="str">
            <v>Dưa vàng</v>
          </cell>
        </row>
        <row r="28">
          <cell r="F28">
            <v>0</v>
          </cell>
        </row>
        <row r="29">
          <cell r="F29" t="str">
            <v>Đậu co-ve</v>
          </cell>
        </row>
        <row r="30">
          <cell r="F30" t="str">
            <v>Đậu Hà Lan</v>
          </cell>
        </row>
        <row r="31">
          <cell r="F31">
            <v>0</v>
          </cell>
        </row>
        <row r="32">
          <cell r="F32" t="str">
            <v>Cà chua</v>
          </cell>
        </row>
        <row r="33">
          <cell r="F33" t="str">
            <v>Bí đỏ (Bí ngô)</v>
          </cell>
        </row>
        <row r="34">
          <cell r="F34" t="str">
            <v>Bí xanh</v>
          </cell>
        </row>
        <row r="35">
          <cell r="F35" t="str">
            <v>Bầu</v>
          </cell>
        </row>
        <row r="36">
          <cell r="F36" t="str">
            <v>Mướp</v>
          </cell>
        </row>
        <row r="37">
          <cell r="F37" t="str">
            <v>Su su</v>
          </cell>
        </row>
        <row r="38">
          <cell r="F38" t="str">
            <v>Ớt trái ngọt</v>
          </cell>
        </row>
        <row r="39">
          <cell r="F39" t="str">
            <v>Cà tím, cà pháo</v>
          </cell>
        </row>
        <row r="40">
          <cell r="F40" t="str">
            <v>Mướp đắng</v>
          </cell>
        </row>
        <row r="41">
          <cell r="F41">
            <v>0</v>
          </cell>
        </row>
        <row r="42">
          <cell r="F42" t="str">
            <v>Cà rốt</v>
          </cell>
        </row>
        <row r="43">
          <cell r="F43" t="str">
            <v>Củ cải</v>
          </cell>
        </row>
        <row r="44">
          <cell r="F44" t="str">
            <v>Tỏi lấy củ</v>
          </cell>
        </row>
        <row r="45">
          <cell r="F45" t="str">
            <v>Hành tây</v>
          </cell>
        </row>
        <row r="46">
          <cell r="F46" t="str">
            <v>Hành hoa</v>
          </cell>
        </row>
        <row r="47">
          <cell r="F47" t="str">
            <v>Hành củ</v>
          </cell>
        </row>
        <row r="48">
          <cell r="F48" t="str">
            <v>Rau cần ta</v>
          </cell>
        </row>
        <row r="49">
          <cell r="F49">
            <v>0</v>
          </cell>
        </row>
        <row r="50">
          <cell r="F50" t="str">
            <v>Rau tỏi tây</v>
          </cell>
        </row>
        <row r="51">
          <cell r="F51" t="str">
            <v>Măng tây</v>
          </cell>
        </row>
        <row r="52">
          <cell r="F52" t="str">
            <v>Cần tây</v>
          </cell>
        </row>
        <row r="53">
          <cell r="F53">
            <v>0</v>
          </cell>
        </row>
        <row r="54">
          <cell r="F54">
            <v>0</v>
          </cell>
        </row>
        <row r="55">
          <cell r="F55" t="str">
            <v>Hoa hồng</v>
          </cell>
        </row>
        <row r="56">
          <cell r="F56" t="str">
            <v>Hoa cúc</v>
          </cell>
        </row>
        <row r="57">
          <cell r="F57" t="str">
            <v>Hoa lay ơn</v>
          </cell>
        </row>
        <row r="58">
          <cell r="F58" t="str">
            <v>Hoa huệ</v>
          </cell>
        </row>
        <row r="59">
          <cell r="F59" t="str">
            <v>Hoa cẩm chướng</v>
          </cell>
        </row>
        <row r="60">
          <cell r="F60" t="str">
            <v>Hoa ly</v>
          </cell>
        </row>
        <row r="61">
          <cell r="F61" t="str">
            <v>Hoa đồng tiền</v>
          </cell>
        </row>
        <row r="62">
          <cell r="F62" t="str">
            <v>Hoa khác</v>
          </cell>
        </row>
        <row r="63">
          <cell r="F63" t="str">
            <v>Ớt cay</v>
          </cell>
        </row>
        <row r="64">
          <cell r="F64" t="str">
            <v>Gừng</v>
          </cell>
        </row>
        <row r="65">
          <cell r="F65" t="str">
            <v>Riềng</v>
          </cell>
        </row>
        <row r="66">
          <cell r="F66" t="str">
            <v>Rau gia vị khác (Rau mùi, thì là, mùi tàu, tía tô...)</v>
          </cell>
        </row>
        <row r="67">
          <cell r="F67">
            <v>0</v>
          </cell>
        </row>
        <row r="68">
          <cell r="F68" t="str">
            <v>Nghệ</v>
          </cell>
        </row>
        <row r="69">
          <cell r="F69" t="str">
            <v>Sả</v>
          </cell>
        </row>
        <row r="70">
          <cell r="F70">
            <v>0</v>
          </cell>
        </row>
        <row r="71">
          <cell r="F71" t="str">
            <v xml:space="preserve">Cây vải loại cây ghép có chiều cao cây 40cm ≤ H &lt; 1m  </v>
          </cell>
        </row>
        <row r="72">
          <cell r="F72" t="str">
            <v xml:space="preserve">Cây vải loại cây ghép có chiều cao cây  H ≥ 1m  </v>
          </cell>
        </row>
        <row r="73">
          <cell r="F73" t="str">
            <v xml:space="preserve">Cây vải loại cây chiết cành có chiều cao  40cm ≤ H &lt; 1m  </v>
          </cell>
        </row>
        <row r="74">
          <cell r="F74" t="str">
            <v xml:space="preserve">Cây vải loại cây chiết cành có chiều cao cây  H ≥ 1m  </v>
          </cell>
        </row>
        <row r="75">
          <cell r="F75" t="str">
            <v>Cây vải đường kính tán 0,7m ≤ Φ &lt; 1m</v>
          </cell>
        </row>
        <row r="76">
          <cell r="F76" t="str">
            <v>Cây vải đường kính tán 1m ≤ Φ &lt; 2m</v>
          </cell>
        </row>
        <row r="77">
          <cell r="F77">
            <v>0</v>
          </cell>
        </row>
        <row r="78">
          <cell r="F78" t="str">
            <v>Cây vải đường kính tán 3m ≤ Φ &lt; 4m</v>
          </cell>
        </row>
        <row r="79">
          <cell r="F79" t="str">
            <v>Cây vải đường kính tán 4m ≤ Φ &lt; 5m</v>
          </cell>
        </row>
        <row r="80">
          <cell r="F80" t="str">
            <v>Cây vải đường kính tán 5m ≤ Φ &lt; 6m</v>
          </cell>
        </row>
        <row r="81">
          <cell r="F81" t="str">
            <v>Cây vải đường kính tán 6m ≤ Φ &lt; 7m</v>
          </cell>
        </row>
        <row r="82">
          <cell r="F82" t="str">
            <v>Cây vải đường kính tán 7m ≤ Φ &lt; 8m</v>
          </cell>
        </row>
        <row r="83">
          <cell r="F83" t="str">
            <v>Cây vải đường kính tán 8m ≤ Φ &lt; 9m</v>
          </cell>
        </row>
        <row r="84">
          <cell r="F84" t="str">
            <v>Cây vải đường kính tán 9m ≤ Φ &lt; 10m</v>
          </cell>
        </row>
        <row r="85">
          <cell r="F85" t="str">
            <v>Cây vải đường kính tán 10m ≤ Φ &lt; 15m</v>
          </cell>
        </row>
        <row r="86">
          <cell r="F86" t="str">
            <v>Cây vải đường kính tán Φ ≥ 15m</v>
          </cell>
        </row>
        <row r="87">
          <cell r="F87" t="str">
            <v xml:space="preserve">Cây nhãn loại cây ghép có chiều cao cây 40cm ≤ H &lt; 1m  </v>
          </cell>
        </row>
        <row r="88">
          <cell r="F88" t="str">
            <v xml:space="preserve">Cây nhãn loại cây ghép có chiều cao cây  H ≥ 1m  </v>
          </cell>
        </row>
        <row r="89">
          <cell r="F89" t="str">
            <v xml:space="preserve">Cây nhãn loại cây chiết cành có chiều cao  40cm ≤ H &lt; 1m  </v>
          </cell>
        </row>
        <row r="90">
          <cell r="F90" t="str">
            <v xml:space="preserve">Cây nhãn loại cây chiết cành có chiều cao cây  H ≥ 1m  </v>
          </cell>
        </row>
        <row r="91">
          <cell r="F91" t="str">
            <v xml:space="preserve">Cây nhãn đường kính tán 0,7m ≤ Φ &lt; 1m </v>
          </cell>
        </row>
        <row r="92">
          <cell r="F92" t="str">
            <v xml:space="preserve">Cây nhãn đường kính tán 1m ≤ Φ &lt; 1,5m </v>
          </cell>
        </row>
        <row r="93">
          <cell r="F93" t="str">
            <v xml:space="preserve">Cây nhãn đường kính tán 1,5m ≤ Φ &lt; 2m </v>
          </cell>
        </row>
        <row r="94">
          <cell r="F94" t="str">
            <v xml:space="preserve">Cây nhãn đường kính tán 2m ≤ Φ &lt; 3m </v>
          </cell>
        </row>
        <row r="95">
          <cell r="F95" t="str">
            <v>Cây nhãn đường kính tán 3m ≤ Φ &lt; 4m</v>
          </cell>
        </row>
        <row r="96">
          <cell r="F96" t="str">
            <v>Cây nhãn đường kính tán 4m ≤ Φ &lt; 5m</v>
          </cell>
        </row>
        <row r="97">
          <cell r="F97" t="str">
            <v>Cây nhãn đường kính tán 5m ≤ Φ &lt; 6m</v>
          </cell>
        </row>
        <row r="98">
          <cell r="F98" t="str">
            <v>Cây nhãn đường kính tán 6m ≤ Φ &lt; 7m</v>
          </cell>
        </row>
        <row r="99">
          <cell r="F99" t="str">
            <v>Cây nhãn đường kính tán 7m ≤ Φ &lt; 8m</v>
          </cell>
        </row>
        <row r="100">
          <cell r="F100" t="str">
            <v>Cây nhãn đường kính tán 8m ≤ Φ &lt; 9m</v>
          </cell>
        </row>
        <row r="101">
          <cell r="F101" t="str">
            <v>Cây nhãn đường kính tán 9m ≤ Φ &lt; 12m</v>
          </cell>
        </row>
        <row r="102">
          <cell r="F102" t="str">
            <v>Cây nhãn đường kính tán Φ ≥ 12m</v>
          </cell>
        </row>
        <row r="103">
          <cell r="F103" t="str">
            <v>Mít (tính theo đường kính gốc F)</v>
          </cell>
        </row>
        <row r="104">
          <cell r="F104" t="str">
            <v>Cây mít giống đủ tiêu chuẩn mới trồng</v>
          </cell>
        </row>
        <row r="105">
          <cell r="F105" t="str">
            <v xml:space="preserve">Cây mít đường kính gốc 1cm ≤ Φ &lt; 2cm </v>
          </cell>
        </row>
        <row r="106">
          <cell r="F106" t="str">
            <v xml:space="preserve">Cây mít đường kính gốc 2cm ≤ Φ &lt; 5cm </v>
          </cell>
        </row>
        <row r="107">
          <cell r="F107" t="str">
            <v xml:space="preserve">Cây mít đường kính gốc 5cm ≤ Φ &lt; 7cm </v>
          </cell>
        </row>
        <row r="108">
          <cell r="F108" t="str">
            <v xml:space="preserve">Cây mít đường kính gốc 7cm ≤ Φ &lt; 9cm </v>
          </cell>
        </row>
        <row r="109">
          <cell r="F109" t="str">
            <v>Cây mít đường kính gốc 9cm ≤ Φ &lt; 12cm</v>
          </cell>
        </row>
        <row r="110">
          <cell r="F110" t="str">
            <v xml:space="preserve">Cây mít đường kính gốc 12cm ≤ Φ &lt; 15cm </v>
          </cell>
        </row>
        <row r="111">
          <cell r="F111" t="str">
            <v>Cây mít đường kính gốc 15cm ≤ Φ &lt; 20cm</v>
          </cell>
        </row>
        <row r="112">
          <cell r="F112" t="str">
            <v>Cây mít đường kính gốc 20cm ≤ Φ &lt; 25cm</v>
          </cell>
        </row>
        <row r="113">
          <cell r="F113" t="str">
            <v>Cây mít đường kính gốc 25cm ≤ Φ &lt; 35cm</v>
          </cell>
        </row>
        <row r="114">
          <cell r="F114" t="str">
            <v>Cây mít đường kính gốc 35cm ≤ Φ &lt; 50cm</v>
          </cell>
        </row>
        <row r="115">
          <cell r="F115" t="str">
            <v>Cây mít đường kính gốc Φ ≥ 50cm</v>
          </cell>
        </row>
        <row r="116">
          <cell r="F116" t="str">
            <v>Hồng xiêm (tính theo đường kính tán F)</v>
          </cell>
        </row>
        <row r="117">
          <cell r="F117" t="str">
            <v>Cây hồng xiêm giống đủ tiêu chuẩn  mới trồng</v>
          </cell>
        </row>
        <row r="118">
          <cell r="F118" t="str">
            <v>Cây hồng xiêm đường kính tán 0,7m ≤ Φ &lt; 1m</v>
          </cell>
        </row>
        <row r="119">
          <cell r="F119" t="str">
            <v>Cây hồng xiêm đường kính tán 1m ≤ Φ &lt; 1,5m</v>
          </cell>
        </row>
        <row r="120">
          <cell r="F120" t="str">
            <v>Cây hồng xiêm đường kính tán 1,5m ≤ Φ &lt; 2m</v>
          </cell>
        </row>
        <row r="121">
          <cell r="F121" t="str">
            <v>Cây hồng xiêm đường kính tán 2m ≤ Φ &lt; 3m</v>
          </cell>
        </row>
        <row r="122">
          <cell r="F122" t="str">
            <v>Cây hồng xiêm đường kính tán 3m ≤ Φ &lt; 4m</v>
          </cell>
        </row>
        <row r="123">
          <cell r="F123" t="str">
            <v>Cây hồng xiêm đường kính tán 4m ≤ Φ &lt; 5m</v>
          </cell>
        </row>
        <row r="124">
          <cell r="F124" t="str">
            <v>Cây hồng xiêm đường kính tán 5m ≤ Φ &lt; 6m</v>
          </cell>
        </row>
        <row r="125">
          <cell r="F125" t="str">
            <v>Cây hồng xiêm đường kính tán 6m ≤ Φ &lt; 7m</v>
          </cell>
        </row>
        <row r="126">
          <cell r="F126" t="str">
            <v>Cây hồng xiêm đường kính tán 7m ≤ Φ &lt; 8m</v>
          </cell>
        </row>
        <row r="127">
          <cell r="F127" t="str">
            <v>Cây hồng xiêm đường kính tán 8m ≤ Φ &lt; 9m</v>
          </cell>
        </row>
        <row r="128">
          <cell r="F128" t="str">
            <v>Cây hồng xiêm đường kính tán 9m ≤ Φ &lt; 12m</v>
          </cell>
        </row>
        <row r="129">
          <cell r="F129" t="str">
            <v>Cây hồng xiêm đường kính tán Φ ≥ 12m</v>
          </cell>
        </row>
        <row r="130">
          <cell r="F130" t="str">
            <v>Hồng ăn quả khác (tính theo đường kính gốc F)</v>
          </cell>
        </row>
        <row r="131">
          <cell r="F131" t="str">
            <v>Cây giống hồng ăn quả khác đủ tiêu chuẩn mới trồng, chiều cao cây H ≥ 40cm</v>
          </cell>
        </row>
        <row r="132">
          <cell r="F132" t="str">
            <v>Cây hồng ăn quả khác đường kính gốc 1cm ≤ Φ &lt; 2cm</v>
          </cell>
        </row>
        <row r="133">
          <cell r="F133" t="str">
            <v xml:space="preserve">Cây hồng ăn quả khác đường kính gốc 2cm ≤ Φ &lt; 5cm </v>
          </cell>
        </row>
        <row r="134">
          <cell r="F134" t="str">
            <v>Cây hồng ăn quả khác đường kính gốc 5cm ≤ Φ &lt; 7cm</v>
          </cell>
        </row>
        <row r="135">
          <cell r="F135" t="str">
            <v xml:space="preserve">Cây hồng ăn quả khác đường kính gốc 7cm ≤ Φ &lt; 9cm </v>
          </cell>
        </row>
        <row r="136">
          <cell r="F136" t="str">
            <v>Cây hồng ăn quả khác đường kính gốc 9cm ≤ Φ &lt; 12cm</v>
          </cell>
        </row>
        <row r="137">
          <cell r="F137" t="str">
            <v xml:space="preserve">Cây hồng ăn quả khác đường kính gốc 12cm ≤ Φ &lt; 15cm </v>
          </cell>
        </row>
        <row r="138">
          <cell r="F138" t="str">
            <v>Cây hồng ăn quả khác đường kính gốc 15cm ≤ Φ &lt; 20cm</v>
          </cell>
        </row>
        <row r="139">
          <cell r="F139" t="str">
            <v>Cây hồng ăn quả khác đường kính gốc 20cm ≤ Φ &lt; 25cm</v>
          </cell>
        </row>
        <row r="140">
          <cell r="F140" t="str">
            <v>Cây hồng ăn quả khác đường kính gốc 25cm ≤ Φ &lt; 30cm</v>
          </cell>
        </row>
        <row r="141">
          <cell r="F141" t="str">
            <v>Cây hồng ăn quả khác đường kính gốc 30cm ≤ Φ &lt; 35cm</v>
          </cell>
        </row>
        <row r="142">
          <cell r="F142" t="str">
            <v>Cây hồng ăn quả khác đường kính gốc Φ ≥ 35cm</v>
          </cell>
        </row>
        <row r="143">
          <cell r="F143" t="str">
            <v>Chanh, quýt, quất ăn quả (tính theo đường kính tán F)</v>
          </cell>
        </row>
        <row r="144">
          <cell r="F144" t="str">
            <v xml:space="preserve">Cây chanh giống đủ tiêu chuẩn mới trồng, chiều cao cây H ≥ 40cm </v>
          </cell>
        </row>
        <row r="145">
          <cell r="F145" t="str">
            <v>Cây chanh đường kính tán 0,7m ≤ Φ &lt; 1m</v>
          </cell>
        </row>
        <row r="146">
          <cell r="F146" t="str">
            <v>Cây chanh đường kính tán 1m ≤ Φ &lt; 1,5m</v>
          </cell>
        </row>
        <row r="147">
          <cell r="F147" t="str">
            <v>Cây chanh đường kính tán 1,5m ≤ Φ &lt; 2m</v>
          </cell>
        </row>
        <row r="148">
          <cell r="F148" t="str">
            <v>Cây chanh đường kính tán 2m ≤ Φ &lt; 3m</v>
          </cell>
        </row>
        <row r="149">
          <cell r="F149" t="str">
            <v>Cây chanh đường kính tán 3m ≤ Φ &lt; 4m</v>
          </cell>
        </row>
        <row r="150">
          <cell r="F150" t="str">
            <v>Cây chanh đường kính tán 4m ≤ Φ &lt; 5m</v>
          </cell>
        </row>
        <row r="151">
          <cell r="F151" t="str">
            <v>Cây chanh đường kính tán Φ ≥ 5m</v>
          </cell>
        </row>
        <row r="152">
          <cell r="F152">
            <v>0</v>
          </cell>
        </row>
        <row r="153">
          <cell r="F153" t="str">
            <v>Cây quýt đường kính tán 0,7m ≤ Φ &lt; 1m</v>
          </cell>
        </row>
        <row r="154">
          <cell r="F154" t="str">
            <v>Cây quýt đường kính tán 1m ≤ Φ &lt; 1,5m</v>
          </cell>
        </row>
        <row r="155">
          <cell r="F155" t="str">
            <v>Cây quýt đường kính tán 1,5m ≤ Φ &lt; 2m</v>
          </cell>
        </row>
        <row r="156">
          <cell r="F156" t="str">
            <v>Cây quýt đường kính tán 2m ≤ Φ &lt; 3m</v>
          </cell>
        </row>
        <row r="157">
          <cell r="F157" t="str">
            <v>Cây quýt đường kính tán 3m ≤ Φ &lt; 4m</v>
          </cell>
        </row>
        <row r="158">
          <cell r="F158" t="str">
            <v>Cây quýt đường kính tán 4m ≤ Φ &lt; 5m</v>
          </cell>
        </row>
        <row r="159">
          <cell r="F159" t="str">
            <v>Cây quýt đường kính tán Φ ≥ 5m</v>
          </cell>
        </row>
        <row r="160">
          <cell r="F160" t="str">
            <v xml:space="preserve">Cây quất ăn quả giống đủ tiêu chuẩn mới trồng, chiều cao cây H ≥ 40cm </v>
          </cell>
        </row>
        <row r="161">
          <cell r="F161" t="str">
            <v>Cây quất ăn quả đường kính tán 0,7m ≤ Φ &lt; 1m</v>
          </cell>
        </row>
        <row r="162">
          <cell r="F162" t="str">
            <v>Cây quất ăn quả đường kính tán 1m ≤ Φ &lt; 1,5m</v>
          </cell>
        </row>
        <row r="163">
          <cell r="F163" t="str">
            <v>Cây quất ăn quả đường kính tán 1,5m ≤ Φ &lt; 2m</v>
          </cell>
        </row>
        <row r="164">
          <cell r="F164" t="str">
            <v>Cây quất ăn quả đường kính tán 2m ≤ Φ &lt; 3m</v>
          </cell>
        </row>
        <row r="165">
          <cell r="F165" t="str">
            <v>Cây quất ăn quả đường kính tán 3m ≤ Φ &lt; 4m</v>
          </cell>
        </row>
        <row r="166">
          <cell r="F166" t="str">
            <v>Cây quất ăn quả đường kính tán 4m ≤ Φ &lt; 5m</v>
          </cell>
        </row>
        <row r="167">
          <cell r="F167">
            <v>0</v>
          </cell>
        </row>
        <row r="168">
          <cell r="F168" t="str">
            <v xml:space="preserve">Cây quýt giống đủ tiêu chuẩn mới trồng, chiều cao cây H ≥ 40cm </v>
          </cell>
        </row>
        <row r="169">
          <cell r="F169" t="str">
            <v>Cây giống đủ tiêu chuẩn mới trồng</v>
          </cell>
        </row>
        <row r="170">
          <cell r="F170" t="str">
            <v xml:space="preserve">Cây cam loại cây ghép có chiều cao cây 40cm ≤ Φ &lt; 1m  </v>
          </cell>
        </row>
        <row r="171">
          <cell r="F171" t="str">
            <v xml:space="preserve">Cây cam loại cây ghép có chiều cao cây  H ≥ 1m  </v>
          </cell>
        </row>
        <row r="172">
          <cell r="F172" t="str">
            <v xml:space="preserve">Cây cam loại cây chiết cành có chiều cao 40cm ≤ Φ &lt; 1m  </v>
          </cell>
        </row>
        <row r="173">
          <cell r="F173" t="str">
            <v xml:space="preserve">Cây cam loại cây chiết cành có chiều cao cây  H ≥ 1m  </v>
          </cell>
        </row>
        <row r="174">
          <cell r="F174" t="str">
            <v>Cây cam đường kính tán 0,7m ≤ Φ &lt; 1m</v>
          </cell>
        </row>
        <row r="175">
          <cell r="F175" t="str">
            <v>Cây cam đường kính tán 1m ≤ Φ &lt; 1,5m</v>
          </cell>
        </row>
        <row r="176">
          <cell r="F176" t="str">
            <v>Cây cam đường kính tán 1,5m ≤ Φ &lt; 2m</v>
          </cell>
        </row>
        <row r="177">
          <cell r="F177" t="str">
            <v>Cây cam đường kính tán 2m ≤ Φ &lt; 3m</v>
          </cell>
        </row>
        <row r="178">
          <cell r="F178" t="str">
            <v>Cây cam đường kính tán 3m ≤ Φ &lt; 4m</v>
          </cell>
        </row>
        <row r="179">
          <cell r="F179" t="str">
            <v>Cây cam đường kính tán 4m ≤ Φ &lt; 5m</v>
          </cell>
        </row>
        <row r="180">
          <cell r="F180" t="str">
            <v>Cây cam đường kính tán 5m ≤ Φ &lt; 6m</v>
          </cell>
        </row>
        <row r="181">
          <cell r="F181" t="str">
            <v>Cây cam đường kính tán Φ ≥ 6m</v>
          </cell>
        </row>
        <row r="182">
          <cell r="F182" t="str">
            <v>Bưởi (tính theo đường kính gốc F)</v>
          </cell>
        </row>
        <row r="183">
          <cell r="F183" t="str">
            <v>Cây giống đủ tiêu chuẩn mới trồng</v>
          </cell>
        </row>
        <row r="184">
          <cell r="F184" t="str">
            <v xml:space="preserve">Bưởi loại cây ghép có chiều cao cây 40cm ≤ H &lt; 1m  </v>
          </cell>
        </row>
        <row r="185">
          <cell r="F185" t="str">
            <v xml:space="preserve">Bưởi loại cây ghép có chiều cao cây  H ≥ 1m  </v>
          </cell>
        </row>
        <row r="186">
          <cell r="F186" t="str">
            <v xml:space="preserve">Bưởi loại cây chiết cành có chiều cao  40cm ≤ H &lt; 1m  </v>
          </cell>
        </row>
        <row r="187">
          <cell r="F187" t="str">
            <v xml:space="preserve">Bưởi loại cây chiết cành có chiều cao cây  H ≥ 1m  </v>
          </cell>
        </row>
        <row r="188">
          <cell r="F188" t="str">
            <v>Cây bưởi đường kính gốc 1cm ≤ Φ &lt; 2cm</v>
          </cell>
        </row>
        <row r="189">
          <cell r="F189" t="str">
            <v>Cây bưởi đường kính gốc 2cm ≤ Φ &lt; 5cm</v>
          </cell>
        </row>
        <row r="190">
          <cell r="F190" t="str">
            <v>Cây bưởi đường kính gốc 5cm ≤ Φ &lt; 7cm</v>
          </cell>
        </row>
        <row r="191">
          <cell r="F191" t="str">
            <v>Cây bưởi đường kính gốc 7cm ≤ Φ &lt; 9cm</v>
          </cell>
        </row>
        <row r="192">
          <cell r="F192" t="str">
            <v>Cây bưởi đường kính gốc 9cm ≤ Φ &lt; 12cm</v>
          </cell>
        </row>
        <row r="193">
          <cell r="F193" t="str">
            <v xml:space="preserve">Cây bưởi đường kính gốc 12cm ≤ Φ &lt; 15cm </v>
          </cell>
        </row>
        <row r="194">
          <cell r="F194" t="str">
            <v>Cây bưởi đường kính gốc 15cm ≤ Φ &lt; 20cm</v>
          </cell>
        </row>
        <row r="195">
          <cell r="F195" t="str">
            <v>Cây bưởi đường kính gốc 20cm ≤ Φ &lt; 25cm</v>
          </cell>
        </row>
        <row r="196">
          <cell r="F196" t="str">
            <v>Cây bưởi đường kính gốc Φ ≥ 25cm</v>
          </cell>
        </row>
        <row r="197">
          <cell r="F197" t="str">
            <v>Xoài, muỗm, quéo, thị (tính theo đường kính gốc F)</v>
          </cell>
        </row>
        <row r="198">
          <cell r="F198" t="str">
            <v>Cây xoài giống đủ tiêu chuẩn mới trồng, chiều cao cây H ≥ 40cm</v>
          </cell>
        </row>
        <row r="199">
          <cell r="F199" t="str">
            <v xml:space="preserve">Cây xoài đường kính gốc 1cm ≤ Φ &lt; 2cm </v>
          </cell>
        </row>
        <row r="200">
          <cell r="F200" t="str">
            <v>Cây xoài đường kính gốc 2cm ≤ Φ &lt; 5cm</v>
          </cell>
        </row>
        <row r="201">
          <cell r="F201" t="str">
            <v>Cây xoài đường kính gốc 5cm ≤ Φ &lt; 7cm</v>
          </cell>
        </row>
        <row r="202">
          <cell r="F202" t="str">
            <v>Cây xoài đường kính gốc 7cm ≤ Φ &lt; 9cm</v>
          </cell>
        </row>
        <row r="203">
          <cell r="F203" t="str">
            <v>Cây xoài đường kính gốc 9cm ≤ Φ &lt; 12cm</v>
          </cell>
        </row>
        <row r="204">
          <cell r="F204" t="str">
            <v xml:space="preserve">Cây xoài đường kính gốc 12cm ≤ Φ &lt; 15cm </v>
          </cell>
        </row>
        <row r="205">
          <cell r="F205" t="str">
            <v>Cây xoài đường kính gốc 15cm ≤ Φ &lt; 20cm</v>
          </cell>
        </row>
        <row r="206">
          <cell r="F206" t="str">
            <v>Cây xoài đường kính gốc 20cm ≤ Φ &lt; 25cm</v>
          </cell>
        </row>
        <row r="207">
          <cell r="F207" t="str">
            <v>Cây xoài đường kính gốc 25cm ≤ Φ &lt; 35cm</v>
          </cell>
        </row>
        <row r="208">
          <cell r="F208" t="str">
            <v>Cây xoài đường kính gốc 35cm ≤ Φ &lt; 50cm</v>
          </cell>
        </row>
        <row r="209">
          <cell r="F209" t="str">
            <v>Cây xoài đường kính gốc Φ ≥ 50cm</v>
          </cell>
        </row>
        <row r="210">
          <cell r="F210" t="str">
            <v xml:space="preserve">Cam (tính theo đường kính tán lá F) </v>
          </cell>
        </row>
        <row r="211">
          <cell r="F211" t="str">
            <v xml:space="preserve">Cây muỗm đường kính gốc 1cm ≤ Φ &lt; 2cm </v>
          </cell>
        </row>
        <row r="212">
          <cell r="F212" t="str">
            <v>Cây muỗm đường kính gốc 2cm ≤ Φ &lt; 5cm</v>
          </cell>
        </row>
        <row r="213">
          <cell r="F213" t="str">
            <v>Cây muỗm đường kính gốc 5cm ≤ Φ &lt; 7cm</v>
          </cell>
        </row>
        <row r="214">
          <cell r="F214" t="str">
            <v>Cây muỗm đường kính gốc 7cm ≤ Φ &lt; 9cm</v>
          </cell>
        </row>
        <row r="215">
          <cell r="F215" t="str">
            <v>Cây muỗm đường kính gốc 9cm ≤ Φ &lt; 12cm</v>
          </cell>
        </row>
        <row r="216">
          <cell r="F216" t="str">
            <v xml:space="preserve">Cây muỗm đường kính gốc 12cm ≤ Φ &lt; 15cm </v>
          </cell>
        </row>
        <row r="217">
          <cell r="F217" t="str">
            <v>Cây muỗm đường kính gốc 15cm ≤ Φ &lt; 20cm</v>
          </cell>
        </row>
        <row r="218">
          <cell r="F218" t="str">
            <v>Cây muỗm đường kính gốc 20cm ≤ Φ &lt; 25cm</v>
          </cell>
        </row>
        <row r="219">
          <cell r="F219" t="str">
            <v>Cây muỗm đường kính gốc 25cm ≤ Φ &lt; 35cm</v>
          </cell>
        </row>
        <row r="220">
          <cell r="F220" t="str">
            <v>Cây muỗm đường kính gốc 35cm ≤ Φ &lt; 50cm</v>
          </cell>
        </row>
        <row r="221">
          <cell r="F221" t="str">
            <v>Cây muỗm đường kính gốc Φ ≥ 50cm</v>
          </cell>
        </row>
        <row r="222">
          <cell r="F222" t="str">
            <v>Cây quéo giống đủ tiêu chuẩn mới trồng, chiều cao cây H ≥ 40cm</v>
          </cell>
        </row>
        <row r="223">
          <cell r="F223" t="str">
            <v xml:space="preserve">Cây quéo đường kính gốc 1cm ≤ Φ &lt; 2cm </v>
          </cell>
        </row>
        <row r="224">
          <cell r="F224" t="str">
            <v>Cây quéo đường kính gốc 2cm ≤ Φ &lt; 5cm</v>
          </cell>
        </row>
        <row r="225">
          <cell r="F225" t="str">
            <v>Cây quéo đường kính gốc 5cm ≤ Φ &lt; 7cm</v>
          </cell>
        </row>
        <row r="226">
          <cell r="F226" t="str">
            <v>Cây quéo đường kính gốc 7cm ≤ Φ &lt; 9cm</v>
          </cell>
        </row>
        <row r="227">
          <cell r="F227" t="str">
            <v>Cây quéo đường kính gốc 9cm ≤ Φ &lt; 12cm</v>
          </cell>
        </row>
        <row r="228">
          <cell r="F228" t="str">
            <v xml:space="preserve">Cây quéo đường kính gốc 12cm ≤ Φ &lt; 15cm </v>
          </cell>
        </row>
        <row r="229">
          <cell r="F229" t="str">
            <v>Cây quéo đường kính gốc 15cm ≤ Φ &lt; 20cm</v>
          </cell>
        </row>
        <row r="230">
          <cell r="F230" t="str">
            <v>Cây quéo đường kính gốc 20cm ≤ Φ &lt; 25cm</v>
          </cell>
        </row>
        <row r="231">
          <cell r="F231" t="str">
            <v>Cây quéo đường kính gốc 25cm ≤ Φ &lt; 35cm</v>
          </cell>
        </row>
        <row r="232">
          <cell r="F232" t="str">
            <v>Cây quéo đường kính gốc 35cm ≤ Φ &lt; 50cm</v>
          </cell>
        </row>
        <row r="233">
          <cell r="F233" t="str">
            <v>Cây quéo đường kính gốc Φ ≥ 50cm</v>
          </cell>
        </row>
        <row r="234">
          <cell r="F234" t="str">
            <v>Cây thị giống đủ tiêu chuẩn mới trồng, chiều cao cây H ≥ 40cm</v>
          </cell>
        </row>
        <row r="235">
          <cell r="F235" t="str">
            <v xml:space="preserve">Cây thị đường kính gốc 1cm ≤ Φ &lt; 2cm </v>
          </cell>
        </row>
        <row r="236">
          <cell r="F236" t="str">
            <v>Cây thị đường kính gốc 2cm ≤ Φ &lt; 5cm</v>
          </cell>
        </row>
        <row r="237">
          <cell r="F237" t="str">
            <v>Cây thị đường kính gốc 5cm ≤ Φ &lt; 7cm</v>
          </cell>
        </row>
        <row r="238">
          <cell r="F238" t="str">
            <v>Cây thị đường kính gốc 7cm ≤ Φ &lt; 9cm</v>
          </cell>
        </row>
        <row r="239">
          <cell r="F239" t="str">
            <v>Cây thị đường kính gốc 9cm ≤ Φ &lt; 12cm</v>
          </cell>
        </row>
        <row r="240">
          <cell r="F240" t="str">
            <v xml:space="preserve">Cây thị đường kính gốc 12cm ≤ Φ &lt; 15cm </v>
          </cell>
        </row>
        <row r="241">
          <cell r="F241" t="str">
            <v>Cây thị đường kính gốc 15cm ≤ Φ &lt; 20cm</v>
          </cell>
        </row>
        <row r="242">
          <cell r="F242" t="str">
            <v>Cây thị đường kính gốc 20cm ≤ Φ &lt; 25cm</v>
          </cell>
        </row>
        <row r="243">
          <cell r="F243" t="str">
            <v>Cây thị đường kính gốc 25cm ≤ Φ &lt; 35cm</v>
          </cell>
        </row>
        <row r="244">
          <cell r="F244" t="str">
            <v>Cây thị đường kính gốc 35cm ≤ Φ &lt; 50cm</v>
          </cell>
        </row>
        <row r="245">
          <cell r="F245">
            <v>0</v>
          </cell>
        </row>
        <row r="246">
          <cell r="F246" t="str">
            <v>Cây muỗm giống đủ tiêu chuẩn mới trồng, chiều cao cây H ≥ 40cm</v>
          </cell>
        </row>
        <row r="247">
          <cell r="F247" t="str">
            <v>Cây dừa giống đủ tiêu chuẩn mới trồng</v>
          </cell>
        </row>
        <row r="248">
          <cell r="F248" t="str">
            <v>Cây dừa đường kính gốc 7cm ≤ Φ &lt; 9cm</v>
          </cell>
        </row>
        <row r="249">
          <cell r="F249" t="str">
            <v>Cây dừa đường kính gốc 9cm ≤ Φ &lt; 12cm</v>
          </cell>
        </row>
        <row r="250">
          <cell r="F250" t="str">
            <v>Cây dừa đường kính gốc 12cm ≤ Φ &lt; 15cm</v>
          </cell>
        </row>
        <row r="251">
          <cell r="F251" t="str">
            <v>Cây dừa đường kính gốc 15cm ≤ Φ &lt; 20cm</v>
          </cell>
        </row>
        <row r="252">
          <cell r="F252" t="str">
            <v>Cây dừa đường kính gốc 20cm ≤ Φ &lt; 25cm</v>
          </cell>
        </row>
        <row r="253">
          <cell r="F253" t="str">
            <v>Cây dừa đường kính gốc 25cm ≤ Φ &lt; 30cm</v>
          </cell>
        </row>
        <row r="254">
          <cell r="F254" t="str">
            <v>Cây dừa đường kính gốc 30cm ≤ Φ &lt; 35cm</v>
          </cell>
        </row>
        <row r="255">
          <cell r="F255" t="str">
            <v>Cây dừa đường kính gốc 35cm ≤ Φ &lt; 50cm</v>
          </cell>
        </row>
        <row r="256">
          <cell r="F256" t="str">
            <v>Cây dừa đường kính gốc Φ ≥ 50cm</v>
          </cell>
        </row>
        <row r="257">
          <cell r="F257" t="str">
            <v>Na (tính theo đường kính gốc F)</v>
          </cell>
        </row>
        <row r="258">
          <cell r="F258" t="str">
            <v>Cây na giống đủ tiêu chuẩn mới trồng, chiều cao cây H ≥ 40cm</v>
          </cell>
        </row>
        <row r="259">
          <cell r="F259" t="str">
            <v>Cây na đường kính gốc 1cm ≤ Φ &lt; 2cm</v>
          </cell>
        </row>
        <row r="260">
          <cell r="F260" t="str">
            <v>Cây na đường kính gốc 2cm ≤ Φ &lt; 5cm</v>
          </cell>
        </row>
        <row r="261">
          <cell r="F261" t="str">
            <v>Cây na đường kính gốc 5cm ≤ Φ &lt; 7cm</v>
          </cell>
        </row>
        <row r="262">
          <cell r="F262" t="str">
            <v xml:space="preserve">Cây na đường kính gốc 7cm ≤ Φ &lt; 9cm </v>
          </cell>
        </row>
        <row r="263">
          <cell r="F263" t="str">
            <v>Cây na đường kính gốc 9cm ≤ Φ &lt; 12cm</v>
          </cell>
        </row>
        <row r="264">
          <cell r="F264" t="str">
            <v>Cây na đường kính gốc 12cm ≤ Φ &lt; 15cm</v>
          </cell>
        </row>
        <row r="265">
          <cell r="F265" t="str">
            <v>Cây na đường kính gốc Φ ≥ 15cm</v>
          </cell>
        </row>
        <row r="266">
          <cell r="F266" t="str">
            <v>Dâu da (tính theo đường kính gốc F)</v>
          </cell>
        </row>
        <row r="267">
          <cell r="F267" t="str">
            <v>Cây dâu da giống đủ tiêu chuẩn mới trồng, chiều cao cây H ≥ 40cm</v>
          </cell>
        </row>
        <row r="268">
          <cell r="F268" t="str">
            <v>Cây dâu da đường kính gốc 1cm ≤ Φ &lt; 2cm</v>
          </cell>
        </row>
        <row r="269">
          <cell r="F269" t="str">
            <v>Cây dâu da đường kính gốc 2cm ≤ Φ &lt; 5cm</v>
          </cell>
        </row>
        <row r="270">
          <cell r="F270" t="str">
            <v>Cây dâu da đường kính gốc 5cm ≤ Φ &lt; 7cm</v>
          </cell>
        </row>
        <row r="271">
          <cell r="F271" t="str">
            <v>Cây dâu da đường kính gốc 7cm ≤ Φ &lt; 9cm</v>
          </cell>
        </row>
        <row r="272">
          <cell r="F272" t="str">
            <v>Cây dâu da đường kính gốc 9cm ≤ Φ &lt; 12cm</v>
          </cell>
        </row>
        <row r="273">
          <cell r="F273" t="str">
            <v>Cây dâu da đường kính gốc 12cm ≤ Φ &lt; 15cm</v>
          </cell>
        </row>
        <row r="274">
          <cell r="F274" t="str">
            <v>Cây dâu da đường kính gốc 15cm ≤ Φ &lt; 20cm</v>
          </cell>
        </row>
        <row r="275">
          <cell r="F275" t="str">
            <v>Cây dâu da đường kính gốc 20cm ≤ Φ &lt; 25cm</v>
          </cell>
        </row>
        <row r="276">
          <cell r="F276" t="str">
            <v>Cây dâu da đường kính gốc 25cm ≤ Φ &lt; 35cm</v>
          </cell>
        </row>
        <row r="277">
          <cell r="F277" t="str">
            <v>Cây dâu da đường kính gốc 35cm ≤ Φ &lt; 50cm</v>
          </cell>
        </row>
        <row r="278">
          <cell r="F278" t="str">
            <v>Cây dâu da đường kính gốc Φ ≥ 50cm</v>
          </cell>
        </row>
        <row r="279">
          <cell r="F279" t="str">
            <v xml:space="preserve">Bồ kết (tính theo đường kính gốc F) </v>
          </cell>
        </row>
        <row r="280">
          <cell r="F280" t="str">
            <v>Cây bồ kết giống đủ tiêu chuẩn mới trồng, chiều cao cây H ≥ 40cm</v>
          </cell>
        </row>
        <row r="281">
          <cell r="F281" t="str">
            <v>Cây bồ kết đường kính gốc 1cm ≤ Φ &lt; 2cm</v>
          </cell>
        </row>
        <row r="282">
          <cell r="F282" t="str">
            <v>Cây bồ kết đường kính gốc 2cm ≤ Φ &lt; 5cm</v>
          </cell>
        </row>
        <row r="283">
          <cell r="F283" t="str">
            <v>Cây bồ kết đường kính gốc 5cm ≤ Φ &lt; 7cm</v>
          </cell>
        </row>
        <row r="284">
          <cell r="F284" t="str">
            <v>Cây bồ kết đường kính gốc 7cm ≤ Φ &lt; 9cm</v>
          </cell>
        </row>
        <row r="285">
          <cell r="F285" t="str">
            <v>Cây bồ kết đường kính gốc 9cm ≤ Φ &lt; 12cm</v>
          </cell>
        </row>
        <row r="286">
          <cell r="F286" t="str">
            <v>Cây bồ kết đường kính gốc 12cm ≤ Φ &lt; 15cm</v>
          </cell>
        </row>
        <row r="287">
          <cell r="F287" t="str">
            <v>Cây bồ kết đường kính gốc 15cm ≤ Φ &lt; 20cm</v>
          </cell>
        </row>
        <row r="288">
          <cell r="F288" t="str">
            <v>Cây bồ kết đường kính gốc 20cm ≤ Φ &lt; 25cm</v>
          </cell>
        </row>
        <row r="289">
          <cell r="F289" t="str">
            <v>Cây bồ kết đường kính gốc 25cm ≤ Φ &lt; 30cm</v>
          </cell>
        </row>
        <row r="290">
          <cell r="F290" t="str">
            <v>Cây bồ kết đường kính gốc 30cm ≤ Φ &lt; 35cm</v>
          </cell>
        </row>
        <row r="291">
          <cell r="F291" t="str">
            <v>Cây bồ kết đường kính gốc 35cm ≤ Φ &lt; 50cm</v>
          </cell>
        </row>
        <row r="292">
          <cell r="F292" t="str">
            <v>Cây bồ kết đường kính gốc Φ ≥ 50cm</v>
          </cell>
        </row>
        <row r="293">
          <cell r="F293" t="str">
            <v>Trứng gà (tính theo đường kính gốc F)</v>
          </cell>
        </row>
        <row r="294">
          <cell r="F294" t="str">
            <v>Cây trứng gà giống đủ tiêu chuẩn mới trồng, chiều cao cây H ≥ 40cm</v>
          </cell>
        </row>
        <row r="295">
          <cell r="F295" t="str">
            <v>Cây trứng gà đường kính gốc 1cm ≤ Φ &lt; 2cm</v>
          </cell>
        </row>
        <row r="296">
          <cell r="F296" t="str">
            <v>Cây trứng gà đường kính gốc 2cm ≤ Φ &lt; 5cm</v>
          </cell>
        </row>
        <row r="297">
          <cell r="F297" t="str">
            <v>Cây trứng gà đường kính gốc 5cm ≤ Φ &lt; 7cm</v>
          </cell>
        </row>
        <row r="298">
          <cell r="F298" t="str">
            <v>Cây trứng gà đường kính gốc 7cm ≤ Φ &lt; 9cm</v>
          </cell>
        </row>
        <row r="299">
          <cell r="F299" t="str">
            <v>Cây trứng gà đường kính gốc 9cm ≤ Φ &lt; 12cm</v>
          </cell>
        </row>
        <row r="300">
          <cell r="F300" t="str">
            <v>Cây trứng gà đường kính gốc 12cm ≤ Φ &lt; 15cm</v>
          </cell>
        </row>
        <row r="301">
          <cell r="F301" t="str">
            <v>Cây trứng gà đường kính gốc 15cm ≤ Φ &lt; 20cm</v>
          </cell>
        </row>
        <row r="302">
          <cell r="F302" t="str">
            <v>Cây trứng gà đường kính gốc 20cm ≤ Φ &lt; 25cm</v>
          </cell>
        </row>
        <row r="303">
          <cell r="F303" t="str">
            <v>Cây trứng gà đường kính gốc 25cm ≤ Φ &lt; 30cm</v>
          </cell>
        </row>
        <row r="304">
          <cell r="F304" t="str">
            <v>Cây trứng gà đường kính gốc 30cm ≤ Φ &lt; 35cm</v>
          </cell>
        </row>
        <row r="305">
          <cell r="F305" t="str">
            <v>Cây trứng gà đường kính gốc Φ ≥ 35cm</v>
          </cell>
        </row>
        <row r="306">
          <cell r="F306" t="str">
            <v>Táo (tính theo đường kính gốc F)</v>
          </cell>
        </row>
        <row r="307">
          <cell r="F307" t="str">
            <v>Cây giống đủ tiêu chuẩn mới trồng</v>
          </cell>
        </row>
        <row r="308">
          <cell r="F308" t="str">
            <v xml:space="preserve">Cây táo loại cây ghép có chiều cao cây 40cm ≤ H &lt; 1m  </v>
          </cell>
        </row>
        <row r="309">
          <cell r="F309" t="str">
            <v xml:space="preserve">Cây táo loại cây ghép có chiều cao cây  H ≥ 1m  </v>
          </cell>
        </row>
        <row r="310">
          <cell r="F310" t="str">
            <v>Cây táo đường kính gốc 1cm ≤ Φ &lt; 2cm</v>
          </cell>
        </row>
        <row r="311">
          <cell r="F311" t="str">
            <v>Cây táo đường kính gốc 2cm ≤ Φ &lt; 5cm</v>
          </cell>
        </row>
        <row r="312">
          <cell r="F312" t="str">
            <v>Cây táo đường kính gốc 5cm ≤ Φ &lt; 7cm</v>
          </cell>
        </row>
        <row r="313">
          <cell r="F313" t="str">
            <v>Cây táo đường kính gốc 7cm ≤ Φ &lt; 9cm</v>
          </cell>
        </row>
        <row r="314">
          <cell r="F314" t="str">
            <v>Cây táo đường kính gốc 9cm ≤ Φ &lt; 12cm</v>
          </cell>
        </row>
        <row r="315">
          <cell r="F315" t="str">
            <v>Cây táo đường kính gốc 12cm ≤ Φ &lt; 15cm</v>
          </cell>
        </row>
        <row r="316">
          <cell r="F316" t="str">
            <v>Cây táo đường kính gốc 15cm ≤ Φ &lt; 20cm</v>
          </cell>
        </row>
        <row r="317">
          <cell r="F317" t="str">
            <v>Cây táo đường kính gốc 20cm ≤ Φ &lt; 25cm</v>
          </cell>
        </row>
        <row r="318">
          <cell r="F318" t="str">
            <v>Cây táo đường kính gốc Φ ≥ 25cm</v>
          </cell>
        </row>
        <row r="319">
          <cell r="F319" t="str">
            <v>Ổi (tính theo đường kính gốc F)</v>
          </cell>
        </row>
        <row r="320">
          <cell r="F320" t="str">
            <v>Cây giống đủ tiêu chuẩn mới trồng</v>
          </cell>
        </row>
        <row r="321">
          <cell r="F321" t="str">
            <v xml:space="preserve">Cây ổi loại cây ghép có chiều cao cây 40cm ≤ H &lt; 1m </v>
          </cell>
        </row>
        <row r="322">
          <cell r="F322" t="str">
            <v xml:space="preserve">Cây ổi loại cây ghép có chiều cao cây  H ≥ 1m  </v>
          </cell>
        </row>
        <row r="323">
          <cell r="F323" t="str">
            <v xml:space="preserve">Cây ổi loại cây chiết có chiều cao cây 40cm ≤ H &lt; 1m  </v>
          </cell>
        </row>
        <row r="324">
          <cell r="F324" t="str">
            <v>Cây ổi đường kính gốc 1cm ≤ Φ &lt; 2cm</v>
          </cell>
        </row>
        <row r="325">
          <cell r="F325" t="str">
            <v>Cây ổi đường kính gốc 2cm ≤ Φ &lt; 5cm</v>
          </cell>
        </row>
        <row r="326">
          <cell r="F326" t="str">
            <v>Cây ổi đường kính gốc 5cm ≤ Φ &lt; 7cm</v>
          </cell>
        </row>
        <row r="327">
          <cell r="F327" t="str">
            <v>Cây ổi đường kính gốc 7cm ≤ Φ &lt; 9cm</v>
          </cell>
        </row>
        <row r="328">
          <cell r="F328" t="str">
            <v>Cây ổi đường kính gốc 9cm ≤ Φ &lt; 12cm</v>
          </cell>
        </row>
        <row r="329">
          <cell r="F329" t="str">
            <v>Cây ổi đường kính gốc 12cm ≤ Φ &lt; 15cm</v>
          </cell>
        </row>
        <row r="330">
          <cell r="F330" t="str">
            <v>Cây ổi đường kính gốc 15cm ≤ Φ &lt; 20cm</v>
          </cell>
        </row>
        <row r="331">
          <cell r="F331" t="str">
            <v>Cây ổi đường kính gốc 20cm ≤ Φ &lt; 25cm</v>
          </cell>
        </row>
        <row r="332">
          <cell r="F332" t="str">
            <v>Cây ổi đường kính gốc Φ ≥ 25cm</v>
          </cell>
        </row>
        <row r="333">
          <cell r="F333" t="str">
            <v>Chay (tính theo đường kính gốc F)</v>
          </cell>
        </row>
        <row r="334">
          <cell r="F334" t="str">
            <v>Cây chay giống đủ tiêu chuẩn mới trồng, chiều cao cây H ≥ 40cm</v>
          </cell>
        </row>
        <row r="335">
          <cell r="F335" t="str">
            <v>Cây chay đường kính gốc 1cm ≤ Φ &lt; 2cm</v>
          </cell>
        </row>
        <row r="336">
          <cell r="F336" t="str">
            <v>Cây chay đường kính gốc 2cm ≤ Φ &lt; 5cm</v>
          </cell>
        </row>
        <row r="337">
          <cell r="F337" t="str">
            <v>Cây chay đường kính gốc 5cm ≤ Φ &lt; 7cm</v>
          </cell>
        </row>
        <row r="338">
          <cell r="F338" t="str">
            <v>Cây chay đường kính gốc 7cm ≤ Φ &lt; 9cm</v>
          </cell>
        </row>
        <row r="339">
          <cell r="F339" t="str">
            <v>Cây chay đường kính gốc 9cm ≤ Φ &lt; 12cm</v>
          </cell>
        </row>
        <row r="340">
          <cell r="F340" t="str">
            <v>Cây chay đường kính gốc 12cm ≤ Φ &lt; 15cm</v>
          </cell>
        </row>
        <row r="341">
          <cell r="F341" t="str">
            <v>Cây chay đường kính gốc 15cm ≤ Φ &lt; 20cm</v>
          </cell>
        </row>
        <row r="342">
          <cell r="F342" t="str">
            <v>Cây chay đường kính gốc 20cm ≤ Φ &lt; 30cm</v>
          </cell>
        </row>
        <row r="343">
          <cell r="F343" t="str">
            <v>Cây chay đường kính gốc 30cm ≤ Φ &lt; 50cm</v>
          </cell>
        </row>
        <row r="344">
          <cell r="F344" t="str">
            <v>Cây chay đường kính gốc Φ ≥ 50cm</v>
          </cell>
        </row>
        <row r="345">
          <cell r="F345" t="str">
            <v xml:space="preserve">Khế (tính theo đường kính gốc F) </v>
          </cell>
        </row>
        <row r="346">
          <cell r="F346" t="str">
            <v>Cây giống đủ tiêu chuẩn mới trồng</v>
          </cell>
        </row>
        <row r="347">
          <cell r="F347" t="str">
            <v xml:space="preserve">Cây khế loại cây ghép có chiều cao cây 40cm ≤ H &lt; 1m  </v>
          </cell>
        </row>
        <row r="348">
          <cell r="F348" t="str">
            <v xml:space="preserve">Cây khế loại cây ghép có chiều cao cây  H ≥ 1m  </v>
          </cell>
        </row>
        <row r="349">
          <cell r="F349" t="str">
            <v>Cây khế đường kính gốc 1cm ≤ Φ &lt; 2cm</v>
          </cell>
        </row>
        <row r="350">
          <cell r="F350" t="str">
            <v>Cây khế đường kính gốc 2cm ≤ Φ &lt; 5cm</v>
          </cell>
        </row>
        <row r="351">
          <cell r="F351" t="str">
            <v>Cây khế đường kính gốc 5cm ≤ Φ &lt; 7cm</v>
          </cell>
        </row>
        <row r="352">
          <cell r="F352" t="str">
            <v>Cây khế đường kính gốc 7cm ≤ Φ &lt; 9cm</v>
          </cell>
        </row>
        <row r="353">
          <cell r="F353" t="str">
            <v>Cây khế đường kính gốc 9cm ≤ Φ &lt; 12cm</v>
          </cell>
        </row>
        <row r="354">
          <cell r="F354" t="str">
            <v>Cây khế đường kính gốc 12cm ≤ Φ &lt; 15cm</v>
          </cell>
        </row>
        <row r="355">
          <cell r="F355" t="str">
            <v>Cây khế đường kính gốc 15cm ≤ Φ &lt; 20cm</v>
          </cell>
        </row>
        <row r="356">
          <cell r="F356" t="str">
            <v>Cây khế đường kính gốc 20cm ≤ Φ &lt; 25cm</v>
          </cell>
        </row>
        <row r="357">
          <cell r="F357" t="str">
            <v>Cây khế đường kính gốc  Φ ≥ 25cm</v>
          </cell>
        </row>
        <row r="358">
          <cell r="F358" t="str">
            <v xml:space="preserve">Me (tính theo đường kính gốc F) </v>
          </cell>
        </row>
        <row r="359">
          <cell r="F359" t="str">
            <v xml:space="preserve">Cây me giống đủ tiêu chuẩn mới trồng, chiều cao cây H ≥ 40cm </v>
          </cell>
        </row>
        <row r="360">
          <cell r="F360" t="str">
            <v>Cây me đường kính gốc 1cm ≤ Φ &lt; 2cm</v>
          </cell>
        </row>
        <row r="361">
          <cell r="F361" t="str">
            <v>Cây me đường kính gốc 2cm ≤ Φ &lt; 5cm</v>
          </cell>
        </row>
        <row r="362">
          <cell r="F362" t="str">
            <v>Cây me đường kính gốc 5cm ≤ Φ &lt; 7cm</v>
          </cell>
        </row>
        <row r="363">
          <cell r="F363" t="str">
            <v>Cây me đường kính gốc 7cm ≤ Φ &lt; 9cm</v>
          </cell>
        </row>
        <row r="364">
          <cell r="F364" t="str">
            <v>Cây me đường kính gốc 9cm ≤ Φ &lt; 12cm</v>
          </cell>
        </row>
        <row r="365">
          <cell r="F365" t="str">
            <v>Cây me đường kính gốc 12cm ≤ Φ &lt; 15cm</v>
          </cell>
        </row>
        <row r="366">
          <cell r="F366" t="str">
            <v>Cây me đường kính gốc 15cm ≤ Φ &lt; 20cm</v>
          </cell>
        </row>
        <row r="367">
          <cell r="F367" t="str">
            <v>Cây me đường kính gốc 20cm ≤ Φ &lt; 25cm</v>
          </cell>
        </row>
        <row r="368">
          <cell r="F368" t="str">
            <v>Cây me đường kính gốc 25cm ≤ Φ &lt; 30cm</v>
          </cell>
        </row>
        <row r="369">
          <cell r="F369" t="str">
            <v>Cây me đường kính gốc 30cm ≤ Φ &lt; 35cm</v>
          </cell>
        </row>
        <row r="370">
          <cell r="F370" t="str">
            <v>Cây me đường kính gốc 35cm ≤ Φ &lt; 50cm</v>
          </cell>
        </row>
        <row r="371">
          <cell r="F371" t="str">
            <v>Cây me đường kính gốc Φ ≥ 50cm</v>
          </cell>
        </row>
        <row r="372">
          <cell r="F372" t="str">
            <v>Mơ, mận (tính theo đường kính gốc F)</v>
          </cell>
        </row>
        <row r="373">
          <cell r="F373" t="str">
            <v>Cây mơ, mận giống đủ tiêu chuẩn mới trồng, chiều cao cây H ≥ 40cm</v>
          </cell>
        </row>
        <row r="374">
          <cell r="F374" t="str">
            <v>Cây mơ, mận đường kính gốc 1cm ≤ Φ &lt; 2cm</v>
          </cell>
        </row>
        <row r="375">
          <cell r="F375" t="str">
            <v>Cây mơ, mận đường kính gốc 2cm ≤ Φ &lt; 5cm</v>
          </cell>
        </row>
        <row r="376">
          <cell r="F376" t="str">
            <v>Cây mơ, mận đường kính gốc 5cm ≤ Φ &lt; 7cm</v>
          </cell>
        </row>
        <row r="377">
          <cell r="F377" t="str">
            <v>Cây mơ, mận đường kính gốc 7cm ≤ Φ &lt; 9cm</v>
          </cell>
        </row>
        <row r="378">
          <cell r="F378" t="str">
            <v>Cây mơ, mận đường kính gốc 9cm ≤ Φ &lt; 12cm</v>
          </cell>
        </row>
        <row r="379">
          <cell r="F379" t="str">
            <v>Cây mơ, mận đường kính gốc 12cm ≤ Φ &lt; 15cm</v>
          </cell>
        </row>
        <row r="380">
          <cell r="F380" t="str">
            <v>Cây mơ, mận đường kính gốc 15cm ≤ Φ &lt; 20cm</v>
          </cell>
        </row>
        <row r="381">
          <cell r="F381" t="str">
            <v>Cây mơ, mận đường kính gốc 20cm ≤ Φ &lt; 25cm</v>
          </cell>
        </row>
        <row r="382">
          <cell r="F382" t="str">
            <v>Cây mơ, mận đường kính gốc Φ ≥ 25cm</v>
          </cell>
        </row>
        <row r="383">
          <cell r="F383" t="str">
            <v xml:space="preserve">Cau ăn quả (tính theo đường kính gốc F) </v>
          </cell>
        </row>
        <row r="384">
          <cell r="F384" t="str">
            <v>Cây cau giống đủ tiêu chuẩn mới trồng, chiều cao cây H ≥ 40cm</v>
          </cell>
        </row>
        <row r="385">
          <cell r="F385" t="str">
            <v>Cây cau đường kính gốc 1cm ≤ Φ &lt; 2cm</v>
          </cell>
        </row>
        <row r="386">
          <cell r="F386" t="str">
            <v>Cây cau đường kính gốc 2cm ≤ Φ &lt; 5cm</v>
          </cell>
        </row>
        <row r="387">
          <cell r="F387" t="str">
            <v>Cây cau đường kính gốc 5cm ≤ Φ &lt; 7cm</v>
          </cell>
        </row>
        <row r="388">
          <cell r="F388" t="str">
            <v>Cây cau đường kính gốc 7cm ≤ Φ &lt; 9cm</v>
          </cell>
        </row>
        <row r="389">
          <cell r="F389" t="str">
            <v>Cây cau đường kính gốc 9cm ≤ Φ &lt; 12cm</v>
          </cell>
        </row>
        <row r="390">
          <cell r="F390" t="str">
            <v>Cây cau đường kính gốc 12cm ≤ Φ &lt; 15cm</v>
          </cell>
        </row>
        <row r="391">
          <cell r="F391" t="str">
            <v>Cây cau đường kính gốc 15cm ≤ Φ &lt; 20cm</v>
          </cell>
        </row>
        <row r="392">
          <cell r="F392" t="str">
            <v>Cây cau đường kính gốc Φ ≥ 20cm</v>
          </cell>
        </row>
        <row r="393">
          <cell r="F393" t="str">
            <v xml:space="preserve">Vú sữa (tính theo đường kính gốc F) </v>
          </cell>
        </row>
        <row r="394">
          <cell r="F394" t="str">
            <v>Cây vú sữa giống đủ tiêu chuẩn mới trồng, chiều cao cây H ≥ 40cm</v>
          </cell>
        </row>
        <row r="395">
          <cell r="F395" t="str">
            <v>Cây vú sữa đường kính gốc 1cm ≤ Φ &lt; 2cm</v>
          </cell>
        </row>
        <row r="396">
          <cell r="F396" t="str">
            <v>Cây vú sữa đường kính gốc 2cm ≤ Φ &lt; 5cm</v>
          </cell>
        </row>
        <row r="397">
          <cell r="F397" t="str">
            <v>Cây vú sữa đường kính gốc 5cm ≤ Φ &lt; 7cm</v>
          </cell>
        </row>
        <row r="398">
          <cell r="F398" t="str">
            <v>Cây vú sữa đường kính gốc 7cm ≤ Φ &lt; 9cm</v>
          </cell>
        </row>
        <row r="399">
          <cell r="F399" t="str">
            <v>Cây vú sữa đường kính gốc 9cm ≤ Φ &lt; 12cm</v>
          </cell>
        </row>
        <row r="400">
          <cell r="F400" t="str">
            <v>Cây vú sữa đường kính gốc 12cm ≤ Φ &lt; 15cm</v>
          </cell>
        </row>
        <row r="401">
          <cell r="F401" t="str">
            <v>Cây vú sữa đường kính gốc 15cm ≤ Φ &lt; 20cm</v>
          </cell>
        </row>
        <row r="402">
          <cell r="F402" t="str">
            <v>Cây vú sữa đường kính gốc 20cm ≤ Φ &lt; 25cm</v>
          </cell>
        </row>
        <row r="403">
          <cell r="F403" t="str">
            <v>Cây vú sữa đường kính gốc 25cm ≤ Φ &lt; 30cm</v>
          </cell>
        </row>
        <row r="404">
          <cell r="F404" t="str">
            <v>Cây vú sữa đường kính gốc 30cm ≤ Φ &lt; 35cm</v>
          </cell>
        </row>
        <row r="405">
          <cell r="F405" t="str">
            <v>Cây vú sữa đường kính gốc 35cm ≤ Φ &lt; 50cm</v>
          </cell>
        </row>
        <row r="406">
          <cell r="F406" t="str">
            <v>Cây vú sữa đường kính gốc Φ ≥ 50cm</v>
          </cell>
        </row>
        <row r="407">
          <cell r="F407" t="str">
            <v>Đu đủ (tính theo đường kính gốc F)</v>
          </cell>
        </row>
        <row r="408">
          <cell r="F408" t="str">
            <v xml:space="preserve">Cây đu đủ giống đủ tiêu chuẩn mới trồng, chiều cao cây H ≥ 40cm </v>
          </cell>
        </row>
        <row r="409">
          <cell r="F409" t="str">
            <v>Cây đu đủ đường kính gốc 2cm ≤ Φ &lt; 5cm</v>
          </cell>
        </row>
        <row r="410">
          <cell r="F410" t="str">
            <v>Cây đu đủ đường kính gốc 5cm ≤ Φ &lt; 9cm</v>
          </cell>
        </row>
        <row r="411">
          <cell r="F411" t="str">
            <v>Cây đu đủ đường kính gốc 9cm ≤ Φ &lt; 12cm</v>
          </cell>
        </row>
        <row r="412">
          <cell r="F412" t="str">
            <v>Cây đu đủ đường kính gốc 12cm ≤ Φ &lt; 15cm</v>
          </cell>
        </row>
        <row r="413">
          <cell r="F413" t="str">
            <v>Cây đu đủ đường kính gốc 15cm ≤ Φ &lt; 20cm</v>
          </cell>
        </row>
        <row r="414">
          <cell r="F414" t="str">
            <v>Cây đu đủ đường kính gốc Φ ≥ 20cm</v>
          </cell>
        </row>
        <row r="415">
          <cell r="F415" t="str">
            <v xml:space="preserve">Roi (tính theo đường kính tán F) </v>
          </cell>
        </row>
        <row r="416">
          <cell r="F416" t="str">
            <v>Cây roi giống đủ tiêu chuẩn mới trồng</v>
          </cell>
        </row>
        <row r="417">
          <cell r="F417" t="str">
            <v>Cây roi đường kính tán 0,7m ≤ Φ &lt; 1m</v>
          </cell>
        </row>
        <row r="418">
          <cell r="F418" t="str">
            <v>Cây roi đường kính tán 1m ≤ Φ &lt; 1,5m</v>
          </cell>
        </row>
        <row r="419">
          <cell r="F419" t="str">
            <v>Cây roi đường kính tán 1,5m ≤ Φ &lt; 2m</v>
          </cell>
        </row>
        <row r="420">
          <cell r="F420" t="str">
            <v>Cây roi đường kính tán 2m ≤ Φ &lt; 3m</v>
          </cell>
        </row>
        <row r="421">
          <cell r="F421" t="str">
            <v>Cây roi đường kính tán 3m ≤ Φ &lt; 4m</v>
          </cell>
        </row>
        <row r="422">
          <cell r="F422" t="str">
            <v>Cây roi đường kính tán 4m ≤ Φ &lt; 5m</v>
          </cell>
        </row>
        <row r="423">
          <cell r="F423" t="str">
            <v>Cây roi đường kính tán 5m ≤ Φ &lt; 6m</v>
          </cell>
        </row>
        <row r="424">
          <cell r="F424" t="str">
            <v>Cây roi đường kính tán 6m ≤ Φ &lt; 7m</v>
          </cell>
        </row>
        <row r="425">
          <cell r="F425" t="str">
            <v>Cây roi đường kính tán 7m ≤ Φ &lt; 8m</v>
          </cell>
        </row>
        <row r="426">
          <cell r="F426" t="str">
            <v>Cây roi đường kính tán 8m ≤ Φ &lt; 9m</v>
          </cell>
        </row>
        <row r="427">
          <cell r="F427" t="str">
            <v>Cây roi đường kính tán 9m ≤ Φ &lt; 12m</v>
          </cell>
        </row>
        <row r="428">
          <cell r="F428" t="str">
            <v>Cây roi đường kính tán Φ ≥ 12m</v>
          </cell>
        </row>
        <row r="429">
          <cell r="F429" t="str">
            <v>Sấu (tính theo đường kính gốc F)</v>
          </cell>
        </row>
        <row r="430">
          <cell r="F430" t="str">
            <v>Cây sấu giống đủ tiêu chuẩn mới trồng, chiều cao cây H ≥ 40cm</v>
          </cell>
        </row>
        <row r="431">
          <cell r="F431" t="str">
            <v>Cây sấu đường kính gốc 1cm ≤ Φ &lt; 2cm</v>
          </cell>
        </row>
        <row r="432">
          <cell r="F432" t="str">
            <v>Cây sấu đường kính gốc 2cm ≤ Φ &lt; 5cm</v>
          </cell>
        </row>
        <row r="433">
          <cell r="F433" t="str">
            <v>Cây sấu đường kính gốc 5cm ≤ Φ &lt; 7cm</v>
          </cell>
        </row>
        <row r="434">
          <cell r="F434" t="str">
            <v>Cây sấu đường kính gốc 7cm ≤ Φ &lt; 9cm</v>
          </cell>
        </row>
        <row r="435">
          <cell r="F435" t="str">
            <v>Cây sấu đường kính gốc 9cm ≤ Φ &lt; 12cm</v>
          </cell>
        </row>
        <row r="436">
          <cell r="F436" t="str">
            <v>Cây sấu đường kính gốc 12cm ≤ Φ &lt; 15cm</v>
          </cell>
        </row>
        <row r="437">
          <cell r="F437" t="str">
            <v>Cây sấu đường kính gốc 15cm ≤ Φ &lt; 20cm</v>
          </cell>
        </row>
        <row r="438">
          <cell r="F438" t="str">
            <v>Cây sấu đường kính gốc 20cm ≤ Φ &lt; 25cm</v>
          </cell>
        </row>
        <row r="439">
          <cell r="F439" t="str">
            <v>Cây sấu đường kính gốc 25cm ≤ Φ &lt; 30cm</v>
          </cell>
        </row>
        <row r="440">
          <cell r="F440" t="str">
            <v>Cây sấu đường kính gốc 30cm ≤ Φ &lt; 35cm</v>
          </cell>
        </row>
        <row r="441">
          <cell r="F441" t="str">
            <v>Cây sấu đường kính gốc 35cm ≤ Φ &lt; 50cm</v>
          </cell>
        </row>
        <row r="442">
          <cell r="F442" t="str">
            <v>Cây sấu đường kính gốc Φ ≥ 50cm</v>
          </cell>
        </row>
        <row r="443">
          <cell r="F443" t="str">
            <v>Trứng cá (tính theo đường kính gốc F)</v>
          </cell>
        </row>
        <row r="444">
          <cell r="F444" t="str">
            <v>Cây trứng cá giống đủ tiêu chuẩn mới trồng, chiều cao cây H ≥ 40cm</v>
          </cell>
        </row>
        <row r="445">
          <cell r="F445" t="str">
            <v xml:space="preserve">Cây trứng cá đường kính gốc 1cm ≤ Φ &lt; 2cm </v>
          </cell>
        </row>
        <row r="446">
          <cell r="F446" t="str">
            <v>Cây trứng cá đường kính gốc 2cm ≤ Φ &lt; 5cm</v>
          </cell>
        </row>
        <row r="447">
          <cell r="F447" t="str">
            <v>Cây trứng cá đường kính gốc 5cm ≤ Φ &lt; 7cm</v>
          </cell>
        </row>
        <row r="448">
          <cell r="F448" t="str">
            <v>Cây trứng cá đường kính gốc 7cm ≤ Φ &lt; 9cm</v>
          </cell>
        </row>
        <row r="449">
          <cell r="F449" t="str">
            <v>Cây trứng cá đường kính gốc 9cm ≤ Φ &lt; 12cm</v>
          </cell>
        </row>
        <row r="450">
          <cell r="F450" t="str">
            <v>Cây trứng cá đường kính gốc 12cm ≤ Φ &lt; 15cm</v>
          </cell>
        </row>
        <row r="451">
          <cell r="F451" t="str">
            <v>Cây trứng cá đường kính gốc 15cm ≤ Φ &lt; 20cm</v>
          </cell>
        </row>
        <row r="452">
          <cell r="F452" t="str">
            <v>Cây trứng cá đường kính gốc 20cm ≤ Φ &lt; 25cm</v>
          </cell>
        </row>
        <row r="453">
          <cell r="F453" t="str">
            <v>Cây trứng cá đường kính gốc 25cm ≤ Φ &lt; 30cm</v>
          </cell>
        </row>
        <row r="454">
          <cell r="F454" t="str">
            <v>Cây trứng cá đường kính gốc 30cm ≤ Φ &lt; 35cm</v>
          </cell>
        </row>
        <row r="455">
          <cell r="F455" t="str">
            <v>Cây trứng cá đường kính gốc Φ ≥ 35cm</v>
          </cell>
        </row>
        <row r="456">
          <cell r="F456" t="str">
            <v>Sung (tính theo đường kính gốc F)</v>
          </cell>
        </row>
        <row r="457">
          <cell r="F457" t="str">
            <v xml:space="preserve">Cây sung giống đủ tiêu chuẩn mới trồng, chiều cao cây H ≥ 40cm  </v>
          </cell>
        </row>
        <row r="458">
          <cell r="F458" t="str">
            <v>Cây sung đường kính gốc 1cm ≤ Φ &lt; 5cm</v>
          </cell>
        </row>
        <row r="459">
          <cell r="F459" t="str">
            <v>Cây sung đường kính gốc 5cm ≤ Φ &lt; 10cm</v>
          </cell>
        </row>
        <row r="460">
          <cell r="F460" t="str">
            <v xml:space="preserve">Cây sung đường kính gốc 10cm ≤ Φ &lt; 15cm  </v>
          </cell>
        </row>
        <row r="461">
          <cell r="F461" t="str">
            <v>Cây sung đường kính gốc 15cm ≤ Φ &lt; 20cm</v>
          </cell>
        </row>
        <row r="462">
          <cell r="F462" t="str">
            <v>Cây sung đường kính gốc 20cm ≤ Φ &lt; 25cm</v>
          </cell>
        </row>
        <row r="463">
          <cell r="F463" t="str">
            <v>Cây sung đường kính gốc 25cm ≤ Φ &lt; 30cm</v>
          </cell>
        </row>
        <row r="464">
          <cell r="F464" t="str">
            <v>Cây sung đường kính gốc 30cm ≤ Φ &lt; 35cm</v>
          </cell>
        </row>
        <row r="465">
          <cell r="F465" t="str">
            <v>Cây sung đường kính gốc 35cm ≤ Φ &lt; 50cm</v>
          </cell>
        </row>
        <row r="466">
          <cell r="F466" t="str">
            <v>Cây sung đường kính gốc Φ ≥ 50cm</v>
          </cell>
        </row>
        <row r="467">
          <cell r="F467" t="str">
            <v>Vối (tính theo đường kính gốc F)</v>
          </cell>
        </row>
        <row r="468">
          <cell r="F468" t="str">
            <v>Cây vối giống đủ tiêu chuẩn mới trồng, chiều cao cây H ≥ 40cm</v>
          </cell>
        </row>
        <row r="469">
          <cell r="F469" t="str">
            <v>Cây vối đường kính gốc 1cm ≤ Φ &lt; 5cm</v>
          </cell>
        </row>
        <row r="470">
          <cell r="F470" t="str">
            <v>Cây vối đường kính gốc 5cm ≤ Φ &lt; 10cm</v>
          </cell>
        </row>
        <row r="471">
          <cell r="F471" t="str">
            <v>Cây vối đường kính gốc 10cm ≤ Φ &lt; 15cm</v>
          </cell>
        </row>
        <row r="472">
          <cell r="F472" t="str">
            <v>Cây vối đường kính gốc 15cm ≤ Φ &lt; 20cm</v>
          </cell>
        </row>
        <row r="473">
          <cell r="F473" t="str">
            <v>Cây vối đường kính gốc 20cm ≤ Φ &lt; 25cm</v>
          </cell>
        </row>
        <row r="474">
          <cell r="F474" t="str">
            <v>Cây vối đường kính gốc 25cm ≤ Φ &lt; 30cm</v>
          </cell>
        </row>
        <row r="475">
          <cell r="F475" t="str">
            <v>Cây vối đường kính gốc 30cm ≤ Φ &lt; 35cm</v>
          </cell>
        </row>
        <row r="476">
          <cell r="F476" t="str">
            <v>Cây vối đường kính gốc 35cm ≤ Φ &lt; 50cm</v>
          </cell>
        </row>
        <row r="477">
          <cell r="F477" t="str">
            <v>Cây vối đường kính gốc F ³ 50cm</v>
          </cell>
        </row>
        <row r="478">
          <cell r="F478" t="str">
            <v>Cây Mãng cầu</v>
          </cell>
        </row>
        <row r="479">
          <cell r="F479" t="str">
            <v>Cây mãng cầu mới trồng &lt; 01 năm (cây từ hạt)</v>
          </cell>
        </row>
        <row r="480">
          <cell r="F480" t="str">
            <v>Cây mãng cầu mới trồng &lt; 01 năm (cây ghép)</v>
          </cell>
        </row>
        <row r="481">
          <cell r="F481" t="str">
            <v>Cây mãng cầu trồng ≥ 01 năm, chiều cao thân cây &lt; 1m chưa có quả</v>
          </cell>
        </row>
        <row r="482">
          <cell r="F482" t="str">
            <v>Cây mãng cầu có chiều cao thân cây ≥ 1m chưa có quả</v>
          </cell>
        </row>
        <row r="483">
          <cell r="F483" t="str">
            <v>Cây mãng cầu đã có quả</v>
          </cell>
        </row>
        <row r="484">
          <cell r="F484" t="str">
            <v>Cây mãng cầu có quả kém, già cỗi (hỗ trợ công chặt)</v>
          </cell>
        </row>
        <row r="485">
          <cell r="F485" t="str">
            <v>Cây Bơ </v>
          </cell>
        </row>
        <row r="486">
          <cell r="F486" t="str">
            <v>Cây bơ mới trồng &lt; 01 năm (cây từ hạt)</v>
          </cell>
        </row>
        <row r="487">
          <cell r="F487" t="str">
            <v>Cây bơ mới trồng &lt; 01 năm (cây ghép)</v>
          </cell>
        </row>
        <row r="488">
          <cell r="F488" t="str">
            <v>Cây bơ trồng ≥ 01 năm, chiều cao thân cây &lt; 1m chưa có quả</v>
          </cell>
        </row>
        <row r="489">
          <cell r="F489" t="str">
            <v>Cây bơ có chiều cao thân cây ≥ 1m chưa có quả</v>
          </cell>
        </row>
        <row r="490">
          <cell r="F490" t="str">
            <v>Cây bơ có quả đường kính gốc &lt; 20cm</v>
          </cell>
        </row>
        <row r="491">
          <cell r="F491" t="str">
            <v>Cây bơ có quả tốt đường kính gốc từ 20cm đến 40cm</v>
          </cell>
        </row>
        <row r="492">
          <cell r="F492" t="str">
            <v>Cây bơ có quả đường kính gốc &gt; 40cm</v>
          </cell>
        </row>
        <row r="493">
          <cell r="F493" t="str">
            <v>Cây bơ có quả kém, già cỗi (hỗ trợ công chặt)</v>
          </cell>
        </row>
        <row r="494">
          <cell r="F494" t="str">
            <v>Cây Sầu riêng</v>
          </cell>
        </row>
        <row r="495">
          <cell r="F495" t="str">
            <v>Cây sầu riêng mới trồng &lt; 01 năm (cây từ hạt)</v>
          </cell>
        </row>
        <row r="496">
          <cell r="F496" t="str">
            <v>Cây sầu riêng mới trồng &lt; 01 năm (cây ghép)</v>
          </cell>
        </row>
        <row r="497">
          <cell r="F497" t="str">
            <v>Cây sầu riêng trồng ≥ 01 năm, chiều cao thân cây &lt; 1m chưa có quả</v>
          </cell>
        </row>
        <row r="498">
          <cell r="F498" t="str">
            <v>Cây sầu riêng trồng có chiều cao thân cây từ ≥ 1m chưa có quả</v>
          </cell>
        </row>
        <row r="499">
          <cell r="F499" t="str">
            <v>Cây sầu riêng có quả đường kính gốc &lt; 20cm</v>
          </cell>
        </row>
        <row r="500">
          <cell r="F500" t="str">
            <v>Cây sầu riêng có quả tốt đường kính gốc ≥ 20cm đến &lt; 45cm</v>
          </cell>
        </row>
        <row r="501">
          <cell r="F501" t="str">
            <v>Cây sầu riêng có quả thu hoạch tốt đường kính gốc ≥ 45cm</v>
          </cell>
        </row>
        <row r="502">
          <cell r="F502" t="str">
            <v>Dứa ăn quả</v>
          </cell>
        </row>
        <row r="503">
          <cell r="F503" t="str">
            <v>Dứa quả cây giống</v>
          </cell>
        </row>
        <row r="504">
          <cell r="F504" t="str">
            <v>Dứa cây chưa ra quả</v>
          </cell>
        </row>
        <row r="505">
          <cell r="F505" t="str">
            <v xml:space="preserve">Dứa đang ra quả </v>
          </cell>
        </row>
        <row r="506">
          <cell r="F506" t="str">
            <v>Dứa khóm (tính theo khóm) có từ 4 cây trở lên</v>
          </cell>
        </row>
        <row r="507">
          <cell r="F507" t="str">
            <v>Chuối (tính theo đường kính gốc Φ)</v>
          </cell>
        </row>
        <row r="508">
          <cell r="F508" t="str">
            <v>Cây chuối có đường kính gốc Φ &lt; 15cm</v>
          </cell>
        </row>
        <row r="509">
          <cell r="F509" t="str">
            <v>Cây chuối có đường kính gốc Φ ≥ 15cm (chưa có buồng)</v>
          </cell>
        </row>
        <row r="510">
          <cell r="F510" t="str">
            <v>Chuối có buồng non chưa thu hoạch</v>
          </cell>
        </row>
        <row r="511">
          <cell r="F511" t="str">
            <v>Nhót, nho</v>
          </cell>
        </row>
        <row r="512">
          <cell r="F512" t="str">
            <v>Cây nhót, nho giống</v>
          </cell>
        </row>
        <row r="513">
          <cell r="F513" t="str">
            <v>Cây nhót, nho đã phát triển (tính theo diện tích giàn)</v>
          </cell>
        </row>
        <row r="514">
          <cell r="F514" t="str">
            <v>Gấc</v>
          </cell>
        </row>
        <row r="515">
          <cell r="F515" t="str">
            <v xml:space="preserve">Gấc tính theo m2 giàn </v>
          </cell>
        </row>
        <row r="516">
          <cell r="F516" t="str">
            <v>Gấc tính theo khóm gốc</v>
          </cell>
        </row>
        <row r="517">
          <cell r="F517" t="str">
            <v xml:space="preserve">Cây gấc chiều dài dây leo L &lt; 3m </v>
          </cell>
        </row>
        <row r="518">
          <cell r="F518" t="str">
            <v xml:space="preserve">Cây gấc chiều dài dây leo 3m ≤ L &lt; 10m </v>
          </cell>
        </row>
        <row r="519">
          <cell r="F519" t="str">
            <v xml:space="preserve">Cây gấc chiều dài dây leo L ≥ 10m </v>
          </cell>
        </row>
        <row r="520">
          <cell r="F520">
            <v>0</v>
          </cell>
        </row>
        <row r="521">
          <cell r="F521" t="str">
            <v>Cây lựu mới trồng, chiều cao cây  H ≥ 40cm</v>
          </cell>
        </row>
        <row r="522">
          <cell r="F522" t="str">
            <v>Cây lựu đường kính gốc 1cm ≤ Φ &lt; 2cm</v>
          </cell>
        </row>
        <row r="523">
          <cell r="F523" t="str">
            <v>Cây lựu đường kính gốc 2cm ≤ Φ &lt; 5cm</v>
          </cell>
        </row>
        <row r="524">
          <cell r="F524" t="str">
            <v>Cây lựu đường kính gốc 5cm ≤ Φ &lt; 7cm</v>
          </cell>
        </row>
        <row r="525">
          <cell r="F525" t="str">
            <v>Cây lựu đường kính gốc 7cm ≤ Φ &lt; 9cm</v>
          </cell>
        </row>
        <row r="526">
          <cell r="F526" t="str">
            <v>Cây lựu đường kính gốc 9cm ≤ Φ &lt; 12cm</v>
          </cell>
        </row>
        <row r="527">
          <cell r="F527" t="str">
            <v xml:space="preserve">Cây lựu đường kính gốc 12cm ≤ Φ &lt; 15cm </v>
          </cell>
        </row>
        <row r="528">
          <cell r="F528" t="str">
            <v xml:space="preserve">Cây lựu đường kính gốc 15cm ≤ Φ &lt; 20cm </v>
          </cell>
        </row>
        <row r="529">
          <cell r="F529" t="str">
            <v xml:space="preserve">Cây lựu đường kính gốc Φ ≥ 20cm </v>
          </cell>
        </row>
        <row r="530">
          <cell r="F530" t="str">
            <v>CÂY LẤY GỖ</v>
          </cell>
        </row>
        <row r="531">
          <cell r="F531" t="str">
            <v>Bạch đàn, phi lao, keo (tính theo đường kính gốc F)</v>
          </cell>
        </row>
        <row r="532">
          <cell r="F532" t="str">
            <v>Cây keo giống đủ tiêu chuẩn mới trồng, chiều cao cây H ≥ 40cm</v>
          </cell>
        </row>
        <row r="533">
          <cell r="F533" t="str">
            <v>Cây keo đường kính gốc 1cm ≤ Φ &lt; 2cm</v>
          </cell>
        </row>
        <row r="534">
          <cell r="F534" t="str">
            <v>Cây keo đường kính gốc 2cm ≤ Φ &lt; 5cm</v>
          </cell>
        </row>
        <row r="535">
          <cell r="F535" t="str">
            <v>Cây keo đường kính gốc 5cm ≤ Φ &lt; 10cm</v>
          </cell>
        </row>
        <row r="536">
          <cell r="F536" t="str">
            <v>Cây keo đường kính gốc 10cm ≤ Φ &lt; 15cm</v>
          </cell>
        </row>
        <row r="537">
          <cell r="F537" t="str">
            <v>Cây keo đường kính gốc 15cm ≤ Φ &lt; 20cm</v>
          </cell>
        </row>
        <row r="538">
          <cell r="F538" t="str">
            <v>Cây keo đường kính gốc 20cm ≤ Φ &lt; 25cm</v>
          </cell>
        </row>
        <row r="539">
          <cell r="F539" t="str">
            <v>Cây keo đường kính gốc 25cm ≤ Φ &lt; 30cm</v>
          </cell>
        </row>
        <row r="540">
          <cell r="F540" t="str">
            <v>Cây keo đường kính gốc 30cm ≤ Φ &lt; 35cm</v>
          </cell>
        </row>
        <row r="541">
          <cell r="F541" t="str">
            <v>Cây keo đường kính gốc 35cm ≤ Φ &lt; 50cm</v>
          </cell>
        </row>
        <row r="542">
          <cell r="F542" t="str">
            <v>Cây keo đường kính gốc Φ ≥ 50cm (chi phí chặt hạ)</v>
          </cell>
        </row>
        <row r="543">
          <cell r="F543" t="str">
            <v>Dừa (tính theo đường kính gốc F)</v>
          </cell>
        </row>
        <row r="544">
          <cell r="F544" t="str">
            <v>Cây bạch đàn đường kính gốc 1cm ≤ Φ &lt; 2cm</v>
          </cell>
        </row>
        <row r="545">
          <cell r="F545" t="str">
            <v>Cây bạch đàn đường kính gốc 2cm ≤ Φ &lt; 5cm</v>
          </cell>
        </row>
        <row r="546">
          <cell r="F546" t="str">
            <v>Cây bạch đàn đường kính gốc 5cm ≤ Φ &lt; 10cm</v>
          </cell>
        </row>
        <row r="547">
          <cell r="F547" t="str">
            <v>Cây bạch đàn đường kính gốc 10cm ≤ Φ &lt; 15cm</v>
          </cell>
        </row>
        <row r="548">
          <cell r="F548" t="str">
            <v>Cây bạch đàn đường kính gốc 15cm ≤ Φ &lt; 20cm</v>
          </cell>
        </row>
        <row r="549">
          <cell r="F549" t="str">
            <v>Cây bạch đàn đường kính gốc 20cm ≤ Φ &lt; 25cm</v>
          </cell>
        </row>
        <row r="550">
          <cell r="F550" t="str">
            <v>Cây bạch đàn đường kính gốc 25cm ≤ Φ &lt; 30cm</v>
          </cell>
        </row>
        <row r="551">
          <cell r="F551" t="str">
            <v>Cây bạch đàn đường kính gốc 30cm ≤ Φ &lt; 35cm</v>
          </cell>
        </row>
        <row r="552">
          <cell r="F552" t="str">
            <v>Cây bạch đàn đường kính gốc 35cm ≤ Φ &lt; 50cm</v>
          </cell>
        </row>
        <row r="553">
          <cell r="F553" t="str">
            <v>Cây bạch đàn đường kính gốc Φ ≥ 50cm (chi phí chặt hạ)</v>
          </cell>
        </row>
        <row r="554">
          <cell r="F554" t="str">
            <v>Cây phi lao giống đủ tiêu chuẩn mới trồng, chiều cao cây H ≥ 40cm</v>
          </cell>
        </row>
        <row r="555">
          <cell r="F555" t="str">
            <v>Cây phi lao đường kính gốc 1cm ≤ Φ &lt; 2cm</v>
          </cell>
        </row>
        <row r="556">
          <cell r="F556" t="str">
            <v>Cây phi lao đường kính gốc 2cm ≤ Φ &lt; 5cm</v>
          </cell>
        </row>
        <row r="557">
          <cell r="F557" t="str">
            <v>Cây phi lao đường kính gốc 5cm ≤ Φ &lt; 10cm</v>
          </cell>
        </row>
        <row r="558">
          <cell r="F558" t="str">
            <v>Cây phi lao đường kính gốc 10cm ≤ Φ &lt; 15cm</v>
          </cell>
        </row>
        <row r="559">
          <cell r="F559" t="str">
            <v>Cây phi lao đường kính gốc 15cm ≤ Φ &lt; 20cm</v>
          </cell>
        </row>
        <row r="560">
          <cell r="F560" t="str">
            <v>Cây phi lao đường kính gốc 20cm ≤ Φ &lt; 25cm</v>
          </cell>
        </row>
        <row r="561">
          <cell r="F561" t="str">
            <v>Cây phi lao đường kính gốc 25cm ≤ Φ &lt; 30cm</v>
          </cell>
        </row>
        <row r="562">
          <cell r="F562" t="str">
            <v>Cây phi lao đường kính gốc 30cm ≤ Φ &lt; 35cm</v>
          </cell>
        </row>
        <row r="563">
          <cell r="F563" t="str">
            <v>Cây phi lao đường kính gốc 35cm ≤ Φ &lt; 50cm</v>
          </cell>
        </row>
        <row r="564">
          <cell r="F564">
            <v>0</v>
          </cell>
        </row>
        <row r="565">
          <cell r="F565" t="str">
            <v>Cây bạch đàn giống đủ tiêu chuẩn mới trồng, chiều cao cây H ≥ 40cm</v>
          </cell>
        </row>
        <row r="566">
          <cell r="F566" t="str">
            <v>Cây xà cừ giống đủ tiêu chuẩn mới trồng, chiều cao cây H ≥ 40cm</v>
          </cell>
        </row>
        <row r="567">
          <cell r="F567" t="str">
            <v>Cây xà cừ đường kính gốc 1cm ≤ Φ &lt;  2cm</v>
          </cell>
        </row>
        <row r="568">
          <cell r="F568" t="str">
            <v>Cây xà cừ đường kính gốc 2cm ≤ Φ &lt;  5cm</v>
          </cell>
        </row>
        <row r="569">
          <cell r="F569" t="str">
            <v>Cây xà cừ đường kính gốc 5cm ≤ Φ &lt;  10cm</v>
          </cell>
        </row>
        <row r="570">
          <cell r="F570" t="str">
            <v>Cây xà cừ đường kính gốc 10cm ≤ Φ &lt; 15cm</v>
          </cell>
        </row>
        <row r="571">
          <cell r="F571" t="str">
            <v>Cây xà cừ đường kính gốc 15cm ≤ Φ &lt;  20cm</v>
          </cell>
        </row>
        <row r="572">
          <cell r="F572" t="str">
            <v>Cây xà cừ đường kính gốc 20cm ≤ Φ &lt;  25cm</v>
          </cell>
        </row>
        <row r="573">
          <cell r="F573" t="str">
            <v>Cây xà cừ đường kính gốc 25cm ≤ Φ &lt;  30cm</v>
          </cell>
        </row>
        <row r="574">
          <cell r="F574" t="str">
            <v xml:space="preserve">Cây xà cừ đường kính gốc 30cm ≤ Φ &lt;  35cm </v>
          </cell>
        </row>
        <row r="575">
          <cell r="F575" t="str">
            <v xml:space="preserve">Cây xà cừ đường kính gốc 35cm ≤ Φ &lt;  50cm </v>
          </cell>
        </row>
        <row r="576">
          <cell r="F576" t="str">
            <v>Cây xà cừ đường kính gốc Φ ≥ 50cm (chi phí chặt hạ)</v>
          </cell>
        </row>
        <row r="577">
          <cell r="F577" t="str">
            <v xml:space="preserve">Xà cừ, thông (tính theo đường kính gốc F) </v>
          </cell>
        </row>
        <row r="578">
          <cell r="F578" t="str">
            <v>Cây thông đường kính gốc 1cm ≤ Φ &lt;  2cm</v>
          </cell>
        </row>
        <row r="579">
          <cell r="F579" t="str">
            <v>Cây thông đường kính gốc 2cm ≤ Φ &lt;  5cm</v>
          </cell>
        </row>
        <row r="580">
          <cell r="F580" t="str">
            <v>Cây thông đường kính gốc 5cm ≤ Φ &lt;  10cm</v>
          </cell>
        </row>
        <row r="581">
          <cell r="F581" t="str">
            <v>Cây thông đường kính gốc 10cm ≤ Φ &lt; 15cm</v>
          </cell>
        </row>
        <row r="582">
          <cell r="F582" t="str">
            <v>Cây thông đường kính gốc 15cm ≤ Φ &lt;  20cm</v>
          </cell>
        </row>
        <row r="583">
          <cell r="F583" t="str">
            <v>Cây thông đường kính gốc 20cm ≤ Φ &lt;  25cm</v>
          </cell>
        </row>
        <row r="584">
          <cell r="F584" t="str">
            <v>Cây thông đường kính gốc 25cm ≤ Φ &lt;  30cm</v>
          </cell>
        </row>
        <row r="585">
          <cell r="F585" t="str">
            <v xml:space="preserve">Cây thông đường kính gốc 30cm ≤ Φ &lt;  35cm </v>
          </cell>
        </row>
        <row r="586">
          <cell r="F586" t="str">
            <v xml:space="preserve">Cây thông đường kính gốc 35cm ≤ Φ &lt;  50cm </v>
          </cell>
        </row>
        <row r="587">
          <cell r="F587">
            <v>0</v>
          </cell>
        </row>
        <row r="588">
          <cell r="F588" t="str">
            <v>Cây thông giống đủ tiêu chuẩn mới trồng, chiều cao cây H ≥ 40cm</v>
          </cell>
        </row>
        <row r="589">
          <cell r="F589" t="str">
            <v>Cây bàng giống đủ tiêu chuẩn mới trồng, chiều cao H ≥ 40cm</v>
          </cell>
        </row>
        <row r="590">
          <cell r="F590" t="str">
            <v>Cây bàng đường kính gốc 1cm ≤ Φ &lt; 3cm</v>
          </cell>
        </row>
        <row r="591">
          <cell r="F591" t="str">
            <v>Cây bàng đường kính gốc 3cm ≤ Φ &lt; 5cm</v>
          </cell>
        </row>
        <row r="592">
          <cell r="F592" t="str">
            <v>Cây bàng đường kính gốc 5cm ≤ Φ &lt; 10cm</v>
          </cell>
        </row>
        <row r="593">
          <cell r="F593" t="str">
            <v>Cây bàng đường kính gốc 10cm ≤ Φ &lt; 15cm</v>
          </cell>
        </row>
        <row r="594">
          <cell r="F594" t="str">
            <v>Cây bàng đường kính gốc 15cm ≤ Φ &lt; 20cm</v>
          </cell>
        </row>
        <row r="595">
          <cell r="F595" t="str">
            <v>Cây bàng đường kính gốc 20cm ≤ Φ &lt; 25cm</v>
          </cell>
        </row>
        <row r="596">
          <cell r="F596" t="str">
            <v>Cây bàng đường kính gốc 25cm ≤ Φ &lt; 30cm</v>
          </cell>
        </row>
        <row r="597">
          <cell r="F597" t="str">
            <v>Cây bàng đường kính gốc 30cm ≤ Φ &lt; 35cm</v>
          </cell>
        </row>
        <row r="598">
          <cell r="F598" t="str">
            <v>Cây bàng đường kính gốc 35cm ≤ Φ &lt; 50cm</v>
          </cell>
        </row>
        <row r="599">
          <cell r="F599" t="str">
            <v>Cây bàng đường kính gốc Φ ≥ 50cm (chi phí chặt hạ)</v>
          </cell>
        </row>
        <row r="600">
          <cell r="F600">
            <v>0</v>
          </cell>
        </row>
        <row r="601">
          <cell r="F601" t="str">
            <v>Cây hoa sữa đường kính gốc 1cm ≤ Φ &lt; 3cm</v>
          </cell>
        </row>
        <row r="602">
          <cell r="F602" t="str">
            <v>Cây hoa sữa đường kính gốc 3cm ≤ Φ &lt; 5cm</v>
          </cell>
        </row>
        <row r="603">
          <cell r="F603" t="str">
            <v>Cây hoa sữa đường kính gốc 5cm ≤ Φ &lt; 10cm</v>
          </cell>
        </row>
        <row r="604">
          <cell r="F604" t="str">
            <v>Cây hoa sữa đường kính gốc 10cm ≤ Φ &lt; 15cm</v>
          </cell>
        </row>
        <row r="605">
          <cell r="F605" t="str">
            <v>Cây hoa sữa đường kính gốc 15cm ≤ Φ &lt; 20cm</v>
          </cell>
        </row>
        <row r="606">
          <cell r="F606" t="str">
            <v>Cây hoa sữa đường kính gốc 20cm ≤ Φ &lt; 25cm</v>
          </cell>
        </row>
        <row r="607">
          <cell r="F607" t="str">
            <v>Cây hoa sữa đường kính gốc 25cm ≤ Φ &lt; 30cm</v>
          </cell>
        </row>
        <row r="608">
          <cell r="F608" t="str">
            <v>Cây hoa sữa đường kính gốc 30cm ≤ Φ &lt; 35cm</v>
          </cell>
        </row>
        <row r="609">
          <cell r="F609" t="str">
            <v>Cây hoa sữa đường kính gốc 35cm ≤ Φ &lt; 50cm</v>
          </cell>
        </row>
        <row r="610">
          <cell r="F610" t="str">
            <v>Cây hoa sữa đường kính gốc Φ ≥ 50cm (chi phí chặt hạ)</v>
          </cell>
        </row>
        <row r="611">
          <cell r="F611" t="str">
            <v>Cây bằng lăng giống đủ tiêu chuẩn mới trồng, chiều cao H ≥ 40cm</v>
          </cell>
        </row>
        <row r="612">
          <cell r="F612" t="str">
            <v>Cây bằng lăng đường kính gốc 1cm ≤ Φ &lt; 3cm</v>
          </cell>
        </row>
        <row r="613">
          <cell r="F613" t="str">
            <v>Cây bằng lăng đường kính gốc 3cm ≤ Φ &lt; 5cm</v>
          </cell>
        </row>
        <row r="614">
          <cell r="F614" t="str">
            <v>Cây bằng lăng đường kính gốc 5cm ≤ Φ &lt; 10cm</v>
          </cell>
        </row>
        <row r="615">
          <cell r="F615" t="str">
            <v>Cây bằng lăng đường kính gốc 10cm ≤ Φ &lt; 15cm</v>
          </cell>
        </row>
        <row r="616">
          <cell r="F616" t="str">
            <v>Cây bằng lăng đường kính gốc 15cm ≤ Φ &lt; 20cm</v>
          </cell>
        </row>
        <row r="617">
          <cell r="F617" t="str">
            <v>Cây bằng lăng đường kính gốc 20cm ≤ Φ &lt; 25cm</v>
          </cell>
        </row>
        <row r="618">
          <cell r="F618" t="str">
            <v>Cây bằng lăng đường kính gốc 25cm ≤ Φ &lt; 30cm</v>
          </cell>
        </row>
        <row r="619">
          <cell r="F619" t="str">
            <v>Cây bằng lăng đường kính gốc 30cm ≤ Φ &lt; 35cm</v>
          </cell>
        </row>
        <row r="620">
          <cell r="F620" t="str">
            <v>Cây bằng lăng đường kính gốc 35cm ≤ Φ &lt; 50cm</v>
          </cell>
        </row>
        <row r="621">
          <cell r="F621" t="str">
            <v>Cây bằng lăng đường kính gốc Φ ≥ 50cm (chi phí chặt hạ)</v>
          </cell>
        </row>
        <row r="622">
          <cell r="F622" t="str">
            <v>Cây gạo giống đủ tiêu chuẩn mới trồng, chiều cao H ≥ 40cm</v>
          </cell>
        </row>
        <row r="623">
          <cell r="F623" t="str">
            <v>Cây gạo đường kính gốc 1cm ≤ Φ &lt; 3cm</v>
          </cell>
        </row>
        <row r="624">
          <cell r="F624" t="str">
            <v>Cây gạo đường kính gốc 3cm ≤ Φ &lt; 5cm</v>
          </cell>
        </row>
        <row r="625">
          <cell r="F625" t="str">
            <v>Cây gạo đường kính gốc 5cm ≤ Φ &lt; 10cm</v>
          </cell>
        </row>
        <row r="626">
          <cell r="F626" t="str">
            <v>Cây gạo đường kính gốc 10cm ≤ Φ &lt; 15cm</v>
          </cell>
        </row>
        <row r="627">
          <cell r="F627" t="str">
            <v>Cây gạo đường kính gốc 15cm ≤ Φ &lt; 20cm</v>
          </cell>
        </row>
        <row r="628">
          <cell r="F628" t="str">
            <v>Cây gạo đường kính gốc 20cm ≤ Φ &lt; 25cm</v>
          </cell>
        </row>
        <row r="629">
          <cell r="F629" t="str">
            <v>Cây gạo đường kính gốc 25cm ≤ Φ &lt; 30cm</v>
          </cell>
        </row>
        <row r="630">
          <cell r="F630" t="str">
            <v>Cây gạo đường kính gốc 30cm ≤ Φ &lt; 35cm</v>
          </cell>
        </row>
        <row r="631">
          <cell r="F631" t="str">
            <v>Cây gạo đường kính gốc 35cm ≤ Φ &lt; 50cm</v>
          </cell>
        </row>
        <row r="632">
          <cell r="F632" t="str">
            <v>Cây gạo đường kính gốc Φ ≥ 50cm (chi phí chặt hạ)</v>
          </cell>
        </row>
        <row r="633">
          <cell r="F633" t="str">
            <v>Cây đa giống đủ tiêu chuẩn mới trồng, chiều cao H ≥ 40cm</v>
          </cell>
        </row>
        <row r="634">
          <cell r="F634" t="str">
            <v>Cây đa đường kính gốc 1cm ≤ Φ &lt; 3cm</v>
          </cell>
        </row>
        <row r="635">
          <cell r="F635" t="str">
            <v>Cây đa đường kính gốc 3cm ≤ Φ &lt; 5cm</v>
          </cell>
        </row>
        <row r="636">
          <cell r="F636" t="str">
            <v>Cây đa đường kính gốc 5cm ≤ Φ &lt; 10cm</v>
          </cell>
        </row>
        <row r="637">
          <cell r="F637" t="str">
            <v>Cây đa đường kính gốc 10cm ≤ Φ &lt; 15cm</v>
          </cell>
        </row>
        <row r="638">
          <cell r="F638" t="str">
            <v>Cây đa đường kính gốc 15cm ≤ Φ &lt; 20cm</v>
          </cell>
        </row>
        <row r="639">
          <cell r="F639" t="str">
            <v>Cây đa đường kính gốc 20cm≤ Φ &lt; 25cm</v>
          </cell>
        </row>
        <row r="640">
          <cell r="F640" t="str">
            <v>Cây đa đường kính gốc 25cm ≤ Φ &lt; 30cm</v>
          </cell>
        </row>
        <row r="641">
          <cell r="F641" t="str">
            <v>Cây đa đường kính gốc 30cm ≤ Φ &lt; 35cm</v>
          </cell>
        </row>
        <row r="642">
          <cell r="F642" t="str">
            <v>Cây đa đường kính gốc 35cm ≤ Φ &lt; 50cm</v>
          </cell>
        </row>
        <row r="643">
          <cell r="F643" t="str">
            <v>Cây đa đường kính gốc Φ ≥ 50cm (chi phí chặt hạ)</v>
          </cell>
        </row>
        <row r="644">
          <cell r="F644" t="str">
            <v>Cây phượng vĩ giống đủ tiêu chuẩn mới trồng, chiều cao H ≥ 40cm</v>
          </cell>
        </row>
        <row r="645">
          <cell r="F645" t="str">
            <v>Cây phượng vĩ đường kính gốc 1cm ≤ Φ &lt; 3cm</v>
          </cell>
        </row>
        <row r="646">
          <cell r="F646" t="str">
            <v>Cây phượng vĩ đường kính gốc 3cm ≤ Φ &lt; 5cm</v>
          </cell>
        </row>
        <row r="647">
          <cell r="F647" t="str">
            <v>Cây phượng vĩ đường kính gốc 5cm ≤ Φ &lt; 10cm</v>
          </cell>
        </row>
        <row r="648">
          <cell r="F648" t="str">
            <v>Cây phượng vĩ đường kính gốc 10cm ≤ Φ &lt; 15cm</v>
          </cell>
        </row>
        <row r="649">
          <cell r="F649" t="str">
            <v>Cây phượng vĩ đường kính gốc 15cm ≤ Φ &lt; 20cm</v>
          </cell>
        </row>
        <row r="650">
          <cell r="F650" t="str">
            <v>Cây phượng vĩ đường kính gốc 20cm≤ Φ &lt; 25cm</v>
          </cell>
        </row>
        <row r="651">
          <cell r="F651" t="str">
            <v>Cây phượng vĩ đường kính gốc 25cm ≤ Φ &lt; 30cm</v>
          </cell>
        </row>
        <row r="652">
          <cell r="F652" t="str">
            <v>Cây phượng vĩ đường kính gốc 30cm ≤ Φ &lt; 35cm</v>
          </cell>
        </row>
        <row r="653">
          <cell r="F653" t="str">
            <v>Cây phượng vĩ đường kính gốc 35cm ≤ Φ &lt; 50cm</v>
          </cell>
        </row>
        <row r="654">
          <cell r="F654">
            <v>0</v>
          </cell>
        </row>
        <row r="655">
          <cell r="F655" t="str">
            <v>Cây hoa sữa giống đủ tiêu chuẩn mới trồng, chiều cao H ≥ 40cm</v>
          </cell>
        </row>
        <row r="656">
          <cell r="F656" t="str">
            <v xml:space="preserve">Cây xoan giống đủ tiêu chuẩn, mới trồng, chiều cao cây H ≥ 40cm     </v>
          </cell>
        </row>
        <row r="657">
          <cell r="F657" t="str">
            <v>Cây xoan đường kính gốc 1cm ≤ Φ &lt; 2cm</v>
          </cell>
        </row>
        <row r="658">
          <cell r="F658" t="str">
            <v>Cây xoan đường kính gốc 2cm ≤ Φ &lt; 5cm</v>
          </cell>
        </row>
        <row r="659">
          <cell r="F659" t="str">
            <v>Cây xoan đường kính gốc 5cm ≤ Φ &lt; 9cm</v>
          </cell>
        </row>
        <row r="660">
          <cell r="F660" t="str">
            <v>Cây xoan đường kính gốc 9cm ≤ Φ &lt; 12cm</v>
          </cell>
        </row>
        <row r="661">
          <cell r="F661" t="str">
            <v>Cây xoan đường kính gốc 12cm ≤ Φ &lt; 15cm</v>
          </cell>
        </row>
        <row r="662">
          <cell r="F662" t="str">
            <v>Cây xoan đường kính gốc 15cm ≤ Φ &lt; 20cm</v>
          </cell>
        </row>
        <row r="663">
          <cell r="F663" t="str">
            <v>Cây xoan đường kính gốc 20cm ≤ Φ &lt; 25cm</v>
          </cell>
        </row>
        <row r="664">
          <cell r="F664" t="str">
            <v>Cây xoan đường kính gốc 25cm ≤ Φ &lt; 30cm</v>
          </cell>
        </row>
        <row r="665">
          <cell r="F665" t="str">
            <v>Cây xoan đường kính gốc 30cm ≤ Φ &lt; 35cm</v>
          </cell>
        </row>
        <row r="666">
          <cell r="F666" t="str">
            <v>Cây xoan đường kính gốc Φ ≥ 35cm (chi phí chặt hạ)</v>
          </cell>
        </row>
        <row r="667">
          <cell r="F667" t="str">
            <v xml:space="preserve">Tre, mai (tính theo đường kính gốc F) </v>
          </cell>
        </row>
        <row r="668">
          <cell r="F668" t="str">
            <v>Cây tre giống đủ tiêu chuẩn mới trồng</v>
          </cell>
        </row>
        <row r="669">
          <cell r="F669" t="str">
            <v>Cây tre đường kính gốc 2cm ≤ Φ &lt; 5cm</v>
          </cell>
        </row>
        <row r="670">
          <cell r="F670" t="str">
            <v>Cây tre đường kính gốc 5cm ≤ Φ &lt; 7cm</v>
          </cell>
        </row>
        <row r="671">
          <cell r="F671" t="str">
            <v>Cây tre đường kính gốc 7cm ≤ Φ &lt; 10cm</v>
          </cell>
        </row>
        <row r="672">
          <cell r="F672" t="str">
            <v>Cây tre đường kính gốc 10cm ≤ Φ &lt; 12cm</v>
          </cell>
        </row>
        <row r="673">
          <cell r="F673" t="str">
            <v>Cây tre đường kính gốc Φ ≥ 12cm (chi phí chặt hạ)</v>
          </cell>
        </row>
        <row r="674">
          <cell r="F674" t="str">
            <v>Long não  (tính theo đường kính gốc)</v>
          </cell>
        </row>
        <row r="675">
          <cell r="F675" t="str">
            <v xml:space="preserve">Cây long não giống đủ tiêu chuẩn mới trồng, chiều cao cây  H ≤40cm  </v>
          </cell>
        </row>
        <row r="676">
          <cell r="F676" t="str">
            <v>Cây long não đường kính gốc 1cm ≤ Φ &lt; 3cm</v>
          </cell>
        </row>
        <row r="677">
          <cell r="F677" t="str">
            <v>Cây long não đường kính gốc 3cm ≤ Φ &lt; 5cm</v>
          </cell>
        </row>
        <row r="678">
          <cell r="F678" t="str">
            <v>Cây long não đường kính gốc 5cm ≤ Φ &lt; 10cm</v>
          </cell>
        </row>
        <row r="679">
          <cell r="F679" t="str">
            <v>Cây long não đường kính gốc 10cm ≤ Φ &lt; 15cm</v>
          </cell>
        </row>
        <row r="680">
          <cell r="F680" t="str">
            <v>Cây long não đường kính gốc 15cm ≤ Φ &lt; 20cm</v>
          </cell>
        </row>
        <row r="681">
          <cell r="F681" t="str">
            <v xml:space="preserve">Cây long não đường kính gốc 20cm ≤ Φ &lt; 30cm </v>
          </cell>
        </row>
        <row r="682">
          <cell r="F682" t="str">
            <v xml:space="preserve">Cây long não đường kính gốc 30cm ≤ Φ &lt; 40cm </v>
          </cell>
        </row>
        <row r="683">
          <cell r="F683" t="str">
            <v xml:space="preserve">Cây long não đường kính gốc Φ ≥ 40cm </v>
          </cell>
        </row>
        <row r="684">
          <cell r="F684" t="str">
            <v xml:space="preserve">Cây Dẻ lấy quả </v>
          </cell>
        </row>
        <row r="685">
          <cell r="F685" t="str">
            <v>Cây dẻ lấy quả mới trồng, đường kính gốc &lt;5 cm</v>
          </cell>
        </row>
        <row r="686">
          <cell r="F686" t="str">
            <v>Cây dẻ lấy quả đường kính gốc từ 5 cm đến 10cm</v>
          </cell>
        </row>
        <row r="687">
          <cell r="F687" t="str">
            <v>Cây dẻ lấy quả đường kính gốc &gt;10 cm đến 20cm</v>
          </cell>
        </row>
        <row r="688">
          <cell r="F688" t="str">
            <v>Cây dẻ lấy quả đường kính gốc &gt; 20 cm đến 30cm</v>
          </cell>
        </row>
        <row r="689">
          <cell r="F689" t="str">
            <v>Cây dẻ lấy quả đường kính gốc &gt; 30cm</v>
          </cell>
        </row>
        <row r="690">
          <cell r="F690" t="str">
            <v>Cây Trám</v>
          </cell>
        </row>
        <row r="691">
          <cell r="F691" t="str">
            <v>Cây trám mới trồng, đường kính gốc &lt;2cm</v>
          </cell>
        </row>
        <row r="692">
          <cell r="F692" t="str">
            <v>Cây trám đường kính gốc từ 2cm đến 5cm</v>
          </cell>
        </row>
        <row r="693">
          <cell r="F693" t="str">
            <v>Cây trám đường kính gốc từ 5cm đến 10cm</v>
          </cell>
        </row>
        <row r="694">
          <cell r="F694" t="str">
            <v>Cây trám đường kính gốc &gt;10cm đến 15cm</v>
          </cell>
        </row>
        <row r="695">
          <cell r="F695" t="str">
            <v>Cây trám đường kính gốc &gt;15cm đến 20cm</v>
          </cell>
        </row>
        <row r="696">
          <cell r="F696" t="str">
            <v>Cây trám đường kính gốc &gt;20cm đến 25cm</v>
          </cell>
        </row>
        <row r="697">
          <cell r="F697" t="str">
            <v>Cây trám đường kính gốc &gt;25cm đến 30cm</v>
          </cell>
        </row>
        <row r="698">
          <cell r="F698" t="str">
            <v>Cây trám đường kính gốc &gt; 30cm</v>
          </cell>
        </row>
        <row r="699">
          <cell r="F699" t="str">
            <v xml:space="preserve">Cây Lát </v>
          </cell>
        </row>
        <row r="700">
          <cell r="F700" t="str">
            <v>Cây lát mới trồng, đường kính gốc &lt; 5cm</v>
          </cell>
        </row>
        <row r="701">
          <cell r="F701" t="str">
            <v>Cây lát đường kính gốc từ 5 cm đến 10cm</v>
          </cell>
        </row>
        <row r="702">
          <cell r="F702" t="str">
            <v>Cây lát đường kính gốc &gt; 10 cm đến 20cm</v>
          </cell>
        </row>
        <row r="703">
          <cell r="F703" t="str">
            <v>Cây lát đường kính gốc &gt; 20 cm đến 30cm</v>
          </cell>
        </row>
        <row r="704">
          <cell r="F704" t="str">
            <v>Cây lát đường kính gốc &gt; 30 cm</v>
          </cell>
        </row>
        <row r="705">
          <cell r="F705" t="str">
            <v xml:space="preserve">Cây Vông </v>
          </cell>
        </row>
        <row r="706">
          <cell r="F706" t="str">
            <v>Cây vông mới trồng, đường kính gốc &lt; 5cm</v>
          </cell>
        </row>
        <row r="707">
          <cell r="F707" t="str">
            <v>Cây vông đường kính gốc từ 5cm đến 10cm</v>
          </cell>
        </row>
        <row r="708">
          <cell r="F708" t="str">
            <v>Cây vông đường kính gốc &gt;10 cm đến 20cm</v>
          </cell>
        </row>
        <row r="709">
          <cell r="F709" t="str">
            <v>Cây vông đường kính gốc &gt; 20 cm đến 30 cm</v>
          </cell>
        </row>
        <row r="710">
          <cell r="F710" t="str">
            <v>Cây vông đường kính gốc &gt; 30 cm</v>
          </cell>
        </row>
        <row r="711">
          <cell r="F711" t="str">
            <v>CÂY TRỒNG KHÁC</v>
          </cell>
        </row>
        <row r="712">
          <cell r="F712" t="str">
            <v>Dâu trồng lấy lá nuôi tằm (tính theo thời gian trồng)</v>
          </cell>
        </row>
        <row r="713">
          <cell r="F713" t="str">
            <v>Cây dâu trồng lấy lá nuôi tằm giống đủ tiêu chuẩn mới trồng &lt; 3 tháng</v>
          </cell>
        </row>
        <row r="714">
          <cell r="F714" t="str">
            <v xml:space="preserve"> Cây dâu trồng lấy lá nuôi tằm 3 tháng £ thời gian trồng &lt; 1 năm</v>
          </cell>
        </row>
        <row r="715">
          <cell r="F715" t="str">
            <v>Cây dâu trồng lấy lá nuôi tằm 1 năm £ thời gian trồng &lt; 2 năm</v>
          </cell>
        </row>
        <row r="716">
          <cell r="F716" t="str">
            <v>Cây dâu trồng lấy lá nuôi tằm thời gian trồng ³ 2 năm</v>
          </cell>
        </row>
        <row r="717">
          <cell r="F717" t="str">
            <v>Dâu ăn quả</v>
          </cell>
        </row>
        <row r="718">
          <cell r="F718" t="str">
            <v xml:space="preserve">Cây dâu ăn quả giống đủ tiêu chuẩn mới trồng </v>
          </cell>
        </row>
        <row r="719">
          <cell r="F719" t="str">
            <v>Cây dâu ăn quả có đường kính 1cm £ F &lt; 2cm</v>
          </cell>
        </row>
        <row r="720">
          <cell r="F720" t="str">
            <v>Cây dâu ăn quả có đường kính 2cm £ F &lt; 4cm</v>
          </cell>
        </row>
        <row r="721">
          <cell r="F721" t="str">
            <v>Cây dâu ăn quả có đường kính 4cm £ F &lt; 6cm</v>
          </cell>
        </row>
        <row r="722">
          <cell r="F722" t="str">
            <v>Cây dâu ăn quả có đường kính 6cm £ F &lt; 10cm</v>
          </cell>
        </row>
        <row r="723">
          <cell r="F723" t="str">
            <v>Cây dâu ăn quả có đường kính  F ³ 10cm</v>
          </cell>
        </row>
        <row r="724">
          <cell r="F724" t="str">
            <v xml:space="preserve">Chè </v>
          </cell>
        </row>
        <row r="725">
          <cell r="F725" t="str">
            <v xml:space="preserve">Cây chè giống đủ tiêu chuẩn mới trồng  </v>
          </cell>
        </row>
        <row r="726">
          <cell r="F726" t="str">
            <v>Cây chè trồng theo luống, dảnh có thời gian &lt; 6 tháng</v>
          </cell>
        </row>
        <row r="727">
          <cell r="F727" t="str">
            <v>Cây chè trồng theo luống, dảnh có thời gian ≥ 6 tháng</v>
          </cell>
        </row>
        <row r="728">
          <cell r="F728" t="str">
            <v>Cây chè trồng đơn lẻ có đường kính tán lá Φ  &lt; 0,5m</v>
          </cell>
        </row>
        <row r="729">
          <cell r="F729" t="str">
            <v xml:space="preserve">Cây chè trồng đơn lẻ có đường kính tán lá 0,5m ≤ Φ &lt; 1m </v>
          </cell>
        </row>
        <row r="730">
          <cell r="F730" t="str">
            <v>Cây chè trồng đơn lẻ có đường kính tán lá 1m ≤ Φ &lt; 1,5m</v>
          </cell>
        </row>
        <row r="731">
          <cell r="F731" t="str">
            <v>Cây chè trồng đơn lẻ có đường kính tán lá 1,5m ≤ Φ &lt; 2m</v>
          </cell>
        </row>
        <row r="732">
          <cell r="F732" t="str">
            <v>Cây chè trồng đơn lẻ có đường kính tán lá Φ ≥ 2m</v>
          </cell>
        </row>
        <row r="733">
          <cell r="F733" t="str">
            <v>Mây</v>
          </cell>
        </row>
        <row r="734">
          <cell r="F734" t="str">
            <v xml:space="preserve">Cây mây giống đủ tiêu chuẩn mới trồng </v>
          </cell>
        </row>
        <row r="735">
          <cell r="F735" t="str">
            <v>Cây mây chưa đến kỳ thu hoạch (tính theo khóm)</v>
          </cell>
        </row>
        <row r="736">
          <cell r="F736" t="str">
            <v>Dâm bụt, găng, tre gai... trồng hàng rào</v>
          </cell>
        </row>
        <row r="737">
          <cell r="F737" t="str">
            <v>Lộc vừng, sanh, si (ươm, trồng dưới đất, tính theo đường kính tán F)</v>
          </cell>
        </row>
        <row r="738">
          <cell r="F738" t="str">
            <v xml:space="preserve">Cây sanh có đường kính tán 0,5m  ≤ Φ &lt; 0,7m </v>
          </cell>
        </row>
        <row r="739">
          <cell r="F739" t="str">
            <v xml:space="preserve">Cây sanh có đường kính tán 0,7m  ≤ Φ &lt; 1,0m </v>
          </cell>
        </row>
        <row r="740">
          <cell r="F740" t="str">
            <v>Cây sanh có đường kính tán 1,0m  ≤ Φ &lt; 1,5m</v>
          </cell>
        </row>
        <row r="741">
          <cell r="F741" t="str">
            <v>Cây sanh có đường kính tán 1,5m ≤ Φ &lt; 2,0m</v>
          </cell>
        </row>
        <row r="742">
          <cell r="F742" t="str">
            <v>Cây sanh có đường kính tán 2,0m  ≤ Φ &lt; 3,0m</v>
          </cell>
        </row>
        <row r="743">
          <cell r="F743" t="str">
            <v>Cây sanh có đường kính tán 3,0m ≤ Φ &lt; 4,0m</v>
          </cell>
        </row>
        <row r="744">
          <cell r="F744" t="str">
            <v>Cây sanh có đường kính tán Φ ≥  4,0m</v>
          </cell>
        </row>
        <row r="745">
          <cell r="F745" t="str">
            <v xml:space="preserve">Cây lộc vừng có đường kính tán 0,5m  ≤ Φ &lt; 0,7m </v>
          </cell>
        </row>
        <row r="746">
          <cell r="F746" t="str">
            <v xml:space="preserve">Cây lộc vừng có đường kính tán 0,7m  ≤ Φ &lt; 1,0m </v>
          </cell>
        </row>
        <row r="747">
          <cell r="F747" t="str">
            <v>Cây lộc vừng có đường kính tán 1,0m  ≤ Φ &lt; 1,5m</v>
          </cell>
        </row>
        <row r="748">
          <cell r="F748" t="str">
            <v>Cây lộc vừng có đường kính tán 1,5m ≤ Φ &lt; 2,0m</v>
          </cell>
        </row>
        <row r="749">
          <cell r="F749" t="str">
            <v>Cây lộc vừng có đường kính tán 2,0m  ≤ Φ &lt; 3,0m</v>
          </cell>
        </row>
        <row r="750">
          <cell r="F750" t="str">
            <v>Cây lộc vừng có đường kính tán 3,0m ≤ Φ &lt; 4,0m</v>
          </cell>
        </row>
        <row r="751">
          <cell r="F751" t="str">
            <v>Cây lộc vừng có đường kính tán Φ ≥  4,0m</v>
          </cell>
        </row>
        <row r="752">
          <cell r="F752" t="str">
            <v xml:space="preserve">Cây si có đường kính tán 0,5m  ≤ Φ &lt; 0,7m </v>
          </cell>
        </row>
        <row r="753">
          <cell r="F753" t="str">
            <v xml:space="preserve">Cây si có đường kính tán 0,7m  ≤ Φ &lt; 1,0m </v>
          </cell>
        </row>
        <row r="754">
          <cell r="F754" t="str">
            <v>Cây si có đường kính tán 1,0m  ≤ Φ &lt; 1,5m</v>
          </cell>
        </row>
        <row r="755">
          <cell r="F755" t="str">
            <v>Cây si có đường kính tán 1,5m ≤ Φ &lt; 2,0m</v>
          </cell>
        </row>
        <row r="756">
          <cell r="F756" t="str">
            <v>Cây si có đường kính tán 2,0m  ≤ Φ &lt; 3,0m</v>
          </cell>
        </row>
        <row r="757">
          <cell r="F757" t="str">
            <v>Cây si có đường kính tán 3,0m ≤ Φ &lt; 4,0m</v>
          </cell>
        </row>
        <row r="758">
          <cell r="F758" t="str">
            <v>Cây si có đường kính tán Φ ≥  4,0m</v>
          </cell>
        </row>
        <row r="759">
          <cell r="F759" t="str">
            <v xml:space="preserve">Cây lộc vừng có đường kính tán 0,5m  ≤ Φ &lt; 0,7m </v>
          </cell>
        </row>
        <row r="760">
          <cell r="F760" t="str">
            <v xml:space="preserve">Cây cau vua có đường kính gốc 0,03m  ≤ Φ &lt; 0,05m </v>
          </cell>
        </row>
        <row r="761">
          <cell r="F761" t="str">
            <v xml:space="preserve">Cây cau vua có đường kính gốc 0,05m  ≤ Φ &lt; 0,10m </v>
          </cell>
        </row>
        <row r="762">
          <cell r="F762" t="str">
            <v>Cây cau vua có đường kính gốc 0,10m  ≤ Φ &lt; 0,15m</v>
          </cell>
        </row>
        <row r="763">
          <cell r="F763" t="str">
            <v>Cây cau vua có đường kính gốc 0,15m ≤ Φ &lt; 0,20m</v>
          </cell>
        </row>
        <row r="764">
          <cell r="F764" t="str">
            <v>Cây cau vua có đường kính gốc 0,20m  ≤ Φ &lt; 0,25m</v>
          </cell>
        </row>
        <row r="765">
          <cell r="F765" t="str">
            <v>Cây cau vua có đường kính gốc 0,25m ≤ Φ &lt; 0,30m</v>
          </cell>
        </row>
        <row r="766">
          <cell r="F766" t="str">
            <v>Cây cau vua có đường kính gốc 0,30m  ≤ Φ &lt; 0,35m</v>
          </cell>
        </row>
        <row r="767">
          <cell r="F767" t="str">
            <v>Cây cau vua có đường kính gốc Φ ≥  0,35m</v>
          </cell>
        </row>
        <row r="768">
          <cell r="F768" t="str">
            <v xml:space="preserve">Cây thiết mộc lan có đường kính gốc 0,03m  ≤ Φ &lt; 0,05m </v>
          </cell>
        </row>
        <row r="769">
          <cell r="F769" t="str">
            <v xml:space="preserve">Cây thiết mộc lan có đường kính gốc 0,05m  ≤ Φ &lt; 0,10m </v>
          </cell>
        </row>
        <row r="770">
          <cell r="F770" t="str">
            <v>Cây thiết mộc lan có đường kính gốc 0,10m  ≤ Φ &lt; 0,15m</v>
          </cell>
        </row>
        <row r="771">
          <cell r="F771" t="str">
            <v>Cây thiết mộc lan có đường kính gốc 0,15m ≤ Φ &lt; 0,20m</v>
          </cell>
        </row>
        <row r="772">
          <cell r="F772" t="str">
            <v>Cây thiết mộc lan có đường kính gốc 0,20m  ≤ Φ &lt; 0,25m</v>
          </cell>
        </row>
        <row r="773">
          <cell r="F773" t="str">
            <v>Cây thiết mộc lan có đường kính gốc 0,25m ≤ Φ &lt; 0,30m</v>
          </cell>
        </row>
        <row r="774">
          <cell r="F774" t="str">
            <v>Cây thiết mộc lan có đường kính gốc 0,30m  ≤ Φ &lt; 0,35m</v>
          </cell>
        </row>
        <row r="775">
          <cell r="F775" t="str">
            <v>Cây thiết mộc lan có đường kính gốc Φ ≥  0,35m</v>
          </cell>
        </row>
        <row r="776">
          <cell r="F776" t="str">
            <v xml:space="preserve">Cây hoa giấy có đường kính gốc 0,03m  ≤ Φ &lt; 0,05m </v>
          </cell>
        </row>
        <row r="777">
          <cell r="F777" t="str">
            <v xml:space="preserve">Cây hoa giấy có đường kính gốc 0,05m  ≤ Φ &lt; 0,10m </v>
          </cell>
        </row>
        <row r="778">
          <cell r="F778" t="str">
            <v>Cây hoa giấy có đường kính gốc 0,10m  ≤ Φ &lt; 0,15m</v>
          </cell>
        </row>
        <row r="779">
          <cell r="F779" t="str">
            <v>Cây hoa giấy có đường kính gốc 0,15m ≤ Φ &lt; 0,20m</v>
          </cell>
        </row>
        <row r="780">
          <cell r="F780" t="str">
            <v>Cây hoa giấy có đường kính gốc 0,20m  ≤ Φ &lt; 0,25m</v>
          </cell>
        </row>
        <row r="781">
          <cell r="F781" t="str">
            <v>Cây hoa giấy có đường kính gốc 0,25m ≤ Φ &lt; 0,30m</v>
          </cell>
        </row>
        <row r="782">
          <cell r="F782" t="str">
            <v>Cây hoa giấy có đường kính gốc 0,30m  ≤ Φ &lt; 0,35m</v>
          </cell>
        </row>
        <row r="783">
          <cell r="F783" t="str">
            <v>Cây hoa giấy có đường kính gốc Φ ≥  0,35m</v>
          </cell>
        </row>
        <row r="784">
          <cell r="F784" t="str">
            <v xml:space="preserve">Cây thiết mộc lan có đường kính gốc 0,03m  ≤ Φ &lt; 0,05m </v>
          </cell>
        </row>
        <row r="785">
          <cell r="F785">
            <v>0</v>
          </cell>
        </row>
        <row r="786">
          <cell r="F786" t="str">
            <v xml:space="preserve">Cây cau trắng có đường kính gốc 0,05m  ≤ Φ &lt; 0,10m </v>
          </cell>
        </row>
        <row r="787">
          <cell r="F787" t="str">
            <v>Cây cau trắng có đường kính gốc 0,10m  ≤ Φ &lt; 0,15m</v>
          </cell>
        </row>
        <row r="788">
          <cell r="F788" t="str">
            <v>Cây cau trắng có đường kính gốc 0,15m ≤ Φ &lt; 0,20m</v>
          </cell>
        </row>
        <row r="789">
          <cell r="F789" t="str">
            <v>Cây cau trắng có đường kính gốc 0,20m  ≤ Φ &lt; 0,25m</v>
          </cell>
        </row>
        <row r="790">
          <cell r="F790" t="str">
            <v>Cây cau trắng có đường kính gốc 0,25m ≤ Φ &lt; 0,30m</v>
          </cell>
        </row>
        <row r="791">
          <cell r="F791" t="str">
            <v>Cây cau trắng có đường kính gốc 0,30m  ≤ Φ &lt; 0,35m</v>
          </cell>
        </row>
        <row r="792">
          <cell r="F792" t="str">
            <v>Cây cau trắng có đường kính gốc Φ ≥  0,35m</v>
          </cell>
        </row>
        <row r="793">
          <cell r="F793" t="str">
            <v xml:space="preserve">Cây cau sâm banh có đường kính gốc 0,03m  ≤ Φ &lt; 0,05m </v>
          </cell>
        </row>
        <row r="794">
          <cell r="F794" t="str">
            <v xml:space="preserve">Cây cau sâm banh có đường kính gốc 0,05m  ≤ Φ &lt; 0,10m </v>
          </cell>
        </row>
        <row r="795">
          <cell r="F795" t="str">
            <v>Cây cau sâm banh có đường kính gốc 0,10m  ≤ Φ &lt; 0,15m</v>
          </cell>
        </row>
        <row r="796">
          <cell r="F796" t="str">
            <v>Cây cau sâm banh có đường kính gốc 0,15m ≤ Φ &lt; 0,20m</v>
          </cell>
        </row>
        <row r="797">
          <cell r="F797" t="str">
            <v>Cây cau sâm banh có đường kính gốc 0,20m  ≤ Φ &lt; 0,25m</v>
          </cell>
        </row>
        <row r="798">
          <cell r="F798" t="str">
            <v>Cây cau sâm banh có đường kính gốc 0,25m ≤ Φ &lt; 0,30m</v>
          </cell>
        </row>
        <row r="799">
          <cell r="F799" t="str">
            <v>Cây cau sâm banh có đường kính gốc 0,30m  ≤ Φ &lt; 0,35m</v>
          </cell>
        </row>
        <row r="800">
          <cell r="F800" t="str">
            <v>Cây cau sâm banh có đường kính gốc Φ ≥  0,35m</v>
          </cell>
        </row>
        <row r="801">
          <cell r="F801" t="str">
            <v xml:space="preserve">Cây cau lợn cọ có đường kính gốc 0,03m  ≤ Φ &lt; 0,05m </v>
          </cell>
        </row>
        <row r="802">
          <cell r="F802" t="str">
            <v xml:space="preserve">Cây cau lợn cọ có đường kính gốc 0,05m  ≤ Φ &lt; 0,10m </v>
          </cell>
        </row>
        <row r="803">
          <cell r="F803" t="str">
            <v>Cây cau lợn cọ có đường kính gốc 0,10m  ≤ Φ &lt; 0,15m</v>
          </cell>
        </row>
        <row r="804">
          <cell r="F804" t="str">
            <v>Cây cau lợn cọ có đường kính gốc 0,15m ≤ Φ &lt; 0,20m</v>
          </cell>
        </row>
        <row r="805">
          <cell r="F805" t="str">
            <v>Cây cau lợn cọ có đường kính gốc 0,20m  ≤ Φ &lt; 0,25m</v>
          </cell>
        </row>
        <row r="806">
          <cell r="F806" t="str">
            <v>Cây cau lợn cọ có đường kính gốc 0,25m ≤ Φ &lt; 0,30m</v>
          </cell>
        </row>
        <row r="807">
          <cell r="F807" t="str">
            <v>Cây cau lợn cọ có đường kính gốc 0,30m  ≤ Φ &lt; 0,35m</v>
          </cell>
        </row>
        <row r="808">
          <cell r="F808">
            <v>0</v>
          </cell>
        </row>
        <row r="809">
          <cell r="F809" t="str">
            <v xml:space="preserve">Cây cau trắng có đường kính gốc 0,03m  ≤ Φ &lt; 0,05m </v>
          </cell>
        </row>
        <row r="810">
          <cell r="F810" t="str">
            <v xml:space="preserve">Cây tùng la hán có đường kính gốc 0,05m  ≤ Φ &lt; 0,10m </v>
          </cell>
        </row>
        <row r="811">
          <cell r="F811" t="str">
            <v>Cây tùng la hán có đường kính gốc 0,10m  ≤ Φ &lt; 0,15m</v>
          </cell>
        </row>
        <row r="812">
          <cell r="F812" t="str">
            <v>Cây tùng la hán có đường kính gốc 0,15m ≤ Φ &lt; 0,20m</v>
          </cell>
        </row>
        <row r="813">
          <cell r="F813" t="str">
            <v>Cây tùng la hán có đường kính gốc 0,20m  ≤ Φ &lt; 0,25m</v>
          </cell>
        </row>
        <row r="814">
          <cell r="F814" t="str">
            <v>Cây tùng la hán có đường kính gốc 0,25m ≤ Φ &lt; 0,30m</v>
          </cell>
        </row>
        <row r="815">
          <cell r="F815" t="str">
            <v>Cây tùng la hán có đường kính gốc 0,30m  ≤ Φ &lt; 0,35m</v>
          </cell>
        </row>
        <row r="816">
          <cell r="F816" t="str">
            <v>Cây tùng la hán có đường kính gốc Φ ≥  0,35m</v>
          </cell>
        </row>
        <row r="817">
          <cell r="F817" t="str">
            <v>Cau bụi, cau kiểng vàng (trồng khóm dưới đất, khóm cách khóm &gt; 3m, chiều cao khóm H ³  50cm, tính theo đường kính khóm F)</v>
          </cell>
        </row>
        <row r="818">
          <cell r="F818" t="str">
            <v>Cau bụi, cau kiểng vàng có đường kính khóm Φ ≤ 1,0m</v>
          </cell>
        </row>
        <row r="819">
          <cell r="F819" t="str">
            <v xml:space="preserve">Cau bụi, cau kiểng vàng có đường kính khóm 1,0m ≤ Φ &lt; 1,5m </v>
          </cell>
        </row>
        <row r="820">
          <cell r="F820" t="str">
            <v xml:space="preserve">Cau bụi, cau kiểng vàng có đường kính khóm 1,5m ≤ Φ &lt; 2,0m </v>
          </cell>
        </row>
        <row r="821">
          <cell r="F821" t="str">
            <v>Cau bụi, cau kiểng vàng có đường kính khóm 2,0m ≤ Φ &lt; 2,5m</v>
          </cell>
        </row>
        <row r="822">
          <cell r="F822" t="str">
            <v>Cau bụi, cau kiểng vàng có đường kính khóm Φ ≥  2,5m</v>
          </cell>
        </row>
        <row r="823">
          <cell r="F823" t="str">
            <v>Hoa ngọc lan, ngâu, hoa sứ, mai tứ quý (đã chiết ghép, trồng dưới đất, tính theo đường kính tán F)</v>
          </cell>
        </row>
        <row r="824">
          <cell r="F824">
            <v>0</v>
          </cell>
        </row>
        <row r="825">
          <cell r="F825" t="str">
            <v xml:space="preserve">Cây hoa ngọc lan có đường kính tán Φ  &lt; 1,0m (đã có hoa) </v>
          </cell>
        </row>
        <row r="826">
          <cell r="F826" t="str">
            <v xml:space="preserve">Cây hoa ngọc lan có đường kính tán 1,0m  ≤ Φ &lt;2,0m (đã có hoa) </v>
          </cell>
        </row>
        <row r="827">
          <cell r="F827" t="str">
            <v xml:space="preserve">Cây hoa ngọc lan có đường kính tán 2,0m  ≤ Φ &lt; 3,0m (đã có hoa) </v>
          </cell>
        </row>
        <row r="828">
          <cell r="F828" t="str">
            <v xml:space="preserve">Cây hoa ngọc lan có đường kính tán 3,0m  ≤ Φ &lt;4,0m (đã có hoa) </v>
          </cell>
        </row>
        <row r="829">
          <cell r="F829" t="str">
            <v xml:space="preserve">Cây hoa ngọc lan có đường kính tán Φ ≥  4,0m </v>
          </cell>
        </row>
        <row r="830">
          <cell r="F830" t="str">
            <v>Cây ngâu giống đủ tiêu chuẩn mới trồng, chưa ra hoa</v>
          </cell>
        </row>
        <row r="831">
          <cell r="F831" t="str">
            <v xml:space="preserve">Cây ngâu có đường kính tán Φ  &lt; 1,0m (đã có hoa) </v>
          </cell>
        </row>
        <row r="832">
          <cell r="F832" t="str">
            <v xml:space="preserve">Cây ngâu có đường kính tán 1,0m  ≤ Φ &lt;2,0m (đã có hoa) </v>
          </cell>
        </row>
        <row r="833">
          <cell r="F833" t="str">
            <v xml:space="preserve">Cây ngâu có đường kính tán 2,0m  ≤ Φ &lt; 3,0m (đã có hoa) </v>
          </cell>
        </row>
        <row r="834">
          <cell r="F834" t="str">
            <v xml:space="preserve">Cây ngâu có đường kính tán 3,0m  ≤ Φ &lt;4,0m (đã có hoa) </v>
          </cell>
        </row>
        <row r="835">
          <cell r="F835" t="str">
            <v xml:space="preserve">Cây ngâu có đường kính tán Φ ≥  4,0m </v>
          </cell>
        </row>
        <row r="836">
          <cell r="F836" t="str">
            <v>Cây hoa sứ giống đủ tiêu chuẩn mới trồng, chưa ra hoa</v>
          </cell>
        </row>
        <row r="837">
          <cell r="F837" t="str">
            <v xml:space="preserve">Cây hoa sứ có đường kính tán Φ  &lt; 1,0m (đã có hoa) </v>
          </cell>
        </row>
        <row r="838">
          <cell r="F838" t="str">
            <v xml:space="preserve">Cây hoa sứ có đường kính tán 1,0m  ≤ Φ &lt;2,0m (đã có hoa) </v>
          </cell>
        </row>
        <row r="839">
          <cell r="F839" t="str">
            <v xml:space="preserve">Cây hoa sứ có đường kính tán 2,0m  ≤ Φ &lt; 3,0m (đã có hoa) </v>
          </cell>
        </row>
        <row r="840">
          <cell r="F840" t="str">
            <v xml:space="preserve">Cây hoa sứ có đường kính tán 3,0m  ≤ Φ &lt;4,0m (đã có hoa) </v>
          </cell>
        </row>
        <row r="841">
          <cell r="F841">
            <v>0</v>
          </cell>
        </row>
        <row r="842">
          <cell r="F842" t="str">
            <v>Cây hoa ngọc lan giống đủ tiêu chuẩn mới trồng, chưa ra hoa</v>
          </cell>
        </row>
        <row r="843">
          <cell r="F843" t="str">
            <v xml:space="preserve">Cây mai tứ quý có đường kính tán Φ  &lt; 1,0m (đã có hoa) </v>
          </cell>
        </row>
        <row r="844">
          <cell r="F844" t="str">
            <v xml:space="preserve">Cây mai tứ quý có đường kính tán 1,0m  ≤ Φ &lt;2,0m (đã có hoa) </v>
          </cell>
        </row>
        <row r="845">
          <cell r="F845" t="str">
            <v xml:space="preserve">Cây mai tứ quý có đường kính tán 2,0m  ≤ Φ &lt; 3,0m (đã có hoa) </v>
          </cell>
        </row>
        <row r="846">
          <cell r="F846" t="str">
            <v xml:space="preserve">Cây mai tứ quý có đường kính tán 3,0m  ≤ Φ &lt;4,0m (đã có hoa) </v>
          </cell>
        </row>
        <row r="847">
          <cell r="F847" t="str">
            <v xml:space="preserve">Cây mai tứ quý có đường kính tán Φ ≥  4,0m </v>
          </cell>
        </row>
        <row r="848">
          <cell r="F848" t="str">
            <v xml:space="preserve">Sưa (ươm, trồng dưới đất, tính theo đường kính gốc F) </v>
          </cell>
        </row>
        <row r="849">
          <cell r="F849" t="str">
            <v>Cây sưa giống đủ tiêu chuẩn, mới trồng, chiều cao cây H ≥ 30cm</v>
          </cell>
        </row>
        <row r="850">
          <cell r="F850" t="str">
            <v>Cây sưa có đường kính gốc 0,01m  ≤ Φ &lt; 0,05m, chiều cao cây H ≥  50cm</v>
          </cell>
        </row>
        <row r="851">
          <cell r="F851" t="str">
            <v>Cây sưa có đường kính gốc 0,05m  ≤ Φ &lt; 0,10m, chiều cao cây H ≥  50cm</v>
          </cell>
        </row>
        <row r="852">
          <cell r="F852" t="str">
            <v>Cây sưa có đường kính gốc 0,10m  ≤ Φ &lt; 0,15m, chiều cao cây H ≥  50cm</v>
          </cell>
        </row>
        <row r="853">
          <cell r="F853" t="str">
            <v>Cây sưa có đường kính gốc 0,15m ≤ Φ &lt; 0,20m, chiều cao cây H ≥  50cm</v>
          </cell>
        </row>
        <row r="854">
          <cell r="F854" t="str">
            <v>Cây sưa có đường kính gốc 0,20m  ≤ Φ &lt; 0,25m, chiều cao cây H ≥  50cm</v>
          </cell>
        </row>
        <row r="855">
          <cell r="F855" t="str">
            <v>Cây sưa có đường kính gốc 0,25m ≤ Φ &lt; 0,30m, chiều cao cây H ≥ 50cm</v>
          </cell>
        </row>
        <row r="856">
          <cell r="F856" t="str">
            <v>Cây sưa có đường kính gốc 0,30m  ≤ Φ &lt; 0,35m, chiều cao cây H ≥  50cm</v>
          </cell>
        </row>
        <row r="857">
          <cell r="F857" t="str">
            <v>Cây sưa có đường kính gốc Φ ≥ 0,35m</v>
          </cell>
        </row>
        <row r="858">
          <cell r="F858" t="str">
            <v>Cọ trồng làm cảnh (tính theo đường kính tán F)</v>
          </cell>
        </row>
        <row r="859">
          <cell r="F859" t="str">
            <v>Cây cọ trồng làm cảnh có đường kính tán 0,5m ≤ Φ &lt;0,7m</v>
          </cell>
        </row>
        <row r="860">
          <cell r="F860" t="str">
            <v>Cây cọ trồng làm cảnh có đường kính tán 0,7m ≤ Φ &lt; 1,0m</v>
          </cell>
        </row>
        <row r="861">
          <cell r="F861" t="str">
            <v>Cây cọ trồng làm cảnh có đường kính tán 1,0m ≤ Φ &lt; 1,5m</v>
          </cell>
        </row>
        <row r="862">
          <cell r="F862" t="str">
            <v xml:space="preserve">Cây cọ trồng làm cảnh có đường kính tán 1,5m ≤ Φ &lt; 2,0m </v>
          </cell>
        </row>
        <row r="863">
          <cell r="F863" t="str">
            <v xml:space="preserve">Cây cọ trồng làm cảnh có đường kính tán 2,0m ≤ Φ &lt; 3,0m      </v>
          </cell>
        </row>
        <row r="864">
          <cell r="F864" t="str">
            <v>Cây cọ trồng làm cảnh có đường kính tán 3,0m ≤ Φ &lt; 4,0m</v>
          </cell>
        </row>
        <row r="865">
          <cell r="F865" t="str">
            <v>Cây cọ trồng làm cảnh có đường kính tán Φ ≥ 4,0m</v>
          </cell>
        </row>
        <row r="866">
          <cell r="F866" t="str">
            <v xml:space="preserve">Mai vàng (trồng dưới đất, tính theo đường kính gốc F) </v>
          </cell>
        </row>
        <row r="867">
          <cell r="F867" t="str">
            <v>Cây mai vàng có đường kính gốc 0,5cm ≤ Φ &lt; 1cm</v>
          </cell>
        </row>
        <row r="868">
          <cell r="F868" t="str">
            <v>Cây mai vàng có đường kính gốc 1cm ≤ Φ &lt; 2cm</v>
          </cell>
        </row>
        <row r="869">
          <cell r="F869" t="str">
            <v>Cây mai vàng có đường kính gốc 2cm ≤ Φ &lt; 4cm</v>
          </cell>
        </row>
        <row r="870">
          <cell r="F870" t="str">
            <v>Cây mai vàng có đường kính gốc 4cm ≤ Φ &lt; 6cm</v>
          </cell>
        </row>
        <row r="871">
          <cell r="F871" t="str">
            <v xml:space="preserve">Cây mai vàng có đường kính gốc 6cm ≤ Φ &lt; 10cm </v>
          </cell>
        </row>
        <row r="872">
          <cell r="F872" t="str">
            <v xml:space="preserve">Cây mai vàng có đường kính gốc Φ ≥ 10cm </v>
          </cell>
        </row>
        <row r="873">
          <cell r="F873" t="str">
            <v>Cây Móc Mật (Mác Mật)</v>
          </cell>
        </row>
        <row r="874">
          <cell r="F874" t="str">
            <v>Cây móc mật (mác mật) mới trồng, đường kính gốc &lt; 2cm</v>
          </cell>
        </row>
        <row r="875">
          <cell r="F875" t="str">
            <v>Cây móc mật (mác mật) đường kính gốc từ 2 đến 5cm.</v>
          </cell>
        </row>
        <row r="876">
          <cell r="F876" t="str">
            <v>Cây móc mật (mác mật) đường kính gốc &gt; 5 đến 10 cm</v>
          </cell>
        </row>
        <row r="877">
          <cell r="F877" t="str">
            <v>Cây móc mật (mác mật) đường kính gốc &gt; 10 đến 15 cm</v>
          </cell>
        </row>
        <row r="878">
          <cell r="F878" t="str">
            <v>Cây móc mật (mác mật) đường kính gốc &gt; 15 đến 20 cm</v>
          </cell>
        </row>
        <row r="879">
          <cell r="F879" t="str">
            <v>Cây móc mật (mác mật) đường kính gốc &gt; 20cm</v>
          </cell>
        </row>
        <row r="880">
          <cell r="F880" t="str">
            <v xml:space="preserve">Đào tiên (tính theo đường kính gốc F) </v>
          </cell>
        </row>
        <row r="881">
          <cell r="F881" t="str">
            <v>Đào tiên giống đủ tiêu chuẩn mới trồng</v>
          </cell>
        </row>
        <row r="882">
          <cell r="F882" t="str">
            <v>Đào tiên loại cây ghép có chiều cao cây 40cm ≤ Φ &lt; 1m</v>
          </cell>
        </row>
        <row r="883">
          <cell r="F883" t="str">
            <v>Đào tiên loại cây ghép có chiều cao cây H ≥ 1m</v>
          </cell>
        </row>
        <row r="884">
          <cell r="F884" t="str">
            <v>Đào tiên loại cây chiết cành có chiều cao cây 40cm ≤ Φ &lt; 1m</v>
          </cell>
        </row>
        <row r="885">
          <cell r="F885" t="str">
            <v>Đào tiên loại cây chiết cành có chiều cao cây H ≥ 1m</v>
          </cell>
        </row>
        <row r="886">
          <cell r="F886" t="str">
            <v>Cây đào tiên đường kính gốc 1cm ≤ Φ &lt; 2cm</v>
          </cell>
        </row>
        <row r="887">
          <cell r="F887" t="str">
            <v>Cây đào tiên đường kính gốc 2cm ≤ Φ &lt; 5cm</v>
          </cell>
        </row>
        <row r="888">
          <cell r="F888" t="str">
            <v xml:space="preserve">Cây đào tiên đường kính gốc 5cm ≤ Φ &lt; 7cm </v>
          </cell>
        </row>
        <row r="889">
          <cell r="F889" t="str">
            <v xml:space="preserve">Cây đào tiên đường kính gốc 7cm ≤ Φ &lt; 9cm </v>
          </cell>
        </row>
        <row r="890">
          <cell r="F890" t="str">
            <v xml:space="preserve">Cây đào tiên đường kính gốc 9cm ≤ Φ &lt; 12cm </v>
          </cell>
        </row>
        <row r="891">
          <cell r="F891" t="str">
            <v xml:space="preserve">Cây đào tiên đường kính gốc 12cm ≤ Φ &lt; 15cm </v>
          </cell>
        </row>
        <row r="892">
          <cell r="F892" t="str">
            <v xml:space="preserve">Cây đào tiên đường kính gốc 15cm ≤ Φ &lt; 20cm </v>
          </cell>
        </row>
        <row r="893">
          <cell r="F893" t="str">
            <v>Cây đào tiên đường kính gốc 20cm ≤ Φ &lt; 25cm</v>
          </cell>
        </row>
        <row r="894">
          <cell r="F894" t="str">
            <v xml:space="preserve">Cây đào tiên đường kính gốc Φ ≥ 25cm </v>
          </cell>
        </row>
        <row r="895">
          <cell r="F895" t="str">
            <v xml:space="preserve">Gáo (tính theo đường kính gốc F) </v>
          </cell>
        </row>
        <row r="896">
          <cell r="F896" t="str">
            <v>Cây gáo giống đủ tiêu chuẩn mới trồng, chiều cao cây  H ≥ 40cm</v>
          </cell>
        </row>
        <row r="897">
          <cell r="F897" t="str">
            <v>Cây gáo có đường kính gốc 1cm ≤ Φ &lt; 3cm</v>
          </cell>
        </row>
        <row r="898">
          <cell r="F898" t="str">
            <v>Cây gáo có đường kính gốc 3cm ≤ Φ &lt; 5cm</v>
          </cell>
        </row>
        <row r="899">
          <cell r="F899" t="str">
            <v>Cây gáo có đường kính gốc 5cm ≤ Φ &lt; 10cm</v>
          </cell>
        </row>
        <row r="900">
          <cell r="F900" t="str">
            <v>Cây gáo có đường kính gốc 10cm ≤ Φ &lt; 15cm</v>
          </cell>
        </row>
        <row r="901">
          <cell r="F901" t="str">
            <v>Cây gáo có đường kính gốc 15cm ≤ Φ &lt; 20cm</v>
          </cell>
        </row>
        <row r="902">
          <cell r="F902" t="str">
            <v xml:space="preserve">Cây gáo có đường kính gốc 20cm ≤ Φ &lt; 30cm </v>
          </cell>
        </row>
        <row r="903">
          <cell r="F903" t="str">
            <v xml:space="preserve">Cây gáo có đường kính gốc 30cm ≤ Φ &lt; 40cm </v>
          </cell>
        </row>
        <row r="904">
          <cell r="F904" t="str">
            <v>Cây gáo có đường kính gốc Φ ≥ 40cm</v>
          </cell>
        </row>
        <row r="905">
          <cell r="F905" t="str">
            <v>Đinh Lăng</v>
          </cell>
        </row>
        <row r="906">
          <cell r="F906" t="str">
            <v>Cây đinh lăng có chiều cao cây H &lt; 50cm</v>
          </cell>
        </row>
        <row r="907">
          <cell r="F907" t="str">
            <v>Cây đinh lăng có chiều cao cây 50cm ≤ H &lt; 100cm</v>
          </cell>
        </row>
        <row r="908">
          <cell r="F908" t="str">
            <v>Cây đinh lăng có chiều cao cây H ≥ 100cm</v>
          </cell>
        </row>
        <row r="909">
          <cell r="F909" t="str">
            <v>Thiên lý (tính theo m2 giàn, không bao gồm chi phí cọc bê tông cốt thép dựng giàn)</v>
          </cell>
        </row>
        <row r="910">
          <cell r="F910" t="str">
            <v>Đối với cây ươm, gieo hoặc cây trồng hàng năm xen dưới tán lá cây lâu năm (tính bình quân trên diện tích cây trồng chiếm chỗ)</v>
          </cell>
        </row>
        <row r="911">
          <cell r="F911" t="str">
            <v>Đối với lâm sản phụ trồng trên diện tích nông nghiệp do Nhà nước giao cho hộ đình, cá nhân để trồng, khoanh, nuôi, bảo vệ, tái sinh rừng, mà khi giao là đất trống, đồi núi trọc... hộ gia đình, cá nhân tự bỏ vốn đầu tư trồng rừng (tính bình quân trên diện tích cây trồng chiếm chỗ)</v>
          </cell>
        </row>
        <row r="912">
          <cell r="F912" t="str">
            <v>Muồng hoàng yến - Osaka vàng (tính theo đường kính gốc)</v>
          </cell>
        </row>
        <row r="913">
          <cell r="F913" t="str">
            <v>Cây muồng hoàng yến - Osaka vàng giống đủ tiêu chuẩn mới trồng, chiều cao cây  H ≤ 40cm</v>
          </cell>
        </row>
        <row r="914">
          <cell r="F914" t="str">
            <v>Cây muồng hoàng yến - Osaka vàng có đường kính gốc 1cm ≤ Φ &lt; 3cm</v>
          </cell>
        </row>
        <row r="915">
          <cell r="F915" t="str">
            <v>Cây muồng hoàng yến - Osaka vàng có đường kính gốc 3cm ≤ Φ &lt; 5cm</v>
          </cell>
        </row>
        <row r="916">
          <cell r="F916" t="str">
            <v>Cây muồng hoàng yến - Osaka vàng có đường kính gốc 5cm ≤ Φ &lt;10cm</v>
          </cell>
        </row>
        <row r="917">
          <cell r="F917" t="str">
            <v>Cây muồng hoàng yến - Osaka vàng có đường kính gốc 10cm ≤ Φ &lt; 15cm</v>
          </cell>
        </row>
        <row r="918">
          <cell r="F918" t="str">
            <v>Cây muồng hoàng yến - Osaka vàng có đường kính gốc 15cm ≤ Φ &lt; 20cm</v>
          </cell>
        </row>
        <row r="919">
          <cell r="F919" t="str">
            <v xml:space="preserve">Cây muồng hoàng yến - Osaka vàng có đường kính gốc 20cm ≤ Φ &lt; 30cm </v>
          </cell>
        </row>
        <row r="920">
          <cell r="F920" t="str">
            <v xml:space="preserve">Cây muồng hoàng yến - Osaka vàng có đường kính gốc 30cm ≤ Φ &lt; 40cm </v>
          </cell>
        </row>
        <row r="921">
          <cell r="F921" t="str">
            <v xml:space="preserve">Cây muồng hoàng yến - Osaka vàng có đường kính gốc Φ  ≥ 40cm </v>
          </cell>
        </row>
        <row r="922">
          <cell r="F922" t="str">
            <v>Bàng Đài Loan (tính theo đường kính gốc )</v>
          </cell>
        </row>
        <row r="923">
          <cell r="F923" t="str">
            <v>Cây bàng Đài Loan giống đủ tiêu chuẩn mới trồng, chiều cao cây  H ≤40cm</v>
          </cell>
        </row>
        <row r="924">
          <cell r="F924" t="str">
            <v>Cây bàng Đài Loan có đường kính gốc 1cm ≤ Φ &lt; 3cm</v>
          </cell>
        </row>
        <row r="925">
          <cell r="F925" t="str">
            <v xml:space="preserve">Cây bàng Đài Loan có đường kính gốc 3cm ≤ Φ &lt; 5cm </v>
          </cell>
        </row>
        <row r="926">
          <cell r="F926" t="str">
            <v>Cây bàng Đài Loan có đường kính gốc 5cm ≤ Φ &lt; 10cm</v>
          </cell>
        </row>
        <row r="927">
          <cell r="F927" t="str">
            <v>Cây bàng Đài Loan có đường kính gốc 10cm ≤ Φ &lt; 15cm</v>
          </cell>
        </row>
        <row r="928">
          <cell r="F928" t="str">
            <v>Cây bàng Đài Loan có đường kính gốc 15cm ≤ Φ &lt; 20cm</v>
          </cell>
        </row>
        <row r="929">
          <cell r="F929" t="str">
            <v xml:space="preserve">Cây bàng Đài Loan có đường kính gốc 20cm ≤ Φ &lt; 25cm </v>
          </cell>
        </row>
        <row r="930">
          <cell r="F930" t="str">
            <v xml:space="preserve">Cây bàng Đài Loan có đường kính gốc 25cm ≤ Φ &lt; 30cm </v>
          </cell>
        </row>
        <row r="931">
          <cell r="F931" t="str">
            <v xml:space="preserve">Cây bàng Đài Loan có đường kính gốc Φ ≥ 30cm </v>
          </cell>
        </row>
        <row r="932">
          <cell r="F932" t="str">
            <v xml:space="preserve">Hoa mẫu đơn ta  </v>
          </cell>
        </row>
        <row r="933">
          <cell r="F933" t="str">
            <v>Cây hoa mẫu đơn ta giống đủ tiêu chuẩn mới trồng, chiều cao cây  H &lt; 40cm</v>
          </cell>
        </row>
        <row r="934">
          <cell r="F934" t="str">
            <v xml:space="preserve">Cây hoa mẫu đơn ta giống đủ tiêu chuẩn mới trồng, chiều cao cây  40cm ≤ H &lt; 100cm </v>
          </cell>
        </row>
        <row r="935">
          <cell r="F935" t="str">
            <v xml:space="preserve">Cây hoa mẫu đơn ta giống đủ tiêu chuẩn mới trồng, chiều cao cây  H ≥ 100cm       </v>
          </cell>
        </row>
        <row r="936">
          <cell r="F936" t="str">
            <v>Cây hoa mẫu đơn ta có đường kính tán &lt;1m, gốc có 5-7 nhánh</v>
          </cell>
        </row>
        <row r="937">
          <cell r="F937" t="str">
            <v>Cây hoa mẫu đơn ta có đường kính tán từ 1,0m đến 1,2m gốc có 5-7 nhánh</v>
          </cell>
        </row>
        <row r="938">
          <cell r="F938" t="str">
            <v>Cây hoa mẫu đơn ta có đường kính tán  1,0m đến 1,2m, gốc có 8-10 nhánh</v>
          </cell>
        </row>
        <row r="939">
          <cell r="F939" t="str">
            <v>Cây hoa mẫu đơn ta có đường kính tán  1,3m đến 1,5 m, gốc có 8-10 nhánh</v>
          </cell>
        </row>
        <row r="940">
          <cell r="F940" t="str">
            <v>Cây hoa mẫu đơn ta có đường kính tán 1,6m đến 2m, gốc có trên 10 nhánh</v>
          </cell>
        </row>
        <row r="941">
          <cell r="F941" t="str">
            <v>Cây hoa mẫu đơn ta có đường kính tán 2,0m đến 2,2 m, gốc có trên 10 nhánh</v>
          </cell>
        </row>
        <row r="942">
          <cell r="F942" t="str">
            <v>Cây hoa mẫu đơn ta có đường kính tán &gt;2,2m đến 2,5m, gốc có trên 10 nhánh</v>
          </cell>
        </row>
        <row r="943">
          <cell r="F943" t="str">
            <v>Cây hoa mẫu đơn ta có đường kính tán &gt;2,5 m, gốc có trên 10 nhánh</v>
          </cell>
        </row>
        <row r="944">
          <cell r="F944" t="str">
            <v>Cây hoa hòe (tính theo đường kính tán)</v>
          </cell>
        </row>
        <row r="945">
          <cell r="F945" t="str">
            <v>Cây hoa hòe giống đủ tiêu chuẩn  mới trồng</v>
          </cell>
        </row>
        <row r="946">
          <cell r="F946" t="str">
            <v>Cây hoa hòe có đường kính tán 0,1m ≤ Φ &lt; 0,5m</v>
          </cell>
        </row>
        <row r="947">
          <cell r="F947" t="str">
            <v>Cây hoa hòe có đường kính tán 0,5m ≤ Φ &lt; 1m</v>
          </cell>
        </row>
        <row r="948">
          <cell r="F948" t="str">
            <v>Cây hoa hòe có đường kính tán 1m ≤ Φ &lt; 1,5m</v>
          </cell>
        </row>
        <row r="949">
          <cell r="F949" t="str">
            <v>Cây hoa hòe có đường kính tán 1,5m ≤ Φ &lt;2m</v>
          </cell>
        </row>
        <row r="950">
          <cell r="F950" t="str">
            <v>Cây hoa hòe có đường kính tán 2m ≤ Φ &lt; 3m</v>
          </cell>
        </row>
        <row r="951">
          <cell r="F951" t="str">
            <v>Cây hoa hòe có đường kính tán 3m ≤ Φ &lt; 4m</v>
          </cell>
        </row>
        <row r="952">
          <cell r="F952" t="str">
            <v>Cây hoa hòe có đường kính tán 4m ≤ Φ &lt; 5m</v>
          </cell>
        </row>
        <row r="953">
          <cell r="F953" t="str">
            <v>Cây hoa hòe có đường kính tán 5m ≤ Φ &lt; 6m</v>
          </cell>
        </row>
        <row r="954">
          <cell r="F954" t="str">
            <v>Cây hoa hòe có đường kính tán 6m ≤ Φ &lt; 7m</v>
          </cell>
        </row>
        <row r="955">
          <cell r="F955" t="str">
            <v>Cây hoa hòe có đường kính tán 7m ≤ Φ &lt; 8m</v>
          </cell>
        </row>
        <row r="956">
          <cell r="F956" t="str">
            <v>Cây hoa hòe có đường kính tán 8m ≤ Φ &lt; 9m</v>
          </cell>
        </row>
        <row r="957">
          <cell r="F957" t="str">
            <v>Cây hoa hòe có đường kính tán 9m ≤ Φ &lt; 12m</v>
          </cell>
        </row>
        <row r="958">
          <cell r="F958" t="str">
            <v>Cây hoa hòe có đường kính tán Φ ≥ 12m</v>
          </cell>
        </row>
        <row r="959">
          <cell r="F959" t="str">
            <v>Cây túc (tính theo đường kính gốc)</v>
          </cell>
        </row>
        <row r="960">
          <cell r="F960" t="str">
            <v>Cây túc giống đủ tiêu chuẩn mới trồng, chiều cao cây H &lt; 40cm</v>
          </cell>
        </row>
        <row r="961">
          <cell r="F961" t="str">
            <v>Cây túc đường kính gốc 1cm ≤ Φ &lt; 5cm</v>
          </cell>
        </row>
        <row r="962">
          <cell r="F962" t="str">
            <v>Cây túc đường kính gốc 5cm ≤ Φ &lt; 10cm</v>
          </cell>
        </row>
        <row r="963">
          <cell r="F963" t="str">
            <v xml:space="preserve">Cây túc đường kính gốc 10cm ≤ Φ &lt; 15cm  </v>
          </cell>
        </row>
        <row r="964">
          <cell r="F964" t="str">
            <v>Cây túc đường kính gốc 15cm ≤ Φ &lt; 20cm</v>
          </cell>
        </row>
        <row r="965">
          <cell r="F965" t="str">
            <v>Cây túc đường kính gốc 20cm ≤ Φ &lt; 25cm</v>
          </cell>
        </row>
        <row r="966">
          <cell r="F966" t="str">
            <v>Cây túc đường kính gốc 25cm ≤ Φ &lt; 30cm</v>
          </cell>
        </row>
        <row r="967">
          <cell r="F967" t="str">
            <v>Cây túc đường kính gốc 30cm ≤ Φ &lt; 35cm</v>
          </cell>
        </row>
        <row r="968">
          <cell r="F968" t="str">
            <v>Cây túc đường kính gốc Φ ≥ 35cm</v>
          </cell>
        </row>
        <row r="969">
          <cell r="F969" t="str">
            <v>Tùng ấn độ  (tính theo đường kính gốc)</v>
          </cell>
        </row>
        <row r="970">
          <cell r="F970" t="str">
            <v>Cây tùng ấn độ giống đủ tiêu chuẩn mới trồng, chiều cao cây H &lt; 40cm</v>
          </cell>
        </row>
        <row r="971">
          <cell r="F971" t="str">
            <v>Cây tùng ấn độ có đường kính gốc 1cm ≤ Φ &lt; 3cm</v>
          </cell>
        </row>
        <row r="972">
          <cell r="F972" t="str">
            <v>Cây tùng ấn độ có đường kính gốc 3cm ≤ Φ &lt; 5cm</v>
          </cell>
        </row>
        <row r="973">
          <cell r="F973" t="str">
            <v>Cây tùng ấn độ có đường kính gốc 5cm ≤ Φ &lt; 10cm</v>
          </cell>
        </row>
        <row r="974">
          <cell r="F974" t="str">
            <v>Cây tùng ấn độ có đường kính gốc 10cm ≤ Φ &lt; 15cm</v>
          </cell>
        </row>
        <row r="975">
          <cell r="F975" t="str">
            <v>Cây tùng ấn độ có đường kính gốc Φ ≥ 15cm</v>
          </cell>
        </row>
        <row r="976">
          <cell r="F976" t="str">
            <v>Cây Xạ đen (tính theo đường kính tán)</v>
          </cell>
        </row>
        <row r="977">
          <cell r="F977" t="str">
            <v>Cây xạ đen giống đủ tiêu chuẩn  mới trồng</v>
          </cell>
        </row>
        <row r="978">
          <cell r="F978" t="str">
            <v>Cây xạ đen có đường kính tán 0,1 ≤ Φ &lt; 0,5m</v>
          </cell>
        </row>
        <row r="979">
          <cell r="F979" t="str">
            <v>Cây xạ đen có đường kính tán 0,5m ≤ Φ &lt; 1m</v>
          </cell>
        </row>
        <row r="980">
          <cell r="F980" t="str">
            <v>Cây xạ đen có đường kính tán 1m ≤ Φ &lt; 1,5m</v>
          </cell>
        </row>
        <row r="981">
          <cell r="F981" t="str">
            <v>Cây xạ đen có đường kính tán 1,5m ≤ Φ &lt; 2m</v>
          </cell>
        </row>
        <row r="982">
          <cell r="F982" t="str">
            <v>Cây xạ đen có đường kính tán 2m ≤ Φ &lt; 3m</v>
          </cell>
        </row>
        <row r="983">
          <cell r="F983" t="str">
            <v>Cây xạ đen có đường kính tán 3m ≤ Φ &lt; 4m</v>
          </cell>
        </row>
        <row r="984">
          <cell r="F984" t="str">
            <v>Cây xạ đen có đường kính tán Φ ≥ 4m</v>
          </cell>
        </row>
        <row r="985">
          <cell r="F985" t="str">
            <v>Cây Hải đường (tính theo đường kính gốc)</v>
          </cell>
        </row>
        <row r="986">
          <cell r="F986" t="str">
            <v>Cây hải đường giống đủ tiêu chuẩn mới trồng</v>
          </cell>
        </row>
        <row r="987">
          <cell r="F987" t="str">
            <v>Cây hải đường có đường kính gốc 1cm ≤ Φ &lt; 3cm</v>
          </cell>
        </row>
        <row r="988">
          <cell r="F988" t="str">
            <v>Cây hải đường có đường kính gốc 3cm ≤ Φ &lt; 5cm</v>
          </cell>
        </row>
        <row r="989">
          <cell r="F989" t="str">
            <v>Cây hải đường có đường kính gốc 5cm ≤ Φ &lt; 7cm</v>
          </cell>
        </row>
        <row r="990">
          <cell r="F990" t="str">
            <v>Cây hải đường có đường kính gốc 7cm ≤ Φ &lt; 9cm</v>
          </cell>
        </row>
        <row r="991">
          <cell r="F991" t="str">
            <v>Cây hải đường có đường kính gốc Φ ≥ 9cm</v>
          </cell>
        </row>
        <row r="992">
          <cell r="F992" t="str">
            <v>Cây cóc (tính theo đường kính gốc)</v>
          </cell>
        </row>
        <row r="993">
          <cell r="F993" t="str">
            <v>Cây cóc có đường kính gốc 1cm ≤ Φ &lt; 2cm</v>
          </cell>
        </row>
        <row r="994">
          <cell r="F994" t="str">
            <v>Cây cóc có đường kính gốc 2cm ≤ Φ &lt; 5cm</v>
          </cell>
        </row>
        <row r="995">
          <cell r="F995" t="str">
            <v>Cây cóc có đường kính gốc 5cm ≤ Φ &lt; 7cm</v>
          </cell>
        </row>
        <row r="996">
          <cell r="F996" t="str">
            <v>Cây cóc có đường kính gốc Φ ≥ 7cm</v>
          </cell>
        </row>
        <row r="997">
          <cell r="F997" t="str">
            <v>Cây tùng cối (tính theo đường kính gốc)</v>
          </cell>
        </row>
        <row r="998">
          <cell r="F998" t="str">
            <v>Cây tùng cối có đường kính gốc 1cm ≤ Φ &lt; 2cm</v>
          </cell>
        </row>
        <row r="999">
          <cell r="F999" t="str">
            <v>Cây tùng cối có đường kính gốc 2cm ≤ Φ &lt; 5cm</v>
          </cell>
        </row>
        <row r="1000">
          <cell r="F1000" t="str">
            <v>Cây tùng cối có đường kính gốc 5cm ≤ Φ &lt; 7cm</v>
          </cell>
        </row>
        <row r="1001">
          <cell r="F1001" t="str">
            <v>Cây tùng cối có đường kính gốc Φ ≥ 7cm</v>
          </cell>
        </row>
        <row r="1002">
          <cell r="F1002" t="str">
            <v>Cây vạn tuế (tính theo đường kính gốc)</v>
          </cell>
        </row>
        <row r="1003">
          <cell r="F1003" t="str">
            <v>Cây vạn tuế có đường kính gốc  Φ &lt; 10cm</v>
          </cell>
        </row>
        <row r="1004">
          <cell r="F1004" t="str">
            <v>Cây vạn tuế có đường kính gốc 10cm ≤ Φ &lt; 20cm</v>
          </cell>
        </row>
        <row r="1005">
          <cell r="F1005" t="str">
            <v>Cây vạn tuế có đường kính gốc 20cm ≤ Φ &lt; 30cm</v>
          </cell>
        </row>
        <row r="1006">
          <cell r="F1006" t="str">
            <v>Cây vạn tuế có đường kính gốc Φ ≥ 30cm</v>
          </cell>
        </row>
        <row r="1007">
          <cell r="F1007" t="str">
            <v>Cây cóc (tính theo đường kính gốc)</v>
          </cell>
        </row>
        <row r="1008">
          <cell r="F1008" t="str">
            <v>Di chuyển chậu có đường kính &lt; 0,5m</v>
          </cell>
        </row>
        <row r="1009">
          <cell r="F1009" t="str">
            <v xml:space="preserve">Di chuyển chậu có đường kính 0,5m ≤ Φ &lt; 0,7m </v>
          </cell>
        </row>
        <row r="1010">
          <cell r="F1010" t="str">
            <v xml:space="preserve">Di chuyển chậu có đường kính 0,7m ≤ Φ &lt; 1m </v>
          </cell>
        </row>
        <row r="1011">
          <cell r="F1011" t="str">
            <v xml:space="preserve">Di chuyển chậu có đường kính 1m ≤ Φ &lt; 1,5m </v>
          </cell>
        </row>
        <row r="1012">
          <cell r="F1012" t="str">
            <v xml:space="preserve">Di chuyển chậu có đường kính ≥ 1,5m </v>
          </cell>
        </row>
        <row r="1013">
          <cell r="F1013" t="str">
            <v>Quất cảnh (tính theo đường kính tán lá Φ)</v>
          </cell>
        </row>
        <row r="1014">
          <cell r="F1014" t="str">
            <v>Cây giống đủ tiêu chuẩn mới trồng</v>
          </cell>
        </row>
        <row r="1015">
          <cell r="F1015" t="str">
            <v>Cây có đường kính tán 0,7m ≤ Φ &lt; 1m</v>
          </cell>
        </row>
        <row r="1016">
          <cell r="F1016" t="str">
            <v>Cây có đường kính tán 1m ≤ Φ &lt; 1,5m</v>
          </cell>
        </row>
        <row r="1017">
          <cell r="F1017" t="str">
            <v>Cây có đường kính tán 1,5m ≤ Φ &lt; 2m</v>
          </cell>
        </row>
        <row r="1018">
          <cell r="F1018" t="str">
            <v>Cây có đường kính tán Φ ≥ 2m</v>
          </cell>
        </row>
        <row r="1019">
          <cell r="F1019" t="str">
            <v>Cây cảnh làm giống</v>
          </cell>
        </row>
        <row r="1020">
          <cell r="F1020" t="str">
            <v xml:space="preserve">Cây giống đào, hoa cảnh </v>
          </cell>
        </row>
        <row r="1021">
          <cell r="F1021" t="str">
            <v>Gieo, ươm hạt thành luống chưa ghép</v>
          </cell>
        </row>
        <row r="1022">
          <cell r="F1022" t="str">
            <v xml:space="preserve">Gieo, ươm hạt thành luống đã ghép </v>
          </cell>
        </row>
        <row r="1023">
          <cell r="F1023" t="str">
            <v>Cây giống đào hoa cảnh đã ghép đủ tiêu chuẩn</v>
          </cell>
        </row>
        <row r="1024">
          <cell r="F1024" t="str">
            <v xml:space="preserve">Cây giống trồng từ đào mạ, không ghép trồng thành luống </v>
          </cell>
        </row>
        <row r="1025">
          <cell r="F1025" t="str">
            <v>Cây giống lộc vừng, sanh, si</v>
          </cell>
        </row>
        <row r="1026">
          <cell r="F1026" t="str">
            <v>Cây gieo ươm từ hạt</v>
          </cell>
        </row>
        <row r="1027">
          <cell r="F1027" t="str">
            <v>Giống ươm gieo hạt chiều cao cây H &lt; 20cm</v>
          </cell>
        </row>
        <row r="1028">
          <cell r="F1028" t="str">
            <v xml:space="preserve">Giống ươm gieo hạt chiều cao cây H ≥ 20cm </v>
          </cell>
        </row>
        <row r="1029">
          <cell r="F1029" t="str">
            <v>Từ cây ươm gieo hạt tách ra đựng trong bầu nilong hoặc trồng thành luống</v>
          </cell>
        </row>
        <row r="1030">
          <cell r="F1030" t="str">
            <v xml:space="preserve">Chiều cao cây 20cm  ≤ H &lt; 50cm </v>
          </cell>
        </row>
        <row r="1031">
          <cell r="F1031" t="str">
            <v>Chiều cao cây 50cm  ≤ H &lt; 70cm</v>
          </cell>
        </row>
        <row r="1032">
          <cell r="F1032" t="str">
            <v xml:space="preserve">Chiều cao cây 70cm  ≤ H &lt;100cm </v>
          </cell>
        </row>
        <row r="1033">
          <cell r="F1033" t="str">
            <v>Cây giống cau cảnh</v>
          </cell>
        </row>
        <row r="1034">
          <cell r="F1034" t="str">
            <v>Cây gieo ươm từ hạt</v>
          </cell>
        </row>
        <row r="1035">
          <cell r="F1035" t="str">
            <v>Giống ươm gieo hạt thành luống, vạt chiều cao cây H &lt; 20cm</v>
          </cell>
        </row>
        <row r="1036">
          <cell r="F1036" t="str">
            <v xml:space="preserve">Giống ươm gieo hạt thành luống, vạt chiều cao cây H ≥ 20cm </v>
          </cell>
        </row>
        <row r="1037">
          <cell r="F1037" t="str">
            <v>Từ cây ươm gieo hạt tách ra đựng trong bầu nilong hoặc trồng thành luống</v>
          </cell>
        </row>
        <row r="1038">
          <cell r="F1038" t="str">
            <v>Chiều cao cây H &lt; 20cm</v>
          </cell>
        </row>
        <row r="1039">
          <cell r="F1039" t="str">
            <v>Chiều cao cây 20cm  ≤ H &lt; 50cm</v>
          </cell>
        </row>
        <row r="1040">
          <cell r="F1040" t="str">
            <v xml:space="preserve">Chiều cao cây H ≥ 50cm </v>
          </cell>
        </row>
        <row r="1041">
          <cell r="F1041" t="str">
            <v>Đào tán (đào hoa cảnh có đặc điểm tán lá hình tròn, hình tháp, thân chính không uốn tạo thế phát triển tự nhiên, chỉ cắt tỉa cành nhỏ; trồng trên đất đã được chuyển mục đích theo quy định, bao gồm: Đào cây, các loại cây khác trồng xen canh, bể chứa nước, bể chứa phân…tính trên diện tích 1 sào =360m2).</v>
          </cell>
        </row>
        <row r="1042">
          <cell r="F1042" t="str">
            <v xml:space="preserve">Đào tán loại 1 (số cây có đường kính tán từ 0,8m đến 1m, cao từ 1m đến 1,5m chiếm trên 50% diện tích; quy đổi 1 cây/1,8m2) </v>
          </cell>
        </row>
        <row r="1043">
          <cell r="F1043" t="str">
            <v xml:space="preserve">Đào tán loại 2 (số cây có đường kính tán từ 0,8m đến 1m, cao từ 1m đến 1,5m chiếm từ 40% đến 50% diện tích; quy đổi 1 cây/1,8m2) </v>
          </cell>
        </row>
        <row r="1044">
          <cell r="F1044" t="str">
            <v xml:space="preserve">Đào tán loại 3 (số cây có đường kính tán từ 0,8m đến 1m, cao từ 1m đến 1,5m chiếm từ 30% đến 40% diện tích; quy đổi 1 cây/1,8m2) </v>
          </cell>
        </row>
        <row r="1045">
          <cell r="F1045" t="str">
            <v xml:space="preserve">Đào tán loại 4 (số cây có đường kính tán từ 0,8m đến 1m, cao từ 1m đến 1,5m chiếm dưới 30% diện tích; quy đổi 1 cây/1,2m2) </v>
          </cell>
        </row>
        <row r="1046">
          <cell r="F1046" t="str">
            <v>Đào thế (đào trồng trên đất đã được chuyển mục đích theo quy định, bao gồm: Đào cây, các loại cây khác trồng xen canh, bể chứa nước, bể chứa phân…tính trên diện tích 1 sào =360m2)</v>
          </cell>
        </row>
        <row r="1047">
          <cell r="F1047" t="str">
            <v xml:space="preserve">Đào thế loại 1 (số cây có chiều cao từ 1m đến 1,5m chiếm trên 50% diện tích; quy đổi 1 cây/1,8m2) </v>
          </cell>
        </row>
        <row r="1048">
          <cell r="F1048" t="str">
            <v xml:space="preserve">Đào thế loại 2 (số cây có chiều cao từ 1m đến 1,5m chiếm từ 40% đến 50% diện tích; quy đổi 1 cây/1,8m2) </v>
          </cell>
        </row>
        <row r="1049">
          <cell r="F1049" t="str">
            <v xml:space="preserve">Đào thế loại 3 (số cây có chiều cao từ 1m đến 1,5m chiếm dưới 40% diện tích; quy đổi 1 cây/1,2m2) </v>
          </cell>
        </row>
        <row r="1050">
          <cell r="F1050" t="str">
            <v>Cỏ cảnh lá tre, cỏ nhung (trồng dày đặc)</v>
          </cell>
        </row>
        <row r="1051">
          <cell r="F1051" t="str">
            <v>Hương nhu, lá ngải, lá nếp, lưỡi hổ, láng tía, ngũ gia bì</v>
          </cell>
        </row>
        <row r="1052">
          <cell r="F1052" t="str">
            <v>Trầu không</v>
          </cell>
        </row>
        <row r="1053">
          <cell r="F1053" t="str">
            <v>Hương bài</v>
          </cell>
        </row>
        <row r="1054">
          <cell r="F1054" t="str">
            <v>GIỐNG CÂY ĂN QUẢ</v>
          </cell>
        </row>
        <row r="1055">
          <cell r="F1055" t="str">
            <v>Thanh long</v>
          </cell>
        </row>
        <row r="1056">
          <cell r="F1056" t="str">
            <v>Cành thanh long mới ươm chưa ra rễ</v>
          </cell>
        </row>
        <row r="1057">
          <cell r="F1057" t="str">
            <v>Cây thanh long ươm đã ra rễ và mầm, thời gian trồng &lt;  01 tháng</v>
          </cell>
        </row>
        <row r="1058">
          <cell r="F1058" t="str">
            <v>Cây thanh long ươm đã ra rễ và mầm, từ 01 tháng đến &lt; 02 tháng</v>
          </cell>
        </row>
        <row r="1059">
          <cell r="F1059" t="str">
            <v>Cây thanh long ươm đã ra rễ và mầm, thời gian trồng ≥ 02 tháng</v>
          </cell>
        </row>
        <row r="1060">
          <cell r="F1060" t="str">
            <v>Cây thanh long có chiều cao thân ≥ 0,7m (chưa ra quả)</v>
          </cell>
        </row>
        <row r="1061">
          <cell r="F1061" t="str">
            <v>Cây thanh long có chiều cao thân ≥ 0,7m (đã có quả)</v>
          </cell>
        </row>
        <row r="1062">
          <cell r="F1062" t="str">
            <v>Cây giống cây ăn quả</v>
          </cell>
        </row>
        <row r="1063">
          <cell r="F1063" t="str">
            <v>Loại ươm gieo hạt (thành luống, dảnh)</v>
          </cell>
        </row>
        <row r="1064">
          <cell r="F1064" t="str">
            <v xml:space="preserve">Chiều cao cây H &lt; 20cm </v>
          </cell>
        </row>
        <row r="1065">
          <cell r="F1065" t="str">
            <v>Chiều cao cây H ≥ 20cm</v>
          </cell>
        </row>
        <row r="1066">
          <cell r="F1066" t="str">
            <v>Cây giống vải, nhãn, doi, bưởi, thị, na, xoài, muỗm, quéo, trứng gà, sấu, táo, ổi, chay, me, khế, mận, mơ (từ cây ươm gieo hạt, đựng trong bầu nilon hoặc trồng thành luống chưa ghép)</v>
          </cell>
        </row>
        <row r="1067">
          <cell r="F1067" t="str">
            <v>Chiều cao cây H &lt; 40cm</v>
          </cell>
        </row>
        <row r="1068">
          <cell r="F1068" t="str">
            <v>Chiều cao cây 40cm ≤ H &lt; 100cm</v>
          </cell>
        </row>
        <row r="1069">
          <cell r="F1069" t="str">
            <v xml:space="preserve">Chiều cao cây H ≥ 100cm </v>
          </cell>
        </row>
        <row r="1070">
          <cell r="F1070" t="str">
            <v>Cây giống vải, nhãn, cam, bưởi, táo, ổi, khế (gieo hạt ươm thành luống đã ghép)</v>
          </cell>
        </row>
        <row r="1071">
          <cell r="F1071" t="str">
            <v>Chiều cao cây H &lt; 40cm</v>
          </cell>
        </row>
        <row r="1072">
          <cell r="F1072" t="str">
            <v>Chiều cao cây 40cm  ≤ H &lt; 100cm</v>
          </cell>
        </row>
        <row r="1073">
          <cell r="F1073" t="str">
            <v>Chiều cao cây H ≥ 100cm</v>
          </cell>
        </row>
        <row r="1074">
          <cell r="F1074" t="str">
            <v>Cây giống vải, nhãn, cam, bưởi, doi, hồng xiêm ... đang chiết cành (đã có rễ) chưa đem trồng</v>
          </cell>
        </row>
        <row r="1075">
          <cell r="F1075" t="str">
            <v>Giống Vải, Nhãn đã chiết cành, đã đem dâm ra vườn</v>
          </cell>
        </row>
        <row r="1076">
          <cell r="F1076" t="str">
            <v>Chiều cao cây H &lt; 40cm</v>
          </cell>
        </row>
        <row r="1077">
          <cell r="F1077" t="str">
            <v>Chiều cao cây 40cm  ≤ H &lt; 1,0m</v>
          </cell>
        </row>
        <row r="1078">
          <cell r="F1078" t="str">
            <v xml:space="preserve">Chiều cao cây H ≥ 1,0m </v>
          </cell>
        </row>
        <row r="1079">
          <cell r="F1079" t="str">
            <v>Cây giống cam, bưởi, doi, hồng xiêm đã chiết cành dâm ra vườn</v>
          </cell>
        </row>
        <row r="1080">
          <cell r="F1080" t="str">
            <v>Cây giống cây lấy gỗ, cây lấy lá…ươm gieo hạt thành luống, vạt</v>
          </cell>
        </row>
        <row r="1081">
          <cell r="F1081" t="str">
            <v xml:space="preserve">Chiều cao cây H &lt; 20cm </v>
          </cell>
        </row>
        <row r="1082">
          <cell r="F1082" t="str">
            <v>Cây quất ăn quả đường kính tán Φ ≥ 5m</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 đợt 2"/>
      <sheetName val="Đơn giá cây cối"/>
      <sheetName val="Nguồn gốc đợt 2"/>
      <sheetName val="nguồn gốc d2"/>
      <sheetName val="2. Thọ"/>
      <sheetName val="4. Toàn"/>
      <sheetName val="6. Viên"/>
      <sheetName val="16.17. Ý - Lai"/>
      <sheetName val="19. Lan"/>
      <sheetName val="23.31. Điền - Thảo"/>
      <sheetName val="24. Tuấn (Hằng)"/>
      <sheetName val="26. Vóc"/>
      <sheetName val="28. Thinh"/>
      <sheetName val="35. Hệ - Sửu"/>
      <sheetName val="37. Chấn - Khê"/>
      <sheetName val="64.65. Hân -Thơm"/>
      <sheetName val="68. Hậu"/>
      <sheetName val="89. Dân"/>
      <sheetName val="115.121 Quân"/>
      <sheetName val="116.Cẩn-Luân"/>
      <sheetName val="132.Khôi - Phước"/>
      <sheetName val="133.2.La"/>
      <sheetName val="149. Hà - Huyền"/>
      <sheetName val="154 Thiết"/>
      <sheetName val="155. Tuyền"/>
      <sheetName val="THPA"/>
      <sheetName val="156. Kiểm"/>
      <sheetName val="164.205 Trúy"/>
      <sheetName val="170. Máng"/>
      <sheetName val="171 Ngoan Tĩnh"/>
      <sheetName val="204. Tư - Mai"/>
      <sheetName val="209. Quỳnh - Mai"/>
      <sheetName val="210. Tám - Hà"/>
      <sheetName val="211. Cư"/>
      <sheetName val="214. Lộc"/>
      <sheetName val="230.Từ"/>
      <sheetName val="247.nền"/>
      <sheetName val="268.269. Trọng"/>
    </sheetNames>
    <sheetDataSet>
      <sheetData sheetId="0"/>
      <sheetData sheetId="1">
        <row r="2">
          <cell r="A2" t="str">
            <v>Lúa các loại</v>
          </cell>
        </row>
        <row r="3">
          <cell r="A3" t="str">
            <v>Ngô các loại</v>
          </cell>
        </row>
        <row r="4">
          <cell r="A4" t="str">
            <v>Khoai lang</v>
          </cell>
        </row>
        <row r="5">
          <cell r="A5" t="str">
            <v>Khoai tây</v>
          </cell>
        </row>
        <row r="6">
          <cell r="A6" t="str">
            <v>Sắn mì</v>
          </cell>
        </row>
        <row r="7">
          <cell r="A7" t="str">
            <v xml:space="preserve">Khoai môn </v>
          </cell>
        </row>
        <row r="8">
          <cell r="A8" t="str">
            <v>Khoai sọ</v>
          </cell>
        </row>
        <row r="9">
          <cell r="A9" t="str">
            <v>Sắn dây</v>
          </cell>
        </row>
        <row r="10">
          <cell r="A10" t="str">
            <v>Củ ấu</v>
          </cell>
        </row>
        <row r="11">
          <cell r="A11" t="str">
            <v>Cây mía</v>
          </cell>
        </row>
        <row r="12">
          <cell r="A12" t="str">
            <v>Cây thuốc lào</v>
          </cell>
        </row>
        <row r="13">
          <cell r="A13" t="str">
            <v>Đay</v>
          </cell>
        </row>
        <row r="14">
          <cell r="A14" t="str">
            <v>Gai, dứa sợi</v>
          </cell>
        </row>
        <row r="15">
          <cell r="A15" t="str">
            <v>Đậu tương</v>
          </cell>
        </row>
        <row r="16">
          <cell r="A16" t="str">
            <v>Lạc</v>
          </cell>
        </row>
        <row r="17">
          <cell r="A17" t="str">
            <v>Vừng</v>
          </cell>
        </row>
        <row r="18">
          <cell r="A18" t="str">
            <v xml:space="preserve">Rau muống </v>
          </cell>
        </row>
        <row r="19">
          <cell r="A19" t="str">
            <v>Cải các loại</v>
          </cell>
        </row>
        <row r="20">
          <cell r="A20" t="str">
            <v>Rau mùng tơi</v>
          </cell>
        </row>
        <row r="21">
          <cell r="A21" t="str">
            <v>Rau ngót</v>
          </cell>
        </row>
        <row r="22">
          <cell r="A22" t="str">
            <v>Bắp cải</v>
          </cell>
        </row>
        <row r="23">
          <cell r="A23" t="str">
            <v>Rau dền</v>
          </cell>
        </row>
        <row r="24">
          <cell r="A24" t="str">
            <v>Súp lơ/bông cải</v>
          </cell>
        </row>
        <row r="25">
          <cell r="A25" t="str">
            <v>Dưa hấu</v>
          </cell>
        </row>
        <row r="26">
          <cell r="A26" t="str">
            <v>Dưa lê</v>
          </cell>
        </row>
        <row r="27">
          <cell r="A27" t="str">
            <v>Dưa vàng</v>
          </cell>
        </row>
        <row r="28">
          <cell r="A28" t="str">
            <v>Đậu đũa</v>
          </cell>
        </row>
        <row r="29">
          <cell r="A29" t="str">
            <v>Đậu co-ve</v>
          </cell>
        </row>
        <row r="30">
          <cell r="A30" t="str">
            <v>Đậu Hà Lan</v>
          </cell>
        </row>
        <row r="31">
          <cell r="A31" t="str">
            <v>Dưa chuột</v>
          </cell>
        </row>
        <row r="32">
          <cell r="A32" t="str">
            <v>Cà chua</v>
          </cell>
        </row>
        <row r="33">
          <cell r="A33" t="str">
            <v>Bí đỏ (Bí ngô)</v>
          </cell>
        </row>
        <row r="34">
          <cell r="A34" t="str">
            <v>Bí xanh</v>
          </cell>
        </row>
        <row r="35">
          <cell r="A35" t="str">
            <v>Bầu</v>
          </cell>
        </row>
        <row r="36">
          <cell r="A36" t="str">
            <v>Mướp</v>
          </cell>
        </row>
        <row r="37">
          <cell r="A37" t="str">
            <v>Su su</v>
          </cell>
        </row>
        <row r="38">
          <cell r="A38" t="str">
            <v>Ớt trái ngọt</v>
          </cell>
        </row>
        <row r="39">
          <cell r="A39" t="str">
            <v>Cà tím, cà pháo</v>
          </cell>
        </row>
        <row r="40">
          <cell r="A40" t="str">
            <v>Mướp đắng</v>
          </cell>
        </row>
        <row r="41">
          <cell r="A41" t="str">
            <v>Su hào</v>
          </cell>
        </row>
        <row r="42">
          <cell r="A42" t="str">
            <v>Cà rốt</v>
          </cell>
        </row>
        <row r="43">
          <cell r="A43" t="str">
            <v>Củ cải</v>
          </cell>
        </row>
        <row r="44">
          <cell r="A44" t="str">
            <v>Tỏi lấy củ</v>
          </cell>
        </row>
        <row r="45">
          <cell r="A45" t="str">
            <v>Hành tây</v>
          </cell>
        </row>
        <row r="46">
          <cell r="A46" t="str">
            <v>Hành hoa</v>
          </cell>
        </row>
        <row r="47">
          <cell r="A47" t="str">
            <v>Hành củ</v>
          </cell>
        </row>
        <row r="48">
          <cell r="A48" t="str">
            <v>Rau cần ta</v>
          </cell>
        </row>
        <row r="49">
          <cell r="A49" t="str">
            <v>Củ đậu</v>
          </cell>
        </row>
        <row r="50">
          <cell r="A50" t="str">
            <v>Rau tỏi tây</v>
          </cell>
        </row>
        <row r="51">
          <cell r="A51" t="str">
            <v>Măng tây</v>
          </cell>
        </row>
        <row r="52">
          <cell r="A52" t="str">
            <v>Cần tây</v>
          </cell>
        </row>
        <row r="53">
          <cell r="A53" t="str">
            <v>Củ rền</v>
          </cell>
        </row>
        <row r="54">
          <cell r="A54" t="str">
            <v>Ớt cay</v>
          </cell>
        </row>
        <row r="55">
          <cell r="A55" t="str">
            <v>Gừng</v>
          </cell>
        </row>
        <row r="56">
          <cell r="A56" t="str">
            <v>Riềng</v>
          </cell>
        </row>
        <row r="57">
          <cell r="A57" t="str">
            <v>Rau gia vị khác (Rau mùi, thì là, mùi tàu, tía tô...)</v>
          </cell>
        </row>
        <row r="58">
          <cell r="A58" t="str">
            <v>Ngải cứu</v>
          </cell>
        </row>
        <row r="59">
          <cell r="A59" t="str">
            <v>Nghệ</v>
          </cell>
        </row>
        <row r="60">
          <cell r="A60" t="str">
            <v>Sả</v>
          </cell>
        </row>
        <row r="61">
          <cell r="A61" t="str">
            <v>Sen lấy hạt</v>
          </cell>
        </row>
        <row r="62">
          <cell r="A62" t="str">
            <v xml:space="preserve">Cây vải loại cây ghép có chiều cao cây 40cm ≤ H &lt; 1m  </v>
          </cell>
        </row>
        <row r="63">
          <cell r="A63" t="str">
            <v xml:space="preserve">Cây vải loại cây ghép có chiều cao cây  H ≥ 1m  </v>
          </cell>
        </row>
        <row r="64">
          <cell r="A64" t="str">
            <v xml:space="preserve">Cây vải loại cây chiết cành có chiều cao  40cm ≤ H &lt; 1m  </v>
          </cell>
        </row>
        <row r="65">
          <cell r="A65" t="str">
            <v xml:space="preserve">Cây vải loại cây chiết cành có chiều cao cây  H ≥ 1m  </v>
          </cell>
        </row>
        <row r="66">
          <cell r="A66" t="str">
            <v>Cây vải đường kính tán 0,7m ≤ Φ &lt; 1m</v>
          </cell>
        </row>
        <row r="67">
          <cell r="A67" t="str">
            <v>Cây vải đường kính tán 1m ≤ Φ &lt; 2m</v>
          </cell>
        </row>
        <row r="68">
          <cell r="A68" t="str">
            <v>Cây vải đường kính tán 2m ≤ Φ &lt; 3m</v>
          </cell>
        </row>
        <row r="69">
          <cell r="A69" t="str">
            <v>Cây vải đường kính tán 3m ≤ Φ &lt; 4m</v>
          </cell>
        </row>
        <row r="70">
          <cell r="A70" t="str">
            <v>Cây vải đường kính tán 4m ≤ Φ &lt; 5m</v>
          </cell>
        </row>
        <row r="71">
          <cell r="A71" t="str">
            <v>Cây vải đường kính tán 5m ≤ Φ &lt; 6m</v>
          </cell>
        </row>
        <row r="72">
          <cell r="A72" t="str">
            <v>Cây vải đường kính tán 6m ≤ Φ &lt; 7m</v>
          </cell>
        </row>
        <row r="73">
          <cell r="A73" t="str">
            <v>Cây vải đường kính tán 7m ≤ Φ &lt; 8m</v>
          </cell>
        </row>
        <row r="74">
          <cell r="A74" t="str">
            <v>Cây vải đường kính tán 8m ≤ Φ &lt; 9m</v>
          </cell>
        </row>
        <row r="75">
          <cell r="A75" t="str">
            <v>Cây vải đường kính tán 9m ≤ Φ &lt; 10m</v>
          </cell>
        </row>
        <row r="76">
          <cell r="A76" t="str">
            <v>Cây vải đường kính tán 10m ≤ Φ &lt; 15m</v>
          </cell>
        </row>
        <row r="77">
          <cell r="A77" t="str">
            <v>Cây vải đường kính tán Φ ≥ 15m</v>
          </cell>
        </row>
        <row r="78">
          <cell r="A78" t="str">
            <v xml:space="preserve">Cây nhãn loại cây ghép có chiều cao cây 40cm ≤ H &lt; 1m  </v>
          </cell>
        </row>
        <row r="79">
          <cell r="A79" t="str">
            <v xml:space="preserve">Cây nhãn loại cây ghép có chiều cao cây  H ≥ 1m  </v>
          </cell>
        </row>
        <row r="80">
          <cell r="A80" t="str">
            <v xml:space="preserve">Cây nhãn loại cây chiết cành có chiều cao  40cm ≤ H &lt; 1m  </v>
          </cell>
        </row>
        <row r="81">
          <cell r="A81" t="str">
            <v xml:space="preserve">Cây nhãn loại cây chiết cành có chiều cao cây  H ≥ 1m  </v>
          </cell>
        </row>
        <row r="82">
          <cell r="A82" t="str">
            <v xml:space="preserve">Cây nhãn đường kính tán 0,7m ≤ Φ &lt; 1m </v>
          </cell>
        </row>
        <row r="83">
          <cell r="A83" t="str">
            <v xml:space="preserve">Cây nhãn đường kính tán 1m ≤ Φ &lt; 1,5m </v>
          </cell>
        </row>
        <row r="84">
          <cell r="A84" t="str">
            <v xml:space="preserve">Cây nhãn đường kính tán 1,5m ≤ Φ &lt; 2m </v>
          </cell>
        </row>
        <row r="85">
          <cell r="A85" t="str">
            <v xml:space="preserve">Cây nhãn đường kính tán 2m ≤ Φ &lt; 3m </v>
          </cell>
        </row>
        <row r="86">
          <cell r="A86" t="str">
            <v>Cây nhãn đường kính tán 3m ≤ Φ &lt; 4m</v>
          </cell>
        </row>
        <row r="87">
          <cell r="A87" t="str">
            <v>Cây nhãn đường kính tán 4m ≤ Φ &lt; 5m</v>
          </cell>
        </row>
        <row r="88">
          <cell r="A88" t="str">
            <v>Cây nhãn đường kính tán 5m ≤ Φ &lt; 6m</v>
          </cell>
        </row>
        <row r="89">
          <cell r="A89" t="str">
            <v>Cây nhãn đường kính tán 6m ≤ Φ &lt; 7m</v>
          </cell>
        </row>
        <row r="90">
          <cell r="A90" t="str">
            <v>Cây nhãn đường kính tán 7m ≤ Φ &lt; 8m</v>
          </cell>
        </row>
        <row r="91">
          <cell r="A91" t="str">
            <v>Cây nhãn đường kính tán 8m ≤ Φ &lt; 9m</v>
          </cell>
        </row>
        <row r="92">
          <cell r="A92" t="str">
            <v>Cây nhãn đường kính tán 9m ≤ Φ &lt; 12m</v>
          </cell>
        </row>
        <row r="93">
          <cell r="A93" t="str">
            <v>Cây nhãn đường kính tán Φ ≥ 12m</v>
          </cell>
        </row>
        <row r="94">
          <cell r="A94" t="str">
            <v>Mít (tính theo đường kính gốc F)</v>
          </cell>
        </row>
        <row r="95">
          <cell r="A95" t="str">
            <v>Cây mít giống đủ tiêu chuẩn mới trồng</v>
          </cell>
        </row>
        <row r="96">
          <cell r="A96" t="str">
            <v xml:space="preserve">Cây mít đường kính gốc 1cm ≤ Φ &lt; 2cm </v>
          </cell>
        </row>
        <row r="97">
          <cell r="A97" t="str">
            <v xml:space="preserve">Cây mít đường kính gốc 2cm ≤ Φ &lt; 5cm </v>
          </cell>
        </row>
        <row r="98">
          <cell r="A98" t="str">
            <v xml:space="preserve">Cây mít đường kính gốc 5cm ≤ Φ &lt; 7cm </v>
          </cell>
        </row>
        <row r="99">
          <cell r="A99" t="str">
            <v xml:space="preserve">Cây mít đường kính gốc 7cm ≤ Φ &lt; 9cm </v>
          </cell>
        </row>
        <row r="100">
          <cell r="A100" t="str">
            <v>Cây mít đường kính gốc 9cm ≤ Φ &lt; 12cm</v>
          </cell>
        </row>
        <row r="101">
          <cell r="A101" t="str">
            <v xml:space="preserve">Cây mít đường kính gốc 12cm ≤ Φ &lt; 15cm </v>
          </cell>
        </row>
        <row r="102">
          <cell r="A102" t="str">
            <v>Cây mít đường kính gốc 15cm ≤ Φ &lt; 20cm</v>
          </cell>
        </row>
        <row r="103">
          <cell r="A103" t="str">
            <v>Cây mít đường kính gốc 20cm ≤ Φ &lt; 25cm</v>
          </cell>
        </row>
        <row r="104">
          <cell r="A104" t="str">
            <v>Cây mít đường kính gốc 25cm ≤ Φ &lt; 35cm</v>
          </cell>
        </row>
        <row r="105">
          <cell r="A105" t="str">
            <v>Cây mít đường kính gốc 35cm ≤ Φ &lt; 50cm</v>
          </cell>
        </row>
        <row r="106">
          <cell r="A106" t="str">
            <v>Cây mít đường kính gốc Φ ≥ 50cm</v>
          </cell>
        </row>
        <row r="107">
          <cell r="A107" t="str">
            <v>Hồng xiêm (tính theo đường kính tán F)</v>
          </cell>
        </row>
        <row r="108">
          <cell r="A108" t="str">
            <v>Cây hồng xiêm giống đủ tiêu chuẩn  mới trồng</v>
          </cell>
        </row>
        <row r="109">
          <cell r="A109" t="str">
            <v>Cây hồng xiêm đường kính tán 0,7m ≤ Φ &lt; 1m</v>
          </cell>
        </row>
        <row r="110">
          <cell r="A110" t="str">
            <v>Cây hồng xiêm đường kính tán 1m ≤ Φ &lt; 1,5m</v>
          </cell>
        </row>
        <row r="111">
          <cell r="A111" t="str">
            <v>Cây hồng xiêm đường kính tán 1,5m ≤ Φ &lt; 2m</v>
          </cell>
        </row>
        <row r="112">
          <cell r="A112" t="str">
            <v>Cây hồng xiêm đường kính tán 2m ≤ Φ &lt; 3m</v>
          </cell>
        </row>
        <row r="113">
          <cell r="A113" t="str">
            <v>Cây hồng xiêm đường kính tán 3m ≤ Φ &lt; 4m</v>
          </cell>
        </row>
        <row r="114">
          <cell r="A114" t="str">
            <v>Cây hồng xiêm đường kính tán 4m ≤ Φ &lt; 5m</v>
          </cell>
        </row>
        <row r="115">
          <cell r="A115" t="str">
            <v>Cây hồng xiêm đường kính tán 5m ≤ Φ &lt; 6m</v>
          </cell>
        </row>
        <row r="116">
          <cell r="A116" t="str">
            <v>Cây hồng xiêm đường kính tán 6m ≤ Φ &lt; 7m</v>
          </cell>
        </row>
        <row r="117">
          <cell r="A117" t="str">
            <v>Cây hồng xiêm đường kính tán 7m ≤ Φ &lt; 8m</v>
          </cell>
        </row>
        <row r="118">
          <cell r="A118" t="str">
            <v>Cây hồng xiêm đường kính tán 8m ≤ Φ &lt; 9m</v>
          </cell>
        </row>
        <row r="119">
          <cell r="A119" t="str">
            <v>Cây hồng xiêm đường kính tán 9m ≤ Φ &lt; 12m</v>
          </cell>
        </row>
        <row r="120">
          <cell r="A120" t="str">
            <v>Cây hồng xiêm đường kính tán Φ ≥ 12m</v>
          </cell>
        </row>
        <row r="121">
          <cell r="A121" t="str">
            <v>Hồng ăn quả khác (tính theo đường kính gốc F)</v>
          </cell>
        </row>
        <row r="122">
          <cell r="A122" t="str">
            <v>Cây giống hồng ăn quả khác đủ tiêu chuẩn mới trồng, chiều cao cây H ≥ 40cm</v>
          </cell>
        </row>
        <row r="123">
          <cell r="A123" t="str">
            <v>Cây hồng ăn quả khác đường kính gốc 1cm ≤ Φ &lt; 2cm</v>
          </cell>
        </row>
        <row r="124">
          <cell r="A124" t="str">
            <v xml:space="preserve">Cây hồng ăn quả khác đường kính gốc 2cm ≤ Φ &lt; 5cm </v>
          </cell>
        </row>
        <row r="125">
          <cell r="A125" t="str">
            <v>Cây hồng ăn quả khác đường kính gốc 5cm ≤ Φ &lt; 7cm</v>
          </cell>
        </row>
        <row r="126">
          <cell r="A126" t="str">
            <v xml:space="preserve">Cây hồng ăn quả khác đường kính gốc 7cm ≤ Φ &lt; 9cm </v>
          </cell>
        </row>
        <row r="127">
          <cell r="A127" t="str">
            <v>Cây hồng ăn quả khác đường kính gốc 9cm ≤ Φ &lt; 12cm</v>
          </cell>
        </row>
        <row r="128">
          <cell r="A128" t="str">
            <v xml:space="preserve">Cây hồng ăn quả khác đường kính gốc 12cm ≤ Φ &lt; 15cm </v>
          </cell>
        </row>
        <row r="129">
          <cell r="A129" t="str">
            <v>Cây hồng ăn quả khác đường kính gốc 15cm ≤ Φ &lt; 20cm</v>
          </cell>
        </row>
        <row r="130">
          <cell r="A130" t="str">
            <v>Cây hồng ăn quả khác đường kính gốc 20cm ≤ Φ &lt; 25cm</v>
          </cell>
        </row>
        <row r="131">
          <cell r="A131" t="str">
            <v>Cây hồng ăn quả khác đường kính gốc 25cm ≤ Φ &lt; 30cm</v>
          </cell>
        </row>
        <row r="132">
          <cell r="A132" t="str">
            <v>Cây hồng ăn quả khác đường kính gốc 30cm ≤ Φ &lt; 35cm</v>
          </cell>
        </row>
        <row r="133">
          <cell r="A133" t="str">
            <v>Cây hồng ăn quả khác đường kính gốc Φ ≥ 35cm</v>
          </cell>
        </row>
        <row r="134">
          <cell r="A134" t="str">
            <v>Chanh, quýt, quất ăn quả (tính theo đường kính tán F)</v>
          </cell>
        </row>
        <row r="135">
          <cell r="A135" t="str">
            <v xml:space="preserve">Cây chanh giống đủ tiêu chuẩn mới trồng, chiều cao cây H ≥ 40cm </v>
          </cell>
        </row>
        <row r="136">
          <cell r="A136" t="str">
            <v>Cây chanh đường kính tán 0,7m ≤ Φ &lt; 1m</v>
          </cell>
        </row>
        <row r="137">
          <cell r="A137" t="str">
            <v>Cây chanh đường kính tán 1m ≤ Φ &lt; 1,5m</v>
          </cell>
        </row>
        <row r="138">
          <cell r="A138" t="str">
            <v>Cây chanh đường kính tán 1,5m ≤ Φ &lt; 2m</v>
          </cell>
        </row>
        <row r="139">
          <cell r="A139" t="str">
            <v>Cây chanh đường kính tán 2m ≤ Φ &lt; 3m</v>
          </cell>
        </row>
        <row r="140">
          <cell r="A140" t="str">
            <v>Cây chanh đường kính tán 3m ≤ Φ &lt; 4m</v>
          </cell>
        </row>
        <row r="141">
          <cell r="A141" t="str">
            <v>Cây chanh đường kính tán 4m ≤ Φ &lt; 5m</v>
          </cell>
        </row>
        <row r="142">
          <cell r="A142" t="str">
            <v>Cây chanh đường kính tán Φ ≥ 5m</v>
          </cell>
        </row>
        <row r="143">
          <cell r="A143" t="str">
            <v xml:space="preserve">Cây quýt giống đủ tiêu chuẩn mới trồng, chiều cao cây H ≥ 40cm </v>
          </cell>
        </row>
        <row r="144">
          <cell r="A144" t="str">
            <v>Cây quýt đường kính tán 0,7m ≤ Φ &lt; 1m</v>
          </cell>
        </row>
        <row r="145">
          <cell r="A145" t="str">
            <v>Cây quýt đường kính tán 1m ≤ Φ &lt; 1,5m</v>
          </cell>
        </row>
        <row r="146">
          <cell r="A146" t="str">
            <v>Cây quýt đường kính tán 1,5m ≤ Φ &lt; 2m</v>
          </cell>
        </row>
        <row r="147">
          <cell r="A147" t="str">
            <v>Cây quýt đường kính tán 2m ≤ Φ &lt; 3m</v>
          </cell>
        </row>
        <row r="148">
          <cell r="A148" t="str">
            <v>Cây quýt đường kính tán 3m ≤ Φ &lt; 4m</v>
          </cell>
        </row>
        <row r="149">
          <cell r="A149" t="str">
            <v>Cây quýt đường kính tán 4m ≤ Φ &lt; 5m</v>
          </cell>
        </row>
        <row r="150">
          <cell r="A150" t="str">
            <v>Cây quýt đường kính tán Φ ≥ 5m</v>
          </cell>
        </row>
        <row r="151">
          <cell r="A151" t="str">
            <v xml:space="preserve">Cây quất ăn quả giống đủ tiêu chuẩn mới trồng, chiều cao cây H ≥ 40cm </v>
          </cell>
        </row>
        <row r="152">
          <cell r="A152" t="str">
            <v>Cây quất ăn quả đường kính tán 0,7m ≤ Φ &lt; 1m</v>
          </cell>
        </row>
        <row r="153">
          <cell r="A153" t="str">
            <v>Cây quất ăn quả đường kính tán 1m ≤ Φ &lt; 1,5m</v>
          </cell>
        </row>
        <row r="154">
          <cell r="A154" t="str">
            <v>Cây quất ăn quả đường kính tán 1,5m ≤ Φ &lt; 2m</v>
          </cell>
        </row>
        <row r="155">
          <cell r="A155" t="str">
            <v>Cây quất ăn quả đường kính tán 2m ≤ Φ &lt; 3m</v>
          </cell>
        </row>
        <row r="156">
          <cell r="A156" t="str">
            <v>Cây quất ăn quả đường kính tán 3m ≤ Φ &lt; 4m</v>
          </cell>
        </row>
        <row r="157">
          <cell r="A157" t="str">
            <v>Cây quất ăn quả đường kính tán 4m ≤ Φ &lt; 5m</v>
          </cell>
        </row>
        <row r="158">
          <cell r="A158" t="str">
            <v>Cây quất ăn quả đường kính tán Φ ≥ 5m</v>
          </cell>
        </row>
        <row r="159">
          <cell r="A159" t="str">
            <v xml:space="preserve">Cam (tính theo đường kính tán lá F) </v>
          </cell>
        </row>
        <row r="160">
          <cell r="A160" t="str">
            <v>Cây giống đủ tiêu chuẩn mới trồng</v>
          </cell>
        </row>
        <row r="161">
          <cell r="A161" t="str">
            <v xml:space="preserve">Cây cam loại cây ghép có chiều cao cây 40cm ≤ Φ &lt; 1m  </v>
          </cell>
        </row>
        <row r="162">
          <cell r="A162" t="str">
            <v xml:space="preserve">Cây cam loại cây ghép có chiều cao cây  H ≥ 1m  </v>
          </cell>
        </row>
        <row r="163">
          <cell r="A163" t="str">
            <v xml:space="preserve">Cây cam loại cây chiết cành có chiều cao 40cm ≤ Φ &lt; 1m  </v>
          </cell>
        </row>
        <row r="164">
          <cell r="A164" t="str">
            <v xml:space="preserve">Cây cam loại cây chiết cành có chiều cao cây  H ≥ 1m  </v>
          </cell>
        </row>
        <row r="165">
          <cell r="A165" t="str">
            <v>Cây cam đường kính tán 0,7m ≤ Φ &lt; 1m</v>
          </cell>
        </row>
        <row r="166">
          <cell r="A166" t="str">
            <v>Cây cam đường kính tán 1m ≤ Φ &lt; 1,5m</v>
          </cell>
        </row>
        <row r="167">
          <cell r="A167" t="str">
            <v>Cây cam đường kính tán 1,5m ≤ Φ &lt; 2m</v>
          </cell>
        </row>
        <row r="168">
          <cell r="A168" t="str">
            <v>Cây cam đường kính tán 2m ≤ Φ &lt; 3m</v>
          </cell>
        </row>
        <row r="169">
          <cell r="A169" t="str">
            <v>Cây cam đường kính tán 3m ≤ Φ &lt; 4m</v>
          </cell>
        </row>
        <row r="170">
          <cell r="A170" t="str">
            <v>Cây cam đường kính tán 4m ≤ Φ &lt; 5m</v>
          </cell>
        </row>
        <row r="171">
          <cell r="A171" t="str">
            <v>Cây cam đường kính tán 5m ≤ Φ &lt; 6m</v>
          </cell>
        </row>
        <row r="172">
          <cell r="A172" t="str">
            <v>Cây cam đường kính tán Φ ≥ 6m</v>
          </cell>
        </row>
        <row r="173">
          <cell r="A173" t="str">
            <v>Bưởi (tính theo đường kính gốc F)</v>
          </cell>
        </row>
        <row r="174">
          <cell r="A174" t="str">
            <v>Cây giống đủ tiêu chuẩn mới trồng</v>
          </cell>
        </row>
        <row r="175">
          <cell r="A175" t="str">
            <v xml:space="preserve">Bưởi loại cây ghép có chiều cao cây 40cm ≤ H &lt; 1m  </v>
          </cell>
        </row>
        <row r="176">
          <cell r="A176" t="str">
            <v xml:space="preserve">Bưởi loại cây ghép có chiều cao cây  H ≥ 1m  </v>
          </cell>
        </row>
        <row r="177">
          <cell r="A177" t="str">
            <v xml:space="preserve">Bưởi loại cây chiết cành có chiều cao  40cm ≤ H &lt; 1m  </v>
          </cell>
        </row>
        <row r="178">
          <cell r="A178" t="str">
            <v xml:space="preserve">Bưởi loại cây chiết cành có chiều cao cây  H ≥ 1m  </v>
          </cell>
        </row>
        <row r="179">
          <cell r="A179" t="str">
            <v>Cây bưởi đường kính gốc 1cm ≤ Φ &lt; 2cm</v>
          </cell>
        </row>
        <row r="180">
          <cell r="A180" t="str">
            <v>Cây bưởi đường kính gốc 2cm ≤ Φ &lt; 5cm</v>
          </cell>
        </row>
        <row r="181">
          <cell r="A181" t="str">
            <v>Cây bưởi đường kính gốc 5cm ≤ Φ &lt; 7cm</v>
          </cell>
        </row>
        <row r="182">
          <cell r="A182" t="str">
            <v>Cây bưởi đường kính gốc 7cm ≤ Φ &lt; 9cm</v>
          </cell>
        </row>
        <row r="183">
          <cell r="A183" t="str">
            <v>Cây bưởi đường kính gốc 9cm ≤ Φ &lt; 12cm</v>
          </cell>
        </row>
        <row r="184">
          <cell r="A184" t="str">
            <v xml:space="preserve">Cây bưởi đường kính gốc 12cm ≤ Φ &lt; 15cm </v>
          </cell>
        </row>
        <row r="185">
          <cell r="A185" t="str">
            <v>Cây bưởi đường kính gốc 15cm ≤ Φ &lt; 20cm</v>
          </cell>
        </row>
        <row r="186">
          <cell r="A186" t="str">
            <v>Cây bưởi đường kính gốc 20cm ≤ Φ &lt; 25cm</v>
          </cell>
        </row>
        <row r="187">
          <cell r="A187" t="str">
            <v>Cây bưởi đường kính gốc Φ ≥ 25cm</v>
          </cell>
        </row>
        <row r="188">
          <cell r="A188" t="str">
            <v>Xoài, muỗm, quéo, thị (tính theo đường kính gốc F)</v>
          </cell>
        </row>
        <row r="189">
          <cell r="A189" t="str">
            <v>Cây xoài giống đủ tiêu chuẩn mới trồng, chiều cao cây H ≥ 40cm</v>
          </cell>
        </row>
        <row r="190">
          <cell r="A190" t="str">
            <v xml:space="preserve">Cây xoài đường kính gốc 1cm ≤ Φ &lt; 2cm </v>
          </cell>
        </row>
        <row r="191">
          <cell r="A191" t="str">
            <v>Cây xoài đường kính gốc 2cm ≤ Φ &lt; 5cm</v>
          </cell>
        </row>
        <row r="192">
          <cell r="A192" t="str">
            <v>Cây xoài đường kính gốc 5cm ≤ Φ &lt; 7cm</v>
          </cell>
        </row>
        <row r="193">
          <cell r="A193" t="str">
            <v>Cây xoài đường kính gốc 7cm ≤ Φ &lt; 9cm</v>
          </cell>
        </row>
        <row r="194">
          <cell r="A194" t="str">
            <v>Cây xoài đường kính gốc 9cm ≤ Φ &lt; 12cm</v>
          </cell>
        </row>
        <row r="195">
          <cell r="A195" t="str">
            <v xml:space="preserve">Cây xoài đường kính gốc 12cm ≤ Φ &lt; 15cm </v>
          </cell>
        </row>
        <row r="196">
          <cell r="A196" t="str">
            <v>Cây xoài đường kính gốc 15cm ≤ Φ &lt; 20cm</v>
          </cell>
        </row>
        <row r="197">
          <cell r="A197" t="str">
            <v>Cây xoài đường kính gốc 20cm ≤ Φ &lt; 25cm</v>
          </cell>
        </row>
        <row r="198">
          <cell r="A198" t="str">
            <v>Cây xoài đường kính gốc 25cm ≤ Φ &lt; 35cm</v>
          </cell>
        </row>
        <row r="199">
          <cell r="A199" t="str">
            <v>Cây xoài đường kính gốc 35cm ≤ Φ &lt; 50cm</v>
          </cell>
        </row>
        <row r="200">
          <cell r="A200" t="str">
            <v>Cây xoài đường kính gốc Φ ≥ 50cm</v>
          </cell>
        </row>
        <row r="201">
          <cell r="A201" t="str">
            <v>Cây muỗm giống đủ tiêu chuẩn mới trồng, chiều cao cây H ≥ 40cm</v>
          </cell>
        </row>
        <row r="202">
          <cell r="A202" t="str">
            <v xml:space="preserve">Cây muỗm đường kính gốc 1cm ≤ Φ &lt; 2cm </v>
          </cell>
        </row>
        <row r="203">
          <cell r="A203" t="str">
            <v>Cây muỗm đường kính gốc 2cm ≤ Φ &lt; 5cm</v>
          </cell>
        </row>
        <row r="204">
          <cell r="A204" t="str">
            <v>Cây muỗm đường kính gốc 5cm ≤ Φ &lt; 7cm</v>
          </cell>
        </row>
        <row r="205">
          <cell r="A205" t="str">
            <v>Cây muỗm đường kính gốc 7cm ≤ Φ &lt; 9cm</v>
          </cell>
        </row>
        <row r="206">
          <cell r="A206" t="str">
            <v>Cây muỗm đường kính gốc 9cm ≤ Φ &lt; 12cm</v>
          </cell>
        </row>
        <row r="207">
          <cell r="A207" t="str">
            <v xml:space="preserve">Cây muỗm đường kính gốc 12cm ≤ Φ &lt; 15cm </v>
          </cell>
        </row>
        <row r="208">
          <cell r="A208" t="str">
            <v>Cây muỗm đường kính gốc 15cm ≤ Φ &lt; 20cm</v>
          </cell>
        </row>
        <row r="209">
          <cell r="A209" t="str">
            <v>Cây muỗm đường kính gốc 20cm ≤ Φ &lt; 25cm</v>
          </cell>
        </row>
        <row r="210">
          <cell r="A210" t="str">
            <v>Cây muỗm đường kính gốc 25cm ≤ Φ &lt; 35cm</v>
          </cell>
        </row>
        <row r="211">
          <cell r="A211" t="str">
            <v>Cây muỗm đường kính gốc 35cm ≤ Φ &lt; 50cm</v>
          </cell>
        </row>
        <row r="212">
          <cell r="A212" t="str">
            <v>Cây muỗm đường kính gốc Φ ≥ 50cm</v>
          </cell>
        </row>
        <row r="213">
          <cell r="A213" t="str">
            <v>Cây quéo giống đủ tiêu chuẩn mới trồng, chiều cao cây H ≥ 40cm</v>
          </cell>
        </row>
        <row r="214">
          <cell r="A214" t="str">
            <v xml:space="preserve">Cây quéo đường kính gốc 1cm ≤ Φ &lt; 2cm </v>
          </cell>
        </row>
        <row r="215">
          <cell r="A215" t="str">
            <v>Cây quéo đường kính gốc 2cm ≤ Φ &lt; 5cm</v>
          </cell>
        </row>
        <row r="216">
          <cell r="A216" t="str">
            <v>Cây quéo đường kính gốc 5cm ≤ Φ &lt; 7cm</v>
          </cell>
        </row>
        <row r="217">
          <cell r="A217" t="str">
            <v>Cây quéo đường kính gốc 7cm ≤ Φ &lt; 9cm</v>
          </cell>
        </row>
        <row r="218">
          <cell r="A218" t="str">
            <v>Cây quéo đường kính gốc 9cm ≤ Φ &lt; 12cm</v>
          </cell>
        </row>
        <row r="219">
          <cell r="A219" t="str">
            <v xml:space="preserve">Cây quéo đường kính gốc 12cm ≤ Φ &lt; 15cm </v>
          </cell>
        </row>
        <row r="220">
          <cell r="A220" t="str">
            <v>Cây quéo đường kính gốc 15cm ≤ Φ &lt; 20cm</v>
          </cell>
        </row>
        <row r="221">
          <cell r="A221" t="str">
            <v>Cây quéo đường kính gốc 20cm ≤ Φ &lt; 25cm</v>
          </cell>
        </row>
        <row r="222">
          <cell r="A222" t="str">
            <v>Cây quéo đường kính gốc 25cm ≤ Φ &lt; 35cm</v>
          </cell>
        </row>
        <row r="223">
          <cell r="A223" t="str">
            <v>Cây quéo đường kính gốc 35cm ≤ Φ &lt; 50cm</v>
          </cell>
        </row>
        <row r="224">
          <cell r="A224" t="str">
            <v>Cây quéo đường kính gốc Φ ≥ 50cm</v>
          </cell>
        </row>
        <row r="225">
          <cell r="A225" t="str">
            <v>Cây thị giống đủ tiêu chuẩn mới trồng, chiều cao cây H ≥ 40cm</v>
          </cell>
        </row>
        <row r="226">
          <cell r="A226" t="str">
            <v xml:space="preserve">Cây thị đường kính gốc 1cm ≤ Φ &lt; 2cm </v>
          </cell>
        </row>
        <row r="227">
          <cell r="A227" t="str">
            <v>Cây thị đường kính gốc 2cm ≤ Φ &lt; 5cm</v>
          </cell>
        </row>
        <row r="228">
          <cell r="A228" t="str">
            <v>Cây thị đường kính gốc 5cm ≤ Φ &lt; 7cm</v>
          </cell>
        </row>
        <row r="229">
          <cell r="A229" t="str">
            <v>Cây thị đường kính gốc 7cm ≤ Φ &lt; 9cm</v>
          </cell>
        </row>
        <row r="230">
          <cell r="A230" t="str">
            <v>Cây thị đường kính gốc 9cm ≤ Φ &lt; 12cm</v>
          </cell>
        </row>
        <row r="231">
          <cell r="A231" t="str">
            <v xml:space="preserve">Cây thị đường kính gốc 12cm ≤ Φ &lt; 15cm </v>
          </cell>
        </row>
        <row r="232">
          <cell r="A232" t="str">
            <v>Cây thị đường kính gốc 15cm ≤ Φ &lt; 20cm</v>
          </cell>
        </row>
        <row r="233">
          <cell r="A233" t="str">
            <v>Cây thị đường kính gốc 20cm ≤ Φ &lt; 25cm</v>
          </cell>
        </row>
        <row r="234">
          <cell r="A234" t="str">
            <v>Cây thị đường kính gốc 25cm ≤ Φ &lt; 35cm</v>
          </cell>
        </row>
        <row r="235">
          <cell r="A235" t="str">
            <v>Cây thị đường kính gốc 35cm ≤ Φ &lt; 50cm</v>
          </cell>
        </row>
        <row r="236">
          <cell r="A236" t="str">
            <v>Cây thị đường kính gốc Φ ≥ 50cm</v>
          </cell>
        </row>
        <row r="237">
          <cell r="A237" t="str">
            <v>Dừa (tính theo đường kính gốc F)</v>
          </cell>
        </row>
        <row r="238">
          <cell r="A238" t="str">
            <v>Cây dừa giống đủ tiêu chuẩn mới trồng</v>
          </cell>
        </row>
        <row r="239">
          <cell r="A239" t="str">
            <v>Cây dừa đường kính gốc 7cm ≤ Φ &lt; 9cm</v>
          </cell>
        </row>
        <row r="240">
          <cell r="A240" t="str">
            <v>Cây dừa đường kính gốc 9cm ≤ Φ &lt; 12cm</v>
          </cell>
        </row>
        <row r="241">
          <cell r="A241" t="str">
            <v>Cây dừa đường kính gốc 12cm ≤ Φ &lt; 15cm</v>
          </cell>
        </row>
        <row r="242">
          <cell r="A242" t="str">
            <v>Cây dừa đường kính gốc 15cm ≤ Φ &lt; 20cm</v>
          </cell>
        </row>
        <row r="243">
          <cell r="A243" t="str">
            <v>Cây dừa đường kính gốc 20cm ≤ Φ &lt; 25cm</v>
          </cell>
        </row>
        <row r="244">
          <cell r="A244" t="str">
            <v>Cây dừa đường kính gốc 25cm ≤ Φ &lt; 30cm</v>
          </cell>
        </row>
        <row r="245">
          <cell r="A245" t="str">
            <v>Cây dừa đường kính gốc 30cm ≤ Φ &lt; 35cm</v>
          </cell>
        </row>
        <row r="246">
          <cell r="A246" t="str">
            <v>Cây dừa đường kính gốc 35cm ≤ Φ &lt; 50cm</v>
          </cell>
        </row>
        <row r="247">
          <cell r="A247" t="str">
            <v>Cây dừa đường kính gốc Φ ≥ 50cm</v>
          </cell>
        </row>
        <row r="248">
          <cell r="A248" t="str">
            <v>Na (tính theo đường kính gốc F)</v>
          </cell>
        </row>
        <row r="249">
          <cell r="A249" t="str">
            <v>Cây na giống đủ tiêu chuẩn mới trồng, chiều cao cây H ≥ 40cm</v>
          </cell>
        </row>
        <row r="250">
          <cell r="A250" t="str">
            <v>Cây na đường kính gốc 1cm ≤ Φ &lt; 2cm</v>
          </cell>
        </row>
        <row r="251">
          <cell r="A251" t="str">
            <v>Cây na đường kính gốc 2cm ≤ Φ &lt; 5cm</v>
          </cell>
        </row>
        <row r="252">
          <cell r="A252" t="str">
            <v>Cây na đường kính gốc 5cm ≤ Φ &lt; 7cm</v>
          </cell>
        </row>
        <row r="253">
          <cell r="A253" t="str">
            <v xml:space="preserve">Cây na đường kính gốc 7cm ≤ Φ &lt; 9cm </v>
          </cell>
        </row>
        <row r="254">
          <cell r="A254" t="str">
            <v>Cây na đường kính gốc 9cm ≤ Φ &lt; 12cm</v>
          </cell>
        </row>
        <row r="255">
          <cell r="A255" t="str">
            <v>Cây na đường kính gốc 12cm ≤ Φ &lt; 15cm</v>
          </cell>
        </row>
        <row r="256">
          <cell r="A256" t="str">
            <v>Cây na đường kính gốc Φ ≥ 15cm</v>
          </cell>
        </row>
        <row r="257">
          <cell r="A257" t="str">
            <v>Dâu da (tính theo đường kính gốc F)</v>
          </cell>
        </row>
        <row r="258">
          <cell r="A258" t="str">
            <v>Cây dâu da giống đủ tiêu chuẩn mới trồng, chiều cao cây H ≥ 40cm</v>
          </cell>
        </row>
        <row r="259">
          <cell r="A259" t="str">
            <v>Cây dâu da đường kính gốc 1cm ≤ Φ &lt; 2cm</v>
          </cell>
        </row>
        <row r="260">
          <cell r="A260" t="str">
            <v>Cây dâu da đường kính gốc 2cm ≤ Φ &lt; 5cm</v>
          </cell>
        </row>
        <row r="261">
          <cell r="A261" t="str">
            <v>Cây dâu da đường kính gốc 5cm ≤ Φ &lt; 7cm</v>
          </cell>
        </row>
        <row r="262">
          <cell r="A262" t="str">
            <v>Cây dâu da đường kính gốc 7cm ≤ Φ &lt; 9cm</v>
          </cell>
        </row>
        <row r="263">
          <cell r="A263" t="str">
            <v>Cây dâu da đường kính gốc 9cm ≤ Φ &lt; 12cm</v>
          </cell>
        </row>
        <row r="264">
          <cell r="A264" t="str">
            <v>Cây dâu da đường kính gốc 12cm ≤ Φ &lt; 15cm</v>
          </cell>
        </row>
        <row r="265">
          <cell r="A265" t="str">
            <v>Cây dâu da đường kính gốc 15cm ≤ Φ &lt; 20cm</v>
          </cell>
        </row>
        <row r="266">
          <cell r="A266" t="str">
            <v>Cây dâu da đường kính gốc 20cm ≤ Φ &lt; 25cm</v>
          </cell>
        </row>
        <row r="267">
          <cell r="A267" t="str">
            <v>Cây dâu da đường kính gốc 25cm ≤ Φ &lt; 35cm</v>
          </cell>
        </row>
        <row r="268">
          <cell r="A268" t="str">
            <v>Cây dâu da đường kính gốc 35cm ≤ Φ &lt; 50cm</v>
          </cell>
        </row>
        <row r="269">
          <cell r="A269" t="str">
            <v>Cây dâu da đường kính gốc Φ ≥ 50cm</v>
          </cell>
        </row>
        <row r="270">
          <cell r="A270" t="str">
            <v xml:space="preserve">Bồ kết (tính theo đường kính gốc F) </v>
          </cell>
        </row>
        <row r="271">
          <cell r="A271" t="str">
            <v>Cây bồ kết giống đủ tiêu chuẩn mới trồng, chiều cao cây H ≥ 40cm</v>
          </cell>
        </row>
        <row r="272">
          <cell r="A272" t="str">
            <v>Cây bồ kết đường kính gốc 1cm ≤ Φ &lt; 2cm</v>
          </cell>
        </row>
        <row r="273">
          <cell r="A273" t="str">
            <v>Cây bồ kết đường kính gốc 2cm ≤ Φ &lt; 5cm</v>
          </cell>
        </row>
        <row r="274">
          <cell r="A274" t="str">
            <v>Cây bồ kết đường kính gốc 5cm ≤ Φ &lt; 7cm</v>
          </cell>
        </row>
        <row r="275">
          <cell r="A275" t="str">
            <v>Cây bồ kết đường kính gốc 7cm ≤ Φ &lt; 9cm</v>
          </cell>
        </row>
        <row r="276">
          <cell r="A276" t="str">
            <v>Cây bồ kết đường kính gốc 9cm ≤ Φ &lt; 12cm</v>
          </cell>
        </row>
        <row r="277">
          <cell r="A277" t="str">
            <v>Cây bồ kết đường kính gốc 12cm ≤ Φ &lt; 15cm</v>
          </cell>
        </row>
        <row r="278">
          <cell r="A278" t="str">
            <v>Cây bồ kết đường kính gốc 15cm ≤ Φ &lt; 20cm</v>
          </cell>
        </row>
        <row r="279">
          <cell r="A279" t="str">
            <v>Cây bồ kết đường kính gốc 20cm ≤ Φ &lt; 25cm</v>
          </cell>
        </row>
        <row r="280">
          <cell r="A280" t="str">
            <v>Cây bồ kết đường kính gốc 25cm ≤ Φ &lt; 30cm</v>
          </cell>
        </row>
        <row r="281">
          <cell r="A281" t="str">
            <v>Cây bồ kết đường kính gốc 30cm ≤ Φ &lt; 35cm</v>
          </cell>
        </row>
        <row r="282">
          <cell r="A282" t="str">
            <v>Cây bồ kết đường kính gốc 35cm ≤ Φ &lt; 50cm</v>
          </cell>
        </row>
        <row r="283">
          <cell r="A283" t="str">
            <v>Cây bồ kết đường kính gốc Φ ≥ 50cm</v>
          </cell>
        </row>
        <row r="284">
          <cell r="A284" t="str">
            <v>Trứng gà (tính theo đường kính gốc F)</v>
          </cell>
        </row>
        <row r="285">
          <cell r="A285" t="str">
            <v>Cây trứng gà giống đủ tiêu chuẩn mới trồng, chiều cao cây H ≥ 40cm</v>
          </cell>
        </row>
        <row r="286">
          <cell r="A286" t="str">
            <v>Cây trứng gà đường kính gốc 1cm ≤ Φ &lt; 2cm</v>
          </cell>
        </row>
        <row r="287">
          <cell r="A287" t="str">
            <v>Cây trứng gà đường kính gốc 2cm ≤ Φ &lt; 5cm</v>
          </cell>
        </row>
        <row r="288">
          <cell r="A288" t="str">
            <v>Cây trứng gà đường kính gốc 5cm ≤ Φ &lt; 7cm</v>
          </cell>
        </row>
        <row r="289">
          <cell r="A289" t="str">
            <v>Cây trứng gà đường kính gốc 7cm ≤ Φ &lt; 9cm</v>
          </cell>
        </row>
        <row r="290">
          <cell r="A290" t="str">
            <v>Cây trứng gà đường kính gốc 9cm ≤ Φ &lt; 12cm</v>
          </cell>
        </row>
        <row r="291">
          <cell r="A291" t="str">
            <v>Cây trứng gà đường kính gốc 12cm ≤ Φ &lt; 15cm</v>
          </cell>
        </row>
        <row r="292">
          <cell r="A292" t="str">
            <v>Cây trứng gà đường kính gốc 15cm ≤ Φ &lt; 20cm</v>
          </cell>
        </row>
        <row r="293">
          <cell r="A293" t="str">
            <v>Cây trứng gà đường kính gốc 20cm ≤ Φ &lt; 25cm</v>
          </cell>
        </row>
        <row r="294">
          <cell r="A294" t="str">
            <v>Cây trứng gà đường kính gốc 25cm ≤ Φ &lt; 30cm</v>
          </cell>
        </row>
        <row r="295">
          <cell r="A295" t="str">
            <v>Cây trứng gà đường kính gốc 30cm ≤ Φ &lt; 35cm</v>
          </cell>
        </row>
        <row r="296">
          <cell r="A296" t="str">
            <v>Cây trứng gà đường kính gốc Φ ≥ 35cm</v>
          </cell>
        </row>
        <row r="297">
          <cell r="A297" t="str">
            <v>Táo (tính theo đường kính gốc F)</v>
          </cell>
        </row>
        <row r="298">
          <cell r="A298" t="str">
            <v>Cây giống đủ tiêu chuẩn mới trồng</v>
          </cell>
        </row>
        <row r="299">
          <cell r="A299" t="str">
            <v xml:space="preserve">Cây táo loại cây ghép có chiều cao cây 40cm ≤ H &lt; 1m  </v>
          </cell>
        </row>
        <row r="300">
          <cell r="A300" t="str">
            <v xml:space="preserve">Cây táo loại cây ghép có chiều cao cây  H ≥ 1m  </v>
          </cell>
        </row>
        <row r="301">
          <cell r="A301" t="str">
            <v>Cây táo đường kính gốc 1cm ≤ Φ &lt; 2cm</v>
          </cell>
        </row>
        <row r="302">
          <cell r="A302" t="str">
            <v>Cây táo đường kính gốc 2cm ≤ Φ &lt; 5cm</v>
          </cell>
        </row>
        <row r="303">
          <cell r="A303" t="str">
            <v>Cây táo đường kính gốc 5cm ≤ Φ &lt; 7cm</v>
          </cell>
        </row>
        <row r="304">
          <cell r="A304" t="str">
            <v>Cây táo đường kính gốc 7cm ≤ Φ &lt; 9cm</v>
          </cell>
        </row>
        <row r="305">
          <cell r="A305" t="str">
            <v>Cây táo đường kính gốc 9cm ≤ Φ &lt; 12cm</v>
          </cell>
        </row>
        <row r="306">
          <cell r="A306" t="str">
            <v>Cây táo đường kính gốc 12cm ≤ Φ &lt; 15cm</v>
          </cell>
        </row>
        <row r="307">
          <cell r="A307" t="str">
            <v>Cây táo đường kính gốc 15cm ≤ Φ &lt; 20cm</v>
          </cell>
        </row>
        <row r="308">
          <cell r="A308" t="str">
            <v>Cây táo đường kính gốc 20cm ≤ Φ &lt; 25cm</v>
          </cell>
        </row>
        <row r="309">
          <cell r="A309" t="str">
            <v>Cây táo đường kính gốc Φ ≥ 25cm</v>
          </cell>
        </row>
        <row r="310">
          <cell r="A310" t="str">
            <v>Ổi (tính theo đường kính gốc F)</v>
          </cell>
        </row>
        <row r="311">
          <cell r="A311" t="str">
            <v>Cây giống đủ tiêu chuẩn mới trồng</v>
          </cell>
        </row>
        <row r="312">
          <cell r="A312" t="str">
            <v xml:space="preserve">Cây ổi loại cây ghép có chiều cao cây 40cm ≤ H &lt; 1m </v>
          </cell>
        </row>
        <row r="313">
          <cell r="A313" t="str">
            <v xml:space="preserve">Cây ổi loại cây ghép có chiều cao cây  H ≥ 1m  </v>
          </cell>
        </row>
        <row r="314">
          <cell r="A314" t="str">
            <v xml:space="preserve">Cây ổi loại cây chiết có chiều cao cây 40cm ≤ H &lt; 1m  </v>
          </cell>
        </row>
        <row r="315">
          <cell r="A315" t="str">
            <v>Cây ổi đường kính gốc 1cm ≤ Φ &lt; 2cm</v>
          </cell>
        </row>
        <row r="316">
          <cell r="A316" t="str">
            <v>Cây ổi đường kính gốc 2cm ≤ Φ &lt; 5cm</v>
          </cell>
        </row>
        <row r="317">
          <cell r="A317" t="str">
            <v>Cây ổi đường kính gốc 5cm ≤ Φ &lt; 7cm</v>
          </cell>
        </row>
        <row r="318">
          <cell r="A318" t="str">
            <v>Cây ổi đường kính gốc 7cm ≤ Φ &lt; 9cm</v>
          </cell>
        </row>
        <row r="319">
          <cell r="A319" t="str">
            <v>Cây ổi đường kính gốc 9cm ≤ Φ &lt; 12cm</v>
          </cell>
        </row>
        <row r="320">
          <cell r="A320" t="str">
            <v>Cây ổi đường kính gốc 12cm ≤ Φ &lt; 15cm</v>
          </cell>
        </row>
        <row r="321">
          <cell r="A321" t="str">
            <v>Cây ổi đường kính gốc 15cm ≤ Φ &lt; 20cm</v>
          </cell>
        </row>
        <row r="322">
          <cell r="A322" t="str">
            <v>Cây ổi đường kính gốc 20cm ≤ Φ &lt; 25cm</v>
          </cell>
        </row>
        <row r="323">
          <cell r="A323" t="str">
            <v>Cây ổi đường kính gốc Φ ≥ 25cm</v>
          </cell>
        </row>
        <row r="324">
          <cell r="A324" t="str">
            <v>Chay (tính theo đường kính gốc F)</v>
          </cell>
        </row>
        <row r="325">
          <cell r="A325" t="str">
            <v>Cây chay giống đủ tiêu chuẩn mới trồng, chiều cao cây H ≥ 40cm</v>
          </cell>
        </row>
        <row r="326">
          <cell r="A326" t="str">
            <v>Cây chay đường kính gốc 1cm ≤ Φ &lt; 2cm</v>
          </cell>
        </row>
        <row r="327">
          <cell r="A327" t="str">
            <v>Cây chay đường kính gốc 2cm ≤ Φ &lt; 5cm</v>
          </cell>
        </row>
        <row r="328">
          <cell r="A328" t="str">
            <v>Cây chay đường kính gốc 5cm ≤ Φ &lt; 7cm</v>
          </cell>
        </row>
        <row r="329">
          <cell r="A329" t="str">
            <v>Cây chay đường kính gốc 7cm ≤ Φ &lt; 9cm</v>
          </cell>
        </row>
        <row r="330">
          <cell r="A330" t="str">
            <v>Cây chay đường kính gốc 9cm ≤ Φ &lt; 12cm</v>
          </cell>
        </row>
        <row r="331">
          <cell r="A331" t="str">
            <v>Cây chay đường kính gốc 12cm ≤ Φ &lt; 15cm</v>
          </cell>
        </row>
        <row r="332">
          <cell r="A332" t="str">
            <v>Cây chay đường kính gốc 15cm ≤ Φ &lt; 20cm</v>
          </cell>
        </row>
        <row r="333">
          <cell r="A333" t="str">
            <v>Cây chay đường kính gốc 20cm ≤ Φ &lt; 30cm</v>
          </cell>
        </row>
        <row r="334">
          <cell r="A334" t="str">
            <v>Cây chay đường kính gốc 30cm ≤ Φ &lt; 50cm</v>
          </cell>
        </row>
        <row r="335">
          <cell r="A335" t="str">
            <v>Cây chay đường kính gốc Φ ≥ 50cm</v>
          </cell>
        </row>
        <row r="336">
          <cell r="A336" t="str">
            <v xml:space="preserve">Khế (tính theo đường kính gốc F) </v>
          </cell>
        </row>
        <row r="337">
          <cell r="A337" t="str">
            <v>Cây giống đủ tiêu chuẩn mới trồng</v>
          </cell>
        </row>
        <row r="338">
          <cell r="A338" t="str">
            <v xml:space="preserve">Cây khế loại cây ghép có chiều cao cây 40cm ≤ H &lt; 1m  </v>
          </cell>
        </row>
        <row r="339">
          <cell r="A339" t="str">
            <v xml:space="preserve">Cây khế loại cây ghép có chiều cao cây  H ≥ 1m  </v>
          </cell>
        </row>
        <row r="340">
          <cell r="A340" t="str">
            <v>Cây khế đường kính gốc 1cm ≤ Φ &lt; 2cm</v>
          </cell>
        </row>
        <row r="341">
          <cell r="A341" t="str">
            <v>Cây khế đường kính gốc 2cm ≤ Φ &lt; 5cm</v>
          </cell>
        </row>
        <row r="342">
          <cell r="A342" t="str">
            <v>Cây khế đường kính gốc 5cm ≤ Φ &lt; 7cm</v>
          </cell>
        </row>
        <row r="343">
          <cell r="A343" t="str">
            <v>Cây khế đường kính gốc 7cm ≤ Φ &lt; 9cm</v>
          </cell>
        </row>
        <row r="344">
          <cell r="A344" t="str">
            <v>Cây khế đường kính gốc 9cm ≤ Φ &lt; 12cm</v>
          </cell>
        </row>
        <row r="345">
          <cell r="A345" t="str">
            <v>Cây khế đường kính gốc 12cm ≤ Φ &lt; 15cm</v>
          </cell>
        </row>
        <row r="346">
          <cell r="A346" t="str">
            <v>Cây khế đường kính gốc 15cm ≤ Φ &lt; 20cm</v>
          </cell>
        </row>
        <row r="347">
          <cell r="A347" t="str">
            <v>Cây khế đường kính gốc 20cm ≤ Φ &lt; 25cm</v>
          </cell>
        </row>
        <row r="348">
          <cell r="A348" t="str">
            <v>Cây khế đường kính gốc  Φ ≥ 25cm</v>
          </cell>
        </row>
        <row r="349">
          <cell r="A349" t="str">
            <v xml:space="preserve">Me (tính theo đường kính gốc F) </v>
          </cell>
        </row>
        <row r="350">
          <cell r="A350" t="str">
            <v xml:space="preserve">Cây me giống đủ tiêu chuẩn mới trồng, chiều cao cây H ≥ 40cm </v>
          </cell>
        </row>
        <row r="351">
          <cell r="A351" t="str">
            <v>Cây me đường kính gốc 1cm ≤ Φ &lt; 2cm</v>
          </cell>
        </row>
        <row r="352">
          <cell r="A352" t="str">
            <v>Cây me đường kính gốc 2cm ≤ Φ &lt; 5cm</v>
          </cell>
        </row>
        <row r="353">
          <cell r="A353" t="str">
            <v>Cây me đường kính gốc 5cm ≤ Φ &lt; 7cm</v>
          </cell>
        </row>
        <row r="354">
          <cell r="A354" t="str">
            <v>Cây me đường kính gốc 7cm ≤ Φ &lt; 9cm</v>
          </cell>
        </row>
        <row r="355">
          <cell r="A355" t="str">
            <v>Cây me đường kính gốc 9cm ≤ Φ &lt; 12cm</v>
          </cell>
        </row>
        <row r="356">
          <cell r="A356" t="str">
            <v>Cây me đường kính gốc 12cm ≤ Φ &lt; 15cm</v>
          </cell>
        </row>
        <row r="357">
          <cell r="A357" t="str">
            <v>Cây me đường kính gốc 15cm ≤ Φ &lt; 20cm</v>
          </cell>
        </row>
        <row r="358">
          <cell r="A358" t="str">
            <v>Cây me đường kính gốc 20cm ≤ Φ &lt; 25cm</v>
          </cell>
        </row>
        <row r="359">
          <cell r="A359" t="str">
            <v>Cây me đường kính gốc 25cm ≤ Φ &lt; 30cm</v>
          </cell>
        </row>
        <row r="360">
          <cell r="A360" t="str">
            <v>Cây me đường kính gốc 30cm ≤ Φ &lt; 35cm</v>
          </cell>
        </row>
        <row r="361">
          <cell r="A361" t="str">
            <v>Cây me đường kính gốc 35cm ≤ Φ &lt; 50cm</v>
          </cell>
        </row>
        <row r="362">
          <cell r="A362" t="str">
            <v>Cây me đường kính gốc Φ ≥ 50cm</v>
          </cell>
        </row>
        <row r="363">
          <cell r="A363" t="str">
            <v>Mơ, mận (tính theo đường kính gốc F)</v>
          </cell>
        </row>
        <row r="364">
          <cell r="A364" t="str">
            <v>Cây mơ, mận giống đủ tiêu chuẩn mới trồng, chiều cao cây H ≥ 40cm</v>
          </cell>
        </row>
        <row r="365">
          <cell r="A365" t="str">
            <v>Cây mơ, mận đường kính gốc 1cm ≤ Φ &lt; 2cm</v>
          </cell>
        </row>
        <row r="366">
          <cell r="A366" t="str">
            <v>Cây mơ, mận đường kính gốc 2cm ≤ Φ &lt; 5cm</v>
          </cell>
        </row>
        <row r="367">
          <cell r="A367" t="str">
            <v>Cây mơ, mận đường kính gốc 5cm ≤ Φ &lt; 7cm</v>
          </cell>
        </row>
        <row r="368">
          <cell r="A368" t="str">
            <v>Cây mơ, mận đường kính gốc 7cm ≤ Φ &lt; 9cm</v>
          </cell>
        </row>
        <row r="369">
          <cell r="A369" t="str">
            <v>Cây mơ, mận đường kính gốc 9cm ≤ Φ &lt; 12cm</v>
          </cell>
        </row>
        <row r="370">
          <cell r="A370" t="str">
            <v>Cây mơ, mận đường kính gốc 12cm ≤ Φ &lt; 15cm</v>
          </cell>
        </row>
        <row r="371">
          <cell r="A371" t="str">
            <v>Cây mơ, mận đường kính gốc 15cm ≤ Φ &lt; 20cm</v>
          </cell>
        </row>
        <row r="372">
          <cell r="A372" t="str">
            <v>Cây mơ, mận đường kính gốc 20cm ≤ Φ &lt; 25cm</v>
          </cell>
        </row>
        <row r="373">
          <cell r="A373" t="str">
            <v>Cây mơ, mận đường kính gốc Φ ≥ 25cm</v>
          </cell>
        </row>
        <row r="374">
          <cell r="A374" t="str">
            <v xml:space="preserve">Cau ăn quả (tính theo đường kính gốc F) </v>
          </cell>
        </row>
        <row r="375">
          <cell r="A375" t="str">
            <v>Cây cau giống đủ tiêu chuẩn mới trồng, chiều cao cây H ≥ 40cm</v>
          </cell>
        </row>
        <row r="376">
          <cell r="A376" t="str">
            <v>Cây cau đường kính gốc 1cm ≤ Φ &lt; 2cm</v>
          </cell>
        </row>
        <row r="377">
          <cell r="A377" t="str">
            <v>Cây cau đường kính gốc 2cm ≤ Φ &lt; 5cm</v>
          </cell>
        </row>
        <row r="378">
          <cell r="A378" t="str">
            <v>Cây cau đường kính gốc 5cm ≤ Φ &lt; 7cm</v>
          </cell>
        </row>
        <row r="379">
          <cell r="A379" t="str">
            <v>Cây cau đường kính gốc 7cm ≤ Φ &lt; 9cm</v>
          </cell>
        </row>
        <row r="380">
          <cell r="A380" t="str">
            <v>Cây cau đường kính gốc 9cm ≤ Φ &lt; 12cm</v>
          </cell>
        </row>
        <row r="381">
          <cell r="A381" t="str">
            <v>Cây cau đường kính gốc 12cm ≤ Φ &lt; 15cm</v>
          </cell>
        </row>
        <row r="382">
          <cell r="A382" t="str">
            <v>Cây cau đường kính gốc 15cm ≤ Φ &lt; 20cm</v>
          </cell>
        </row>
        <row r="383">
          <cell r="A383" t="str">
            <v>Cây cau đường kính gốc Φ ≥ 20cm</v>
          </cell>
        </row>
        <row r="384">
          <cell r="A384" t="str">
            <v xml:space="preserve">Vú sữa (tính theo đường kính gốc F) </v>
          </cell>
        </row>
        <row r="385">
          <cell r="A385" t="str">
            <v>Cây vú sữa giống đủ tiêu chuẩn mới trồng, chiều cao cây H ≥ 40cm</v>
          </cell>
        </row>
        <row r="386">
          <cell r="A386" t="str">
            <v>Cây vú sữa đường kính gốc 1cm ≤ Φ &lt; 2cm</v>
          </cell>
        </row>
        <row r="387">
          <cell r="A387" t="str">
            <v>Cây vú sữa đường kính gốc 2cm ≤ Φ &lt; 5cm</v>
          </cell>
        </row>
        <row r="388">
          <cell r="A388" t="str">
            <v>Cây vú sữa đường kính gốc 5cm ≤ Φ &lt; 7cm</v>
          </cell>
        </row>
        <row r="389">
          <cell r="A389" t="str">
            <v>Cây vú sữa đường kính gốc 7cm ≤ Φ &lt; 9cm</v>
          </cell>
        </row>
        <row r="390">
          <cell r="A390" t="str">
            <v>Cây vú sữa đường kính gốc 9cm ≤ Φ &lt; 12cm</v>
          </cell>
        </row>
        <row r="391">
          <cell r="A391" t="str">
            <v>Cây vú sữa đường kính gốc 12cm ≤ Φ &lt; 15cm</v>
          </cell>
        </row>
        <row r="392">
          <cell r="A392" t="str">
            <v>Cây vú sữa đường kính gốc 15cm ≤ Φ &lt; 20cm</v>
          </cell>
        </row>
        <row r="393">
          <cell r="A393" t="str">
            <v>Cây vú sữa đường kính gốc 20cm ≤ Φ &lt; 25cm</v>
          </cell>
        </row>
        <row r="394">
          <cell r="A394" t="str">
            <v>Cây vú sữa đường kính gốc 25cm ≤ Φ &lt; 30cm</v>
          </cell>
        </row>
        <row r="395">
          <cell r="A395" t="str">
            <v>Cây vú sữa đường kính gốc 30cm ≤ Φ &lt; 35cm</v>
          </cell>
        </row>
        <row r="396">
          <cell r="A396" t="str">
            <v>Cây vú sữa đường kính gốc 35cm ≤ Φ &lt; 50cm</v>
          </cell>
        </row>
        <row r="397">
          <cell r="A397" t="str">
            <v>Cây vú sữa đường kính gốc Φ ≥ 50cm</v>
          </cell>
        </row>
        <row r="398">
          <cell r="A398" t="str">
            <v>Đu đủ (tính theo đường kính gốc F)</v>
          </cell>
        </row>
        <row r="399">
          <cell r="A399" t="str">
            <v xml:space="preserve">Cây đu đủ giống đủ tiêu chuẩn mới trồng, chiều cao cây H ≥ 40cm </v>
          </cell>
        </row>
        <row r="400">
          <cell r="A400" t="str">
            <v>Cây đu đủ đường kính gốc 2cm ≤ Φ &lt; 5cm</v>
          </cell>
        </row>
        <row r="401">
          <cell r="A401" t="str">
            <v>Cây đu đủ đường kính gốc 5cm ≤ Φ &lt; 9cm</v>
          </cell>
        </row>
        <row r="402">
          <cell r="A402" t="str">
            <v>Cây đu đủ đường kính gốc 9cm ≤ Φ &lt; 12cm</v>
          </cell>
        </row>
        <row r="403">
          <cell r="A403" t="str">
            <v>Cây đu đủ đường kính gốc 12cm ≤ Φ &lt; 15cm</v>
          </cell>
        </row>
        <row r="404">
          <cell r="A404" t="str">
            <v>Cây đu đủ đường kính gốc 15cm ≤ Φ &lt; 20cm</v>
          </cell>
        </row>
        <row r="405">
          <cell r="A405" t="str">
            <v>Cây đu đủ đường kính gốc Φ ≥ 20cm</v>
          </cell>
        </row>
        <row r="406">
          <cell r="A406" t="str">
            <v xml:space="preserve">Roi (tính theo đường kính tán F) </v>
          </cell>
        </row>
        <row r="407">
          <cell r="A407" t="str">
            <v>Cây roi giống đủ tiêu chuẩn mới trồng</v>
          </cell>
        </row>
        <row r="408">
          <cell r="A408" t="str">
            <v>Cây roi đường kính tán 0,7m ≤ Φ &lt; 1m</v>
          </cell>
        </row>
        <row r="409">
          <cell r="A409" t="str">
            <v>Cây roi đường kính tán 1m ≤ Φ &lt; 1,5m</v>
          </cell>
        </row>
        <row r="410">
          <cell r="A410" t="str">
            <v>Cây roi đường kính tán 1,5m ≤ Φ &lt; 2m</v>
          </cell>
        </row>
        <row r="411">
          <cell r="A411" t="str">
            <v>Cây roi đường kính tán 2m ≤ Φ &lt; 3m</v>
          </cell>
        </row>
        <row r="412">
          <cell r="A412" t="str">
            <v>Cây roi đường kính tán 3m ≤ Φ &lt; 4m</v>
          </cell>
        </row>
        <row r="413">
          <cell r="A413" t="str">
            <v>Cây roi đường kính tán 4m ≤ Φ &lt; 5m</v>
          </cell>
        </row>
        <row r="414">
          <cell r="A414" t="str">
            <v>Cây roi đường kính tán 5m ≤ Φ &lt; 6m</v>
          </cell>
        </row>
        <row r="415">
          <cell r="A415" t="str">
            <v>Cây roi đường kính tán 6m ≤ Φ &lt; 7m</v>
          </cell>
        </row>
        <row r="416">
          <cell r="A416" t="str">
            <v>Cây roi đường kính tán 7m ≤ Φ &lt; 8m</v>
          </cell>
        </row>
        <row r="417">
          <cell r="A417" t="str">
            <v>Cây roi đường kính tán 8m ≤ Φ &lt; 9m</v>
          </cell>
        </row>
        <row r="418">
          <cell r="A418" t="str">
            <v>Cây roi đường kính tán 9m ≤ Φ &lt; 12m</v>
          </cell>
        </row>
        <row r="419">
          <cell r="A419" t="str">
            <v>Cây roi đường kính tán Φ ≥ 12m</v>
          </cell>
        </row>
        <row r="420">
          <cell r="A420" t="str">
            <v>Sấu (tính theo đường kính gốc F)</v>
          </cell>
        </row>
        <row r="421">
          <cell r="A421" t="str">
            <v>Cây sấu giống đủ tiêu chuẩn mới trồng, chiều cao cây H ≥ 40cm</v>
          </cell>
        </row>
        <row r="422">
          <cell r="A422" t="str">
            <v>Cây sấu đường kính gốc 1cm ≤ Φ &lt; 2cm</v>
          </cell>
        </row>
        <row r="423">
          <cell r="A423" t="str">
            <v>Cây sấu đường kính gốc 2cm ≤ Φ &lt; 5cm</v>
          </cell>
        </row>
        <row r="424">
          <cell r="A424" t="str">
            <v>Cây sấu đường kính gốc 5cm ≤ Φ &lt; 7cm</v>
          </cell>
        </row>
        <row r="425">
          <cell r="A425" t="str">
            <v>Cây sấu đường kính gốc 7cm ≤ Φ &lt; 9cm</v>
          </cell>
        </row>
        <row r="426">
          <cell r="A426" t="str">
            <v>Cây sấu đường kính gốc 9cm ≤ Φ &lt; 12cm</v>
          </cell>
        </row>
        <row r="427">
          <cell r="A427" t="str">
            <v>Cây sấu đường kính gốc 12cm ≤ Φ &lt; 15cm</v>
          </cell>
        </row>
        <row r="428">
          <cell r="A428" t="str">
            <v>Cây sấu đường kính gốc 15cm ≤ Φ &lt; 20cm</v>
          </cell>
        </row>
        <row r="429">
          <cell r="A429" t="str">
            <v>Cây sấu đường kính gốc 20cm ≤ Φ &lt; 25cm</v>
          </cell>
        </row>
        <row r="430">
          <cell r="A430" t="str">
            <v>Cây sấu đường kính gốc 25cm ≤ Φ &lt; 30cm</v>
          </cell>
        </row>
        <row r="431">
          <cell r="A431" t="str">
            <v>Cây sấu đường kính gốc 30cm ≤ Φ &lt; 35cm</v>
          </cell>
        </row>
        <row r="432">
          <cell r="A432" t="str">
            <v>Cây sấu đường kính gốc 35cm ≤ Φ &lt; 50cm</v>
          </cell>
        </row>
        <row r="433">
          <cell r="A433" t="str">
            <v>Cây sấu đường kính gốc Φ ≥ 50cm</v>
          </cell>
        </row>
        <row r="434">
          <cell r="A434" t="str">
            <v>Trứng cá (tính theo đường kính gốc F)</v>
          </cell>
        </row>
        <row r="435">
          <cell r="A435" t="str">
            <v>Cây trứng cá giống đủ tiêu chuẩn mới trồng, chiều cao cây H ≥ 40cm</v>
          </cell>
        </row>
        <row r="436">
          <cell r="A436" t="str">
            <v xml:space="preserve">Cây trứng cá đường kính gốc 1cm ≤ Φ &lt; 2cm </v>
          </cell>
        </row>
        <row r="437">
          <cell r="A437" t="str">
            <v>Cây trứng cá đường kính gốc 2cm ≤ Φ &lt; 5cm</v>
          </cell>
        </row>
        <row r="438">
          <cell r="A438" t="str">
            <v>Cây trứng cá đường kính gốc 5cm ≤ Φ &lt; 7cm</v>
          </cell>
        </row>
        <row r="439">
          <cell r="A439" t="str">
            <v>Cây trứng cá đường kính gốc 7cm ≤ Φ &lt; 9cm</v>
          </cell>
        </row>
        <row r="440">
          <cell r="A440" t="str">
            <v>Cây trứng cá đường kính gốc 9cm ≤ Φ &lt; 12cm</v>
          </cell>
        </row>
        <row r="441">
          <cell r="A441" t="str">
            <v>Cây trứng cá đường kính gốc 12cm ≤ Φ &lt; 15cm</v>
          </cell>
        </row>
        <row r="442">
          <cell r="A442" t="str">
            <v>Cây trứng cá đường kính gốc 15cm ≤ Φ &lt; 20cm</v>
          </cell>
        </row>
        <row r="443">
          <cell r="A443" t="str">
            <v>Cây trứng cá đường kính gốc 20cm ≤ Φ &lt; 25cm</v>
          </cell>
        </row>
        <row r="444">
          <cell r="A444" t="str">
            <v>Cây trứng cá đường kính gốc 25cm ≤ Φ &lt; 30cm</v>
          </cell>
        </row>
        <row r="445">
          <cell r="A445" t="str">
            <v>Cây trứng cá đường kính gốc 30cm ≤ Φ &lt; 35cm</v>
          </cell>
        </row>
        <row r="446">
          <cell r="A446" t="str">
            <v>Cây trứng cá đường kính gốc Φ ≥ 35cm</v>
          </cell>
        </row>
        <row r="447">
          <cell r="A447" t="str">
            <v>Sung (tính theo đường kính gốc F)</v>
          </cell>
        </row>
        <row r="448">
          <cell r="A448" t="str">
            <v xml:space="preserve">Cây sung giống đủ tiêu chuẩn mới trồng, chiều cao cây H ≥ 40cm  </v>
          </cell>
        </row>
        <row r="449">
          <cell r="A449" t="str">
            <v>Cây sung đường kính gốc 1cm ≤ Φ &lt; 5cm</v>
          </cell>
        </row>
        <row r="450">
          <cell r="A450" t="str">
            <v>Cây sung đường kính gốc 5cm ≤ Φ &lt; 10cm</v>
          </cell>
        </row>
        <row r="451">
          <cell r="A451" t="str">
            <v xml:space="preserve">Cây sung đường kính gốc 10cm ≤ Φ &lt; 15cm  </v>
          </cell>
        </row>
        <row r="452">
          <cell r="A452" t="str">
            <v>Cây sung đường kính gốc 15cm ≤ Φ &lt; 20cm</v>
          </cell>
        </row>
        <row r="453">
          <cell r="A453" t="str">
            <v>Cây sung đường kính gốc 20cm ≤ Φ &lt; 25cm</v>
          </cell>
        </row>
        <row r="454">
          <cell r="A454" t="str">
            <v>Cây sung đường kính gốc 25cm ≤ Φ &lt; 30cm</v>
          </cell>
        </row>
        <row r="455">
          <cell r="A455" t="str">
            <v>Cây sung đường kính gốc 30cm ≤ Φ &lt; 35cm</v>
          </cell>
        </row>
        <row r="456">
          <cell r="A456" t="str">
            <v>Cây sung đường kính gốc 35cm ≤ Φ &lt; 50cm</v>
          </cell>
        </row>
        <row r="457">
          <cell r="A457" t="str">
            <v>Cây sung đường kính gốc Φ ≥ 50cm</v>
          </cell>
        </row>
        <row r="458">
          <cell r="A458" t="str">
            <v>Vối (tính theo đường kính gốc F)</v>
          </cell>
        </row>
        <row r="459">
          <cell r="A459" t="str">
            <v>Cây vối giống đủ tiêu chuẩn mới trồng, chiều cao cây H ≥ 40cm</v>
          </cell>
        </row>
        <row r="460">
          <cell r="A460" t="str">
            <v>Cây vối đường kính gốc 1cm ≤ Φ &lt; 5cm</v>
          </cell>
        </row>
        <row r="461">
          <cell r="A461" t="str">
            <v>Cây vối đường kính gốc 5cm ≤ Φ &lt; 10cm</v>
          </cell>
        </row>
        <row r="462">
          <cell r="A462" t="str">
            <v>Cây vối đường kính gốc 10cm ≤ Φ &lt; 15cm</v>
          </cell>
        </row>
        <row r="463">
          <cell r="A463" t="str">
            <v>Cây vối đường kính gốc 15cm ≤ Φ &lt; 20cm</v>
          </cell>
        </row>
        <row r="464">
          <cell r="A464" t="str">
            <v>Cây vối đường kính gốc 20cm ≤ Φ &lt; 25cm</v>
          </cell>
        </row>
        <row r="465">
          <cell r="A465" t="str">
            <v>Cây vối đường kính gốc 25cm ≤ Φ &lt; 30cm</v>
          </cell>
        </row>
        <row r="466">
          <cell r="A466" t="str">
            <v>Cây vối đường kính gốc 30cm ≤ Φ &lt; 35cm</v>
          </cell>
        </row>
        <row r="467">
          <cell r="A467" t="str">
            <v>Cây vối đường kính gốc 35cm ≤ Φ &lt; 50cm</v>
          </cell>
        </row>
        <row r="468">
          <cell r="A468" t="str">
            <v>Cây vối đường kính gốc F ³ 50cm</v>
          </cell>
        </row>
        <row r="469">
          <cell r="A469" t="str">
            <v>Cây Mãng cầu</v>
          </cell>
        </row>
        <row r="470">
          <cell r="A470" t="str">
            <v>Cây mãng cầu mới trồng &lt; 01 năm (cây từ hạt)</v>
          </cell>
        </row>
        <row r="471">
          <cell r="A471" t="str">
            <v>Cây mãng cầu mới trồng &lt; 01 năm (cây ghép)</v>
          </cell>
        </row>
        <row r="472">
          <cell r="A472" t="str">
            <v>Cây mãng cầu trồng ≥ 01 năm, chiều cao thân cây &lt; 1m chưa có quả</v>
          </cell>
        </row>
        <row r="473">
          <cell r="A473" t="str">
            <v>Cây mãng cầu có chiều cao thân cây ≥ 1m chưa có quả</v>
          </cell>
        </row>
        <row r="474">
          <cell r="A474" t="str">
            <v>Cây mãng cầu đã có quả</v>
          </cell>
        </row>
        <row r="475">
          <cell r="A475" t="str">
            <v>Cây mãng cầu có quả kém, già cỗi (hỗ trợ công chặt)</v>
          </cell>
        </row>
        <row r="476">
          <cell r="A476" t="str">
            <v>Cây Bơ </v>
          </cell>
        </row>
        <row r="477">
          <cell r="A477" t="str">
            <v>Cây bơ mới trồng &lt; 01 năm (cây từ hạt)</v>
          </cell>
        </row>
        <row r="478">
          <cell r="A478" t="str">
            <v>Cây bơ mới trồng &lt; 01 năm (cây ghép)</v>
          </cell>
        </row>
        <row r="479">
          <cell r="A479" t="str">
            <v>Cây bơ trồng ≥ 01 năm, chiều cao thân cây &lt; 1m chưa có quả</v>
          </cell>
        </row>
        <row r="480">
          <cell r="A480" t="str">
            <v>Cây bơ có chiều cao thân cây ≥ 1m chưa có quả</v>
          </cell>
        </row>
        <row r="481">
          <cell r="A481" t="str">
            <v>Cây bơ có quả đường kính gốc &lt; 20cm</v>
          </cell>
        </row>
        <row r="482">
          <cell r="A482" t="str">
            <v>Cây bơ có quả tốt đường kính gốc từ 20cm đến 40cm</v>
          </cell>
        </row>
        <row r="483">
          <cell r="A483" t="str">
            <v>Cây bơ có quả đường kính gốc &gt; 40cm</v>
          </cell>
        </row>
        <row r="484">
          <cell r="A484" t="str">
            <v>Cây bơ có quả kém, già cỗi (hỗ trợ công chặt)</v>
          </cell>
        </row>
        <row r="485">
          <cell r="A485" t="str">
            <v>Cây Sầu riêng</v>
          </cell>
        </row>
        <row r="486">
          <cell r="A486" t="str">
            <v>Cây sầu riêng mới trồng &lt; 01 năm (cây từ hạt)</v>
          </cell>
        </row>
        <row r="487">
          <cell r="A487" t="str">
            <v>Cây sầu riêng mới trồng &lt; 01 năm (cây ghép)</v>
          </cell>
        </row>
        <row r="488">
          <cell r="A488" t="str">
            <v>Cây sầu riêng trồng ≥ 01 năm, chiều cao thân cây &lt; 1m chưa có quả</v>
          </cell>
        </row>
        <row r="489">
          <cell r="A489" t="str">
            <v>Cây sầu riêng trồng có chiều cao thân cây từ ≥ 1m chưa có quả</v>
          </cell>
        </row>
        <row r="490">
          <cell r="A490" t="str">
            <v>Cây sầu riêng có quả đường kính gốc &lt; 20cm</v>
          </cell>
        </row>
        <row r="491">
          <cell r="A491" t="str">
            <v>Cây sầu riêng có quả tốt đường kính gốc ≥ 20cm đến &lt; 45cm</v>
          </cell>
        </row>
        <row r="492">
          <cell r="A492" t="str">
            <v>Cây sầu riêng có quả thu hoạch tốt đường kính gốc ≥ 45cm</v>
          </cell>
        </row>
        <row r="493">
          <cell r="A493" t="str">
            <v>Dứa ăn quả</v>
          </cell>
        </row>
        <row r="494">
          <cell r="A494" t="str">
            <v>Dứa quả cây giống</v>
          </cell>
        </row>
        <row r="495">
          <cell r="A495" t="str">
            <v>Dứa cây chưa ra quả</v>
          </cell>
        </row>
        <row r="496">
          <cell r="A496" t="str">
            <v xml:space="preserve">Dứa đang ra quả </v>
          </cell>
        </row>
        <row r="497">
          <cell r="A497" t="str">
            <v>Dứa khóm (tính theo khóm) có từ 4 cây trở lên</v>
          </cell>
        </row>
        <row r="498">
          <cell r="A498" t="str">
            <v>Chuối (tính theo đường kính gốc Φ)</v>
          </cell>
        </row>
        <row r="499">
          <cell r="A499" t="str">
            <v>Cây chuối có đường kính gốc Φ &lt; 15cm</v>
          </cell>
        </row>
        <row r="500">
          <cell r="A500" t="str">
            <v>Cây chuối có đường kính gốc Φ ≥ 15cm (chưa có buồng)</v>
          </cell>
        </row>
        <row r="501">
          <cell r="A501" t="str">
            <v>Chuối có buồng non chưa thu hoạch</v>
          </cell>
        </row>
        <row r="502">
          <cell r="A502" t="str">
            <v>Nhót, nho</v>
          </cell>
        </row>
        <row r="503">
          <cell r="A503" t="str">
            <v>Cây nhót, nho giống</v>
          </cell>
        </row>
        <row r="504">
          <cell r="A504" t="str">
            <v>Cây nhót, nho đã phát triển (tính theo diện tích giàn)</v>
          </cell>
        </row>
        <row r="505">
          <cell r="A505" t="str">
            <v>Gấc</v>
          </cell>
        </row>
        <row r="506">
          <cell r="A506" t="str">
            <v xml:space="preserve">Gấc tính theo m2 giàn </v>
          </cell>
        </row>
        <row r="507">
          <cell r="A507" t="str">
            <v>Gấc tính theo khóm gốc</v>
          </cell>
        </row>
        <row r="508">
          <cell r="A508" t="str">
            <v xml:space="preserve">Cây gấc chiều dài dây leo L &lt; 3m </v>
          </cell>
        </row>
        <row r="509">
          <cell r="A509" t="str">
            <v xml:space="preserve">Cây gấc chiều dài dây leo 3m ≤ L &lt; 10m </v>
          </cell>
        </row>
        <row r="510">
          <cell r="A510" t="str">
            <v xml:space="preserve">Cây gấc chiều dài dây leo L ≥ 10m </v>
          </cell>
        </row>
        <row r="511">
          <cell r="A511" t="str">
            <v xml:space="preserve">Lựu (tính theo đường kính gốc F) </v>
          </cell>
        </row>
        <row r="512">
          <cell r="A512" t="str">
            <v>Cây lựu mới trồng, chiều cao cây  H ≥ 40cm</v>
          </cell>
        </row>
        <row r="513">
          <cell r="A513" t="str">
            <v>Cây lựu đường kính gốc 1cm ≤ Φ &lt; 2cm</v>
          </cell>
        </row>
        <row r="514">
          <cell r="A514" t="str">
            <v>Cây lựu đường kính gốc 2cm ≤ Φ &lt; 5cm</v>
          </cell>
        </row>
        <row r="515">
          <cell r="A515" t="str">
            <v>Cây lựu đường kính gốc 5cm ≤ Φ &lt; 7cm</v>
          </cell>
        </row>
        <row r="516">
          <cell r="A516" t="str">
            <v>Cây lựu đường kính gốc 7cm ≤ Φ &lt; 9cm</v>
          </cell>
        </row>
        <row r="517">
          <cell r="A517" t="str">
            <v>Cây lựu đường kính gốc 9cm ≤ Φ &lt; 12cm</v>
          </cell>
        </row>
        <row r="518">
          <cell r="A518" t="str">
            <v xml:space="preserve">Cây lựu đường kính gốc 12cm ≤ Φ &lt; 15cm </v>
          </cell>
        </row>
        <row r="519">
          <cell r="A519" t="str">
            <v xml:space="preserve">Cây lựu đường kính gốc 15cm ≤ Φ &lt; 20cm </v>
          </cell>
        </row>
        <row r="520">
          <cell r="A520" t="str">
            <v xml:space="preserve">Cây lựu đường kính gốc Φ ≥ 20cm </v>
          </cell>
        </row>
        <row r="521">
          <cell r="A521" t="str">
            <v>CÂY LẤY GỖ</v>
          </cell>
        </row>
        <row r="522">
          <cell r="A522" t="str">
            <v>Bạch đàn, phi lao, keo (tính theo đường kính gốc F)</v>
          </cell>
        </row>
        <row r="523">
          <cell r="A523" t="str">
            <v>Cây keo giống đủ tiêu chuẩn mới trồng, chiều cao cây H ≥ 40cm</v>
          </cell>
        </row>
        <row r="524">
          <cell r="A524" t="str">
            <v>Cây keo đường kính gốc 1cm ≤ Φ &lt; 2cm</v>
          </cell>
        </row>
        <row r="525">
          <cell r="A525" t="str">
            <v>Cây keo đường kính gốc 2cm ≤ Φ &lt; 5cm</v>
          </cell>
        </row>
        <row r="526">
          <cell r="A526" t="str">
            <v>Cây keo đường kính gốc 5cm ≤ Φ &lt; 10cm</v>
          </cell>
        </row>
        <row r="527">
          <cell r="A527" t="str">
            <v>Cây keo đường kính gốc 10cm ≤ Φ &lt; 15cm</v>
          </cell>
        </row>
        <row r="528">
          <cell r="A528" t="str">
            <v>Cây keo đường kính gốc 15cm ≤ Φ &lt; 20cm</v>
          </cell>
        </row>
        <row r="529">
          <cell r="A529" t="str">
            <v>Cây keo đường kính gốc 20cm ≤ Φ &lt; 25cm</v>
          </cell>
        </row>
        <row r="530">
          <cell r="A530" t="str">
            <v>Cây keo đường kính gốc 25cm ≤ Φ &lt; 30cm</v>
          </cell>
        </row>
        <row r="531">
          <cell r="A531" t="str">
            <v>Cây keo đường kính gốc 30cm ≤ Φ &lt; 35cm</v>
          </cell>
        </row>
        <row r="532">
          <cell r="A532" t="str">
            <v>Cây keo đường kính gốc 35cm ≤ Φ &lt; 50cm</v>
          </cell>
        </row>
        <row r="533">
          <cell r="A533" t="str">
            <v>Cây keo đường kính gốc Φ ≥ 50cm (chi phí chặt hạ)</v>
          </cell>
        </row>
        <row r="534">
          <cell r="A534" t="str">
            <v>Cây bạch đàn giống đủ tiêu chuẩn mới trồng, chiều cao cây H ≥ 40cm</v>
          </cell>
        </row>
        <row r="535">
          <cell r="A535" t="str">
            <v>Cây bạch đàn đường kính gốc 1cm ≤ Φ &lt; 2cm</v>
          </cell>
        </row>
        <row r="536">
          <cell r="A536" t="str">
            <v>Cây bạch đàn đường kính gốc 2cm ≤ Φ &lt; 5cm</v>
          </cell>
        </row>
        <row r="537">
          <cell r="A537" t="str">
            <v>Cây bạch đàn đường kính gốc 5cm ≤ Φ &lt; 10cm</v>
          </cell>
        </row>
        <row r="538">
          <cell r="A538" t="str">
            <v>Cây bạch đàn đường kính gốc 10cm ≤ Φ &lt; 15cm</v>
          </cell>
        </row>
        <row r="539">
          <cell r="A539" t="str">
            <v>Cây bạch đàn đường kính gốc 15cm ≤ Φ &lt; 20cm</v>
          </cell>
        </row>
        <row r="540">
          <cell r="A540" t="str">
            <v>Cây bạch đàn đường kính gốc 20cm ≤ Φ &lt; 25cm</v>
          </cell>
        </row>
        <row r="541">
          <cell r="A541" t="str">
            <v>Cây bạch đàn đường kính gốc 25cm ≤ Φ &lt; 30cm</v>
          </cell>
        </row>
        <row r="542">
          <cell r="A542" t="str">
            <v>Cây bạch đàn đường kính gốc 30cm ≤ Φ &lt; 35cm</v>
          </cell>
        </row>
        <row r="543">
          <cell r="A543" t="str">
            <v>Cây bạch đàn đường kính gốc 35cm ≤ Φ &lt; 50cm</v>
          </cell>
        </row>
        <row r="544">
          <cell r="A544" t="str">
            <v>Cây bạch đàn đường kính gốc Φ ≥ 50cm (chi phí chặt hạ)</v>
          </cell>
        </row>
        <row r="545">
          <cell r="A545" t="str">
            <v>Cây phi lao giống đủ tiêu chuẩn mới trồng, chiều cao cây H ≥ 40cm</v>
          </cell>
        </row>
        <row r="546">
          <cell r="A546" t="str">
            <v>Cây phi lao đường kính gốc 1cm ≤ Φ &lt; 2cm</v>
          </cell>
        </row>
        <row r="547">
          <cell r="A547" t="str">
            <v>Cây phi lao đường kính gốc 2cm ≤ Φ &lt; 5cm</v>
          </cell>
        </row>
        <row r="548">
          <cell r="A548" t="str">
            <v>Cây phi lao đường kính gốc 5cm ≤ Φ &lt; 10cm</v>
          </cell>
        </row>
        <row r="549">
          <cell r="A549" t="str">
            <v>Cây phi lao đường kính gốc 10cm ≤ Φ &lt; 15cm</v>
          </cell>
        </row>
        <row r="550">
          <cell r="A550" t="str">
            <v>Cây phi lao đường kính gốc 15cm ≤ Φ &lt; 20cm</v>
          </cell>
        </row>
        <row r="551">
          <cell r="A551" t="str">
            <v>Cây phi lao đường kính gốc 20cm ≤ Φ &lt; 25cm</v>
          </cell>
        </row>
        <row r="552">
          <cell r="A552" t="str">
            <v>Cây phi lao đường kính gốc 25cm ≤ Φ &lt; 30cm</v>
          </cell>
        </row>
        <row r="553">
          <cell r="A553" t="str">
            <v>Cây phi lao đường kính gốc 30cm ≤ Φ &lt; 35cm</v>
          </cell>
        </row>
        <row r="554">
          <cell r="A554" t="str">
            <v>Cây phi lao đường kính gốc 35cm ≤ Φ &lt; 50cm</v>
          </cell>
        </row>
        <row r="555">
          <cell r="A555" t="str">
            <v>Cây phi lao đường kính gốc Φ ≥ 50cm (chi phí chặt hạ)</v>
          </cell>
        </row>
        <row r="556">
          <cell r="A556" t="str">
            <v xml:space="preserve">Xà cừ, thông (tính theo đường kính gốc F) </v>
          </cell>
        </row>
        <row r="557">
          <cell r="A557" t="str">
            <v>Cây xà cừ giống đủ tiêu chuẩn mới trồng, chiều cao cây H ≥ 40cm</v>
          </cell>
        </row>
        <row r="558">
          <cell r="A558" t="str">
            <v>Cây xà cừ đường kính gốc 1cm ≤ Φ &lt;  2cm</v>
          </cell>
        </row>
        <row r="559">
          <cell r="A559" t="str">
            <v>Cây xà cừ đường kính gốc 2cm ≤ Φ &lt;  5cm</v>
          </cell>
        </row>
        <row r="560">
          <cell r="A560" t="str">
            <v>Cây xà cừ đường kính gốc 5cm ≤ Φ &lt;  10cm</v>
          </cell>
        </row>
        <row r="561">
          <cell r="A561" t="str">
            <v>Cây xà cừ đường kính gốc 10cm ≤ Φ &lt; 15cm</v>
          </cell>
        </row>
        <row r="562">
          <cell r="A562" t="str">
            <v>Cây xà cừ đường kính gốc 15cm ≤ Φ &lt;  20cm</v>
          </cell>
        </row>
        <row r="563">
          <cell r="A563" t="str">
            <v>Cây xà cừ đường kính gốc 20cm ≤ Φ &lt;  25cm</v>
          </cell>
        </row>
        <row r="564">
          <cell r="A564" t="str">
            <v>Cây xà cừ đường kính gốc 25cm ≤ Φ &lt;  30cm</v>
          </cell>
        </row>
        <row r="565">
          <cell r="A565" t="str">
            <v xml:space="preserve">Cây xà cừ đường kính gốc 30cm ≤ Φ &lt;  35cm </v>
          </cell>
        </row>
        <row r="566">
          <cell r="A566" t="str">
            <v xml:space="preserve">Cây xà cừ đường kính gốc 35cm ≤ Φ &lt;  50cm </v>
          </cell>
        </row>
        <row r="567">
          <cell r="A567" t="str">
            <v>Cây xà cừ đường kính gốc Φ ≥ 50cm (chi phí chặt hạ)</v>
          </cell>
        </row>
        <row r="568">
          <cell r="A568" t="str">
            <v>Cây thông giống đủ tiêu chuẩn mới trồng, chiều cao cây H ≥ 40cm</v>
          </cell>
        </row>
        <row r="569">
          <cell r="A569" t="str">
            <v>Cây thông đường kính gốc 1cm ≤ Φ &lt;  2cm</v>
          </cell>
        </row>
        <row r="570">
          <cell r="A570" t="str">
            <v>Cây thông đường kính gốc 2cm ≤ Φ &lt;  5cm</v>
          </cell>
        </row>
        <row r="571">
          <cell r="A571" t="str">
            <v>Cây thông đường kính gốc 5cm ≤ Φ &lt;  10cm</v>
          </cell>
        </row>
        <row r="572">
          <cell r="A572" t="str">
            <v>Cây thông đường kính gốc 10cm ≤ Φ &lt; 15cm</v>
          </cell>
        </row>
        <row r="573">
          <cell r="A573" t="str">
            <v>Cây thông đường kính gốc 15cm ≤ Φ &lt;  20cm</v>
          </cell>
        </row>
        <row r="574">
          <cell r="A574" t="str">
            <v>Cây thông đường kính gốc 20cm ≤ Φ &lt;  25cm</v>
          </cell>
        </row>
        <row r="575">
          <cell r="A575" t="str">
            <v>Cây thông đường kính gốc 25cm ≤ Φ &lt;  30cm</v>
          </cell>
        </row>
        <row r="576">
          <cell r="A576" t="str">
            <v xml:space="preserve">Cây thông đường kính gốc 30cm ≤ Φ &lt;  35cm </v>
          </cell>
        </row>
        <row r="577">
          <cell r="A577" t="str">
            <v xml:space="preserve">Cây thông đường kính gốc 35cm ≤ Φ &lt;  50cm </v>
          </cell>
        </row>
        <row r="578">
          <cell r="A578" t="str">
            <v>Cây thông đường kính gốc Φ ≥ 50cm (chi phí chặt hạ)</v>
          </cell>
        </row>
        <row r="579">
          <cell r="A579" t="str">
            <v>Bàng, hoa sữa, bằng lăng, gạo, đa, phượng vĩ và các cây tương tự (tính theo đường kính gốc F)</v>
          </cell>
        </row>
        <row r="580">
          <cell r="A580" t="str">
            <v>Cây bàng giống đủ tiêu chuẩn mới trồng, chiều cao H ≥ 40cm</v>
          </cell>
        </row>
        <row r="581">
          <cell r="A581" t="str">
            <v>Cây bàng đường kính gốc 1cm ≤ Φ &lt; 3cm</v>
          </cell>
        </row>
        <row r="582">
          <cell r="A582" t="str">
            <v>Cây bàng đường kính gốc 3cm ≤ Φ &lt; 5cm</v>
          </cell>
        </row>
        <row r="583">
          <cell r="A583" t="str">
            <v>Cây bàng đường kính gốc 5cm ≤ Φ &lt; 10cm</v>
          </cell>
        </row>
        <row r="584">
          <cell r="A584" t="str">
            <v>Cây bàng đường kính gốc 10cm ≤ Φ &lt; 15cm</v>
          </cell>
        </row>
        <row r="585">
          <cell r="A585" t="str">
            <v>Cây bàng đường kính gốc 15cm ≤ Φ &lt; 20cm</v>
          </cell>
        </row>
        <row r="586">
          <cell r="A586" t="str">
            <v>Cây bàng đường kính gốc 20cm ≤ Φ &lt; 25cm</v>
          </cell>
        </row>
        <row r="587">
          <cell r="A587" t="str">
            <v>Cây bàng đường kính gốc 25cm ≤ Φ &lt; 30cm</v>
          </cell>
        </row>
        <row r="588">
          <cell r="A588" t="str">
            <v>Cây bàng đường kính gốc 30cm ≤ Φ &lt; 35cm</v>
          </cell>
        </row>
        <row r="589">
          <cell r="A589" t="str">
            <v>Cây bàng đường kính gốc 35cm ≤ Φ &lt; 50cm</v>
          </cell>
        </row>
        <row r="590">
          <cell r="A590" t="str">
            <v>Cây bàng đường kính gốc Φ ≥ 50cm (chi phí chặt hạ)</v>
          </cell>
        </row>
        <row r="591">
          <cell r="A591" t="str">
            <v>Cây hoa sữa giống đủ tiêu chuẩn mới trồng, chiều cao H ≥ 40cm</v>
          </cell>
        </row>
        <row r="592">
          <cell r="A592" t="str">
            <v>Cây hoa sữa đường kính gốc 1cm ≤ Φ &lt; 3cm</v>
          </cell>
        </row>
        <row r="593">
          <cell r="A593" t="str">
            <v>Cây hoa sữa đường kính gốc 3cm ≤ Φ &lt; 5cm</v>
          </cell>
        </row>
        <row r="594">
          <cell r="A594" t="str">
            <v>Cây hoa sữa đường kính gốc 5cm ≤ Φ &lt; 10cm</v>
          </cell>
        </row>
        <row r="595">
          <cell r="A595" t="str">
            <v>Cây hoa sữa đường kính gốc 10cm ≤ Φ &lt; 15cm</v>
          </cell>
        </row>
        <row r="596">
          <cell r="A596" t="str">
            <v>Cây hoa sữa đường kính gốc 15cm ≤ Φ &lt; 20cm</v>
          </cell>
        </row>
        <row r="597">
          <cell r="A597" t="str">
            <v>Cây hoa sữa đường kính gốc 20cm ≤ Φ &lt; 25cm</v>
          </cell>
        </row>
        <row r="598">
          <cell r="A598" t="str">
            <v>Cây hoa sữa đường kính gốc 25cm ≤ Φ &lt; 30cm</v>
          </cell>
        </row>
        <row r="599">
          <cell r="A599" t="str">
            <v>Cây hoa sữa đường kính gốc 30cm ≤ Φ &lt; 35cm</v>
          </cell>
        </row>
        <row r="600">
          <cell r="A600" t="str">
            <v>Cây hoa sữa đường kính gốc 35cm ≤ Φ &lt; 50cm</v>
          </cell>
        </row>
        <row r="601">
          <cell r="A601" t="str">
            <v>Cây hoa sữa đường kính gốc Φ ≥ 50cm (chi phí chặt hạ)</v>
          </cell>
        </row>
        <row r="602">
          <cell r="A602" t="str">
            <v>Cây bằng lăng giống đủ tiêu chuẩn mới trồng, chiều cao H ≥ 40cm</v>
          </cell>
        </row>
        <row r="603">
          <cell r="A603" t="str">
            <v>Cây bằng lăng đường kính gốc 1cm ≤ Φ &lt; 3cm</v>
          </cell>
        </row>
        <row r="604">
          <cell r="A604" t="str">
            <v>Cây bằng lăng đường kính gốc 3cm ≤ Φ &lt; 5cm</v>
          </cell>
        </row>
        <row r="605">
          <cell r="A605" t="str">
            <v>Cây bằng lăng đường kính gốc 5cm ≤ Φ &lt; 10cm</v>
          </cell>
        </row>
        <row r="606">
          <cell r="A606" t="str">
            <v>Cây bằng lăng đường kính gốc 10cm ≤ Φ &lt; 15cm</v>
          </cell>
        </row>
        <row r="607">
          <cell r="A607" t="str">
            <v>Cây bằng lăng đường kính gốc 15cm ≤ Φ &lt; 20cm</v>
          </cell>
        </row>
        <row r="608">
          <cell r="A608" t="str">
            <v>Cây bằng lăng đường kính gốc 20cm ≤ Φ &lt; 25cm</v>
          </cell>
        </row>
        <row r="609">
          <cell r="A609" t="str">
            <v>Cây bằng lăng đường kính gốc 25cm ≤ Φ &lt; 30cm</v>
          </cell>
        </row>
        <row r="610">
          <cell r="A610" t="str">
            <v>Cây bằng lăng đường kính gốc 30cm ≤ Φ &lt; 35cm</v>
          </cell>
        </row>
        <row r="611">
          <cell r="A611" t="str">
            <v>Cây bằng lăng đường kính gốc 35cm ≤ Φ &lt; 50cm</v>
          </cell>
        </row>
        <row r="612">
          <cell r="A612" t="str">
            <v>Cây bằng lăng đường kính gốc Φ ≥ 50cm (chi phí chặt hạ)</v>
          </cell>
        </row>
        <row r="613">
          <cell r="A613" t="str">
            <v>Cây gạo giống đủ tiêu chuẩn mới trồng, chiều cao H ≥ 40cm</v>
          </cell>
        </row>
        <row r="614">
          <cell r="A614" t="str">
            <v>Cây gạo đường kính gốc 1cm ≤ Φ &lt; 3cm</v>
          </cell>
        </row>
        <row r="615">
          <cell r="A615" t="str">
            <v>Cây gạo đường kính gốc 3cm ≤ Φ &lt; 5cm</v>
          </cell>
        </row>
        <row r="616">
          <cell r="A616" t="str">
            <v>Cây gạo đường kính gốc 5cm ≤ Φ &lt; 10cm</v>
          </cell>
        </row>
        <row r="617">
          <cell r="A617" t="str">
            <v>Cây gạo đường kính gốc 10cm ≤ Φ &lt; 15cm</v>
          </cell>
        </row>
        <row r="618">
          <cell r="A618" t="str">
            <v>Cây gạo đường kính gốc 15cm ≤ Φ &lt; 20cm</v>
          </cell>
        </row>
        <row r="619">
          <cell r="A619" t="str">
            <v>Cây gạo đường kính gốc 20cm ≤ Φ &lt; 25cm</v>
          </cell>
        </row>
        <row r="620">
          <cell r="A620" t="str">
            <v>Cây gạo đường kính gốc 25cm ≤ Φ &lt; 30cm</v>
          </cell>
        </row>
        <row r="621">
          <cell r="A621" t="str">
            <v>Cây gạo đường kính gốc 30cm ≤ Φ &lt; 35cm</v>
          </cell>
        </row>
        <row r="622">
          <cell r="A622" t="str">
            <v>Cây gạo đường kính gốc 35cm ≤ Φ &lt; 50cm</v>
          </cell>
        </row>
        <row r="623">
          <cell r="A623" t="str">
            <v>Cây gạo đường kính gốc Φ ≥ 50cm (chi phí chặt hạ)</v>
          </cell>
        </row>
        <row r="624">
          <cell r="A624" t="str">
            <v>Cây đa giống đủ tiêu chuẩn mới trồng, chiều cao H ≥ 40cm</v>
          </cell>
        </row>
        <row r="625">
          <cell r="A625" t="str">
            <v>Cây đa đường kính gốc 1cm ≤ Φ &lt; 3cm</v>
          </cell>
        </row>
        <row r="626">
          <cell r="A626" t="str">
            <v>Cây đa đường kính gốc 3cm ≤ Φ &lt; 5cm</v>
          </cell>
        </row>
        <row r="627">
          <cell r="A627" t="str">
            <v>Cây đa đường kính gốc 5cm ≤ Φ &lt; 10cm</v>
          </cell>
        </row>
        <row r="628">
          <cell r="A628" t="str">
            <v>Cây đa đường kính gốc 10cm ≤ Φ &lt; 15cm</v>
          </cell>
        </row>
        <row r="629">
          <cell r="A629" t="str">
            <v>Cây đa đường kính gốc 15cm ≤ Φ &lt; 20cm</v>
          </cell>
        </row>
        <row r="630">
          <cell r="A630" t="str">
            <v>Cây đa đường kính gốc 20cm≤ Φ &lt; 25cm</v>
          </cell>
        </row>
        <row r="631">
          <cell r="A631" t="str">
            <v>Cây đa đường kính gốc 25cm ≤ Φ &lt; 30cm</v>
          </cell>
        </row>
        <row r="632">
          <cell r="A632" t="str">
            <v>Cây đa đường kính gốc 30cm ≤ Φ &lt; 35cm</v>
          </cell>
        </row>
        <row r="633">
          <cell r="A633" t="str">
            <v>Cây đa đường kính gốc 35cm ≤ Φ &lt; 50cm</v>
          </cell>
        </row>
        <row r="634">
          <cell r="A634" t="str">
            <v>Cây đa đường kính gốc Φ ≥ 50cm (chi phí chặt hạ)</v>
          </cell>
        </row>
        <row r="635">
          <cell r="A635" t="str">
            <v>Cây phượng vĩ giống đủ tiêu chuẩn mới trồng, chiều cao H ≥ 40cm</v>
          </cell>
        </row>
        <row r="636">
          <cell r="A636" t="str">
            <v>Cây phượng vĩ đường kính gốc 1cm ≤ Φ &lt; 3cm</v>
          </cell>
        </row>
        <row r="637">
          <cell r="A637" t="str">
            <v>Cây phượng vĩ đường kính gốc 3cm ≤ Φ &lt; 5cm</v>
          </cell>
        </row>
        <row r="638">
          <cell r="A638" t="str">
            <v>Cây phượng vĩ đường kính gốc 5cm ≤ Φ &lt; 10cm</v>
          </cell>
        </row>
        <row r="639">
          <cell r="A639" t="str">
            <v>Cây phượng vĩ đường kính gốc 10cm ≤ Φ &lt; 15cm</v>
          </cell>
        </row>
        <row r="640">
          <cell r="A640" t="str">
            <v>Cây phượng vĩ đường kính gốc 15cm ≤ Φ &lt; 20cm</v>
          </cell>
        </row>
        <row r="641">
          <cell r="A641" t="str">
            <v>Cây phượng vĩ đường kính gốc 20cm≤ Φ &lt; 25cm</v>
          </cell>
        </row>
        <row r="642">
          <cell r="A642" t="str">
            <v>Cây phượng vĩ đường kính gốc 25cm ≤ Φ &lt; 30cm</v>
          </cell>
        </row>
        <row r="643">
          <cell r="A643" t="str">
            <v>Cây phượng vĩ đường kính gốc 30cm ≤ Φ &lt; 35cm</v>
          </cell>
        </row>
        <row r="644">
          <cell r="A644" t="str">
            <v>Cây phượng vĩ đường kính gốc 35cm ≤ Φ &lt; 50cm</v>
          </cell>
        </row>
        <row r="645">
          <cell r="A645" t="str">
            <v>Cây phượng vĩ đường kính gốc Φ ≥ 50cm (chi phí chặt hạ)</v>
          </cell>
        </row>
        <row r="646">
          <cell r="A646" t="str">
            <v>Xoan nâu, xoan đào (tính theo đường kính gốc F)</v>
          </cell>
        </row>
        <row r="647">
          <cell r="A647" t="str">
            <v xml:space="preserve">Cây xoan giống đủ tiêu chuẩn, mới trồng, chiều cao cây H ≥ 40cm     </v>
          </cell>
        </row>
        <row r="648">
          <cell r="A648" t="str">
            <v>Cây xoan đường kính gốc 1cm ≤ Φ &lt; 2cm</v>
          </cell>
        </row>
        <row r="649">
          <cell r="A649" t="str">
            <v>Cây xoan đường kính gốc 2cm ≤ Φ &lt; 5cm</v>
          </cell>
        </row>
        <row r="650">
          <cell r="A650" t="str">
            <v>Cây xoan đường kính gốc 5cm ≤ Φ &lt; 9cm</v>
          </cell>
        </row>
        <row r="651">
          <cell r="A651" t="str">
            <v>Cây xoan đường kính gốc 9cm ≤ Φ &lt; 12cm</v>
          </cell>
        </row>
        <row r="652">
          <cell r="A652" t="str">
            <v>Cây xoan đường kính gốc 12cm ≤ Φ &lt; 15cm</v>
          </cell>
        </row>
        <row r="653">
          <cell r="A653" t="str">
            <v>Cây xoan đường kính gốc 15cm ≤ Φ &lt; 20cm</v>
          </cell>
        </row>
        <row r="654">
          <cell r="A654" t="str">
            <v>Cây xoan đường kính gốc 20cm ≤ Φ &lt; 25cm</v>
          </cell>
        </row>
        <row r="655">
          <cell r="A655" t="str">
            <v>Cây xoan đường kính gốc 25cm ≤ Φ &lt; 30cm</v>
          </cell>
        </row>
        <row r="656">
          <cell r="A656" t="str">
            <v>Cây xoan đường kính gốc 30cm ≤ Φ &lt; 35cm</v>
          </cell>
        </row>
        <row r="657">
          <cell r="A657" t="str">
            <v>Cây xoan đường kính gốc Φ ≥ 35cm (chi phí chặt hạ)</v>
          </cell>
        </row>
        <row r="658">
          <cell r="A658" t="str">
            <v xml:space="preserve">Tre, mai (tính theo đường kính gốc F) </v>
          </cell>
        </row>
        <row r="659">
          <cell r="A659" t="str">
            <v>Cây tre giống đủ tiêu chuẩn mới trồng</v>
          </cell>
        </row>
        <row r="660">
          <cell r="A660" t="str">
            <v>Cây tre đường kính gốc 2cm ≤ Φ &lt; 5cm</v>
          </cell>
        </row>
        <row r="661">
          <cell r="A661" t="str">
            <v>Cây tre đường kính gốc 5cm ≤ Φ &lt; 7cm</v>
          </cell>
        </row>
        <row r="662">
          <cell r="A662" t="str">
            <v>Cây tre đường kính gốc 7cm ≤ Φ &lt; 10cm</v>
          </cell>
        </row>
        <row r="663">
          <cell r="A663" t="str">
            <v>Cây tre đường kính gốc 10cm ≤ Φ &lt; 12cm</v>
          </cell>
        </row>
        <row r="664">
          <cell r="A664" t="str">
            <v>Cây tre đường kính gốc Φ ≥ 12cm (chi phí chặt hạ)</v>
          </cell>
        </row>
        <row r="665">
          <cell r="A665" t="str">
            <v>Long não  (tính theo đường kính gốc)</v>
          </cell>
        </row>
        <row r="666">
          <cell r="A666" t="str">
            <v xml:space="preserve">Cây long não giống đủ tiêu chuẩn mới trồng, chiều cao cây  H ≤40cm  </v>
          </cell>
        </row>
        <row r="667">
          <cell r="A667" t="str">
            <v>Cây long não đường kính gốc 1cm ≤ Φ &lt; 3cm</v>
          </cell>
        </row>
        <row r="668">
          <cell r="A668" t="str">
            <v>Cây long não đường kính gốc 3cm ≤ Φ &lt; 5cm</v>
          </cell>
        </row>
        <row r="669">
          <cell r="A669" t="str">
            <v>Cây long não đường kính gốc 5cm ≤ Φ &lt; 10cm</v>
          </cell>
        </row>
        <row r="670">
          <cell r="A670" t="str">
            <v>Cây long não đường kính gốc 10cm ≤ Φ &lt; 15cm</v>
          </cell>
        </row>
        <row r="671">
          <cell r="A671" t="str">
            <v>Cây long não đường kính gốc 15cm ≤ Φ &lt; 20cm</v>
          </cell>
        </row>
        <row r="672">
          <cell r="A672" t="str">
            <v xml:space="preserve">Cây long não đường kính gốc 20cm ≤ Φ &lt; 30cm </v>
          </cell>
        </row>
        <row r="673">
          <cell r="A673" t="str">
            <v xml:space="preserve">Cây long não đường kính gốc 30cm ≤ Φ &lt; 40cm </v>
          </cell>
        </row>
        <row r="674">
          <cell r="A674" t="str">
            <v xml:space="preserve">Cây long não đường kính gốc Φ ≥ 40cm </v>
          </cell>
        </row>
        <row r="675">
          <cell r="A675" t="str">
            <v xml:space="preserve">Cây Dẻ lấy quả </v>
          </cell>
        </row>
        <row r="676">
          <cell r="A676" t="str">
            <v>Cây dẻ lấy quả mới trồng, đường kính gốc &lt;5 cm</v>
          </cell>
        </row>
        <row r="677">
          <cell r="A677" t="str">
            <v>Cây dẻ lấy quả đường kính gốc từ 5 cm đến 10cm</v>
          </cell>
        </row>
        <row r="678">
          <cell r="A678" t="str">
            <v>Cây dẻ lấy quả đường kính gốc &gt;10 cm đến 20cm</v>
          </cell>
        </row>
        <row r="679">
          <cell r="A679" t="str">
            <v>Cây dẻ lấy quả đường kính gốc &gt; 20 cm đến 30cm</v>
          </cell>
        </row>
        <row r="680">
          <cell r="A680" t="str">
            <v>Cây dẻ lấy quả đường kính gốc &gt; 30cm</v>
          </cell>
        </row>
        <row r="681">
          <cell r="A681" t="str">
            <v>Cây Trám</v>
          </cell>
        </row>
        <row r="682">
          <cell r="A682" t="str">
            <v>Cây trám mới trồng, đường kính gốc &lt;2cm</v>
          </cell>
        </row>
        <row r="683">
          <cell r="A683" t="str">
            <v>Cây trám đường kính gốc từ 2cm đến 5cm</v>
          </cell>
        </row>
        <row r="684">
          <cell r="A684" t="str">
            <v>Cây trám đường kính gốc từ 5cm đến 10cm</v>
          </cell>
        </row>
        <row r="685">
          <cell r="A685" t="str">
            <v>Cây trám đường kính gốc &gt;10cm đến 15cm</v>
          </cell>
        </row>
        <row r="686">
          <cell r="A686" t="str">
            <v>Cây trám đường kính gốc &gt;15cm đến 20cm</v>
          </cell>
        </row>
        <row r="687">
          <cell r="A687" t="str">
            <v>Cây trám đường kính gốc &gt;20cm đến 25cm</v>
          </cell>
        </row>
        <row r="688">
          <cell r="A688" t="str">
            <v>Cây trám đường kính gốc &gt;25cm đến 30cm</v>
          </cell>
        </row>
        <row r="689">
          <cell r="A689" t="str">
            <v>Cây trám đường kính gốc &gt; 30cm</v>
          </cell>
        </row>
        <row r="690">
          <cell r="A690" t="str">
            <v xml:space="preserve">Cây Lát </v>
          </cell>
        </row>
        <row r="691">
          <cell r="A691" t="str">
            <v>Cây lát mới trồng, đường kính gốc &lt; 5cm</v>
          </cell>
        </row>
        <row r="692">
          <cell r="A692" t="str">
            <v>Cây lát đường kính gốc từ 5 cm đến 10cm</v>
          </cell>
        </row>
        <row r="693">
          <cell r="A693" t="str">
            <v>Cây lát đường kính gốc &gt; 10 cm đến 20cm</v>
          </cell>
        </row>
        <row r="694">
          <cell r="A694" t="str">
            <v>Cây lát đường kính gốc &gt; 20 cm đến 30cm</v>
          </cell>
        </row>
        <row r="695">
          <cell r="A695" t="str">
            <v>Cây lát đường kính gốc &gt; 30 cm</v>
          </cell>
        </row>
        <row r="696">
          <cell r="A696" t="str">
            <v xml:space="preserve">Cây Vông </v>
          </cell>
        </row>
        <row r="697">
          <cell r="A697" t="str">
            <v>Cây vông mới trồng, đường kính gốc &lt; 5cm</v>
          </cell>
        </row>
        <row r="698">
          <cell r="A698" t="str">
            <v>Cây vông đường kính gốc từ 5cm đến 10cm</v>
          </cell>
        </row>
        <row r="699">
          <cell r="A699" t="str">
            <v>Cây vông đường kính gốc &gt;10 cm đến 20cm</v>
          </cell>
        </row>
        <row r="700">
          <cell r="A700" t="str">
            <v>Cây vông đường kính gốc &gt; 20 cm đến 30 cm</v>
          </cell>
        </row>
        <row r="701">
          <cell r="A701" t="str">
            <v>Cây vông đường kính gốc &gt; 30 cm</v>
          </cell>
        </row>
        <row r="702">
          <cell r="A702" t="str">
            <v>CÂY TRỒNG KHÁC</v>
          </cell>
        </row>
        <row r="703">
          <cell r="A703" t="str">
            <v>Dâu trồng lấy lá nuôi tằm (tính theo thời gian trồng)</v>
          </cell>
        </row>
        <row r="704">
          <cell r="A704" t="str">
            <v>Cây dâu trồng lấy lá nuôi tằm giống đủ tiêu chuẩn mới trồng &lt; 3 tháng</v>
          </cell>
        </row>
        <row r="705">
          <cell r="A705" t="str">
            <v xml:space="preserve"> Cây dâu trồng lấy lá nuôi tằm 3 tháng £ thời gian trồng &lt; 1 năm</v>
          </cell>
        </row>
        <row r="706">
          <cell r="A706" t="str">
            <v>Cây dâu trồng lấy lá nuôi tằm 1 năm £ thời gian trồng &lt; 2 năm</v>
          </cell>
        </row>
        <row r="707">
          <cell r="A707" t="str">
            <v>Cây dâu trồng lấy lá nuôi tằm thời gian trồng ³ 2 năm</v>
          </cell>
        </row>
        <row r="708">
          <cell r="A708" t="str">
            <v>Dâu ăn quả</v>
          </cell>
        </row>
        <row r="709">
          <cell r="A709" t="str">
            <v xml:space="preserve">Cây dâu ăn quả giống đủ tiêu chuẩn mới trồng </v>
          </cell>
        </row>
        <row r="710">
          <cell r="A710" t="str">
            <v>Cây dâu ăn quả có đường kính 1cm £ F &lt; 2cm</v>
          </cell>
        </row>
        <row r="711">
          <cell r="A711" t="str">
            <v>Cây dâu ăn quả có đường kính 2cm £ F &lt; 4cm</v>
          </cell>
        </row>
        <row r="712">
          <cell r="A712" t="str">
            <v>Cây dâu ăn quả có đường kính 4cm £ F &lt; 6cm</v>
          </cell>
        </row>
        <row r="713">
          <cell r="A713" t="str">
            <v>Cây dâu ăn quả có đường kính 6cm £ F &lt; 10cm</v>
          </cell>
        </row>
        <row r="714">
          <cell r="A714" t="str">
            <v>Cây dâu ăn quả có đường kính  F ³ 10cm</v>
          </cell>
        </row>
        <row r="715">
          <cell r="A715" t="str">
            <v xml:space="preserve">Chè </v>
          </cell>
        </row>
        <row r="716">
          <cell r="A716" t="str">
            <v xml:space="preserve">Cây chè giống đủ tiêu chuẩn mới trồng  </v>
          </cell>
        </row>
        <row r="717">
          <cell r="A717" t="str">
            <v>Cây chè trồng theo luống, dảnh có thời gian &lt; 6 tháng</v>
          </cell>
        </row>
        <row r="718">
          <cell r="A718" t="str">
            <v>Cây chè trồng theo luống, dảnh có thời gian ≥ 6 tháng</v>
          </cell>
        </row>
        <row r="719">
          <cell r="A719" t="str">
            <v>Cây chè trồng đơn lẻ có đường kính tán lá Φ  &lt; 0,5m</v>
          </cell>
        </row>
        <row r="720">
          <cell r="A720" t="str">
            <v xml:space="preserve">Cây chè trồng đơn lẻ có đường kính tán lá 0,5m ≤ Φ &lt; 1m </v>
          </cell>
        </row>
        <row r="721">
          <cell r="A721" t="str">
            <v>Cây chè trồng đơn lẻ có đường kính tán lá 1m ≤ Φ &lt; 1,5m</v>
          </cell>
        </row>
        <row r="722">
          <cell r="A722" t="str">
            <v>Cây chè trồng đơn lẻ có đường kính tán lá 1,5m ≤ Φ &lt; 2m</v>
          </cell>
        </row>
        <row r="723">
          <cell r="A723" t="str">
            <v>Cây chè trồng đơn lẻ có đường kính tán lá Φ ≥ 2m</v>
          </cell>
        </row>
        <row r="724">
          <cell r="A724" t="str">
            <v>Mây</v>
          </cell>
        </row>
        <row r="725">
          <cell r="A725" t="str">
            <v xml:space="preserve">Cây mây giống đủ tiêu chuẩn mới trồng </v>
          </cell>
        </row>
        <row r="726">
          <cell r="A726" t="str">
            <v>Cây mây chưa đến kỳ thu hoạch (tính theo khóm)</v>
          </cell>
        </row>
        <row r="727">
          <cell r="A727" t="str">
            <v>Dâm bụt, găng, tre gai... trồng hàng rào</v>
          </cell>
        </row>
        <row r="728">
          <cell r="A728" t="str">
            <v>Lộc vừng, sanh, si (ươm, trồng dưới đất, tính theo đường kính tán F)</v>
          </cell>
        </row>
        <row r="729">
          <cell r="A729" t="str">
            <v xml:space="preserve">Cây sanh có đường kính tán 0,5m  ≤ Φ &lt; 0,7m </v>
          </cell>
        </row>
        <row r="730">
          <cell r="A730" t="str">
            <v xml:space="preserve">Cây sanh có đường kính tán 0,7m  ≤ Φ &lt; 1,0m </v>
          </cell>
        </row>
        <row r="731">
          <cell r="A731" t="str">
            <v>Cây sanh có đường kính tán 1,0m  ≤ Φ &lt; 1,5m</v>
          </cell>
        </row>
        <row r="732">
          <cell r="A732" t="str">
            <v>Cây sanh có đường kính tán 1,5m ≤ Φ &lt; 2,0m</v>
          </cell>
        </row>
        <row r="733">
          <cell r="A733" t="str">
            <v>Cây sanh có đường kính tán 2,0m  ≤ Φ &lt; 3,0m</v>
          </cell>
        </row>
        <row r="734">
          <cell r="A734" t="str">
            <v>Cây sanh có đường kính tán 3,0m ≤ Φ &lt; 4,0m</v>
          </cell>
        </row>
        <row r="735">
          <cell r="A735" t="str">
            <v>Cây sanh có đường kính tán Φ ≥  4,0m</v>
          </cell>
        </row>
        <row r="736">
          <cell r="A736" t="str">
            <v xml:space="preserve">Cây lộc vừng có đường kính tán 0,5m  ≤ Φ &lt; 0,7m </v>
          </cell>
        </row>
        <row r="737">
          <cell r="A737" t="str">
            <v xml:space="preserve">Cây lộc vừng có đường kính tán 0,7m  ≤ Φ &lt; 1,0m </v>
          </cell>
        </row>
        <row r="738">
          <cell r="A738" t="str">
            <v>Cây lộc vừng có đường kính tán 1,0m  ≤ Φ &lt; 1,5m</v>
          </cell>
        </row>
        <row r="739">
          <cell r="A739" t="str">
            <v>Cây lộc vừng có đường kính tán 1,5m ≤ Φ &lt; 2,0m</v>
          </cell>
        </row>
        <row r="740">
          <cell r="A740" t="str">
            <v>Cây lộc vừng có đường kính tán 2,0m  ≤ Φ &lt; 3,0m</v>
          </cell>
        </row>
        <row r="741">
          <cell r="A741" t="str">
            <v>Cây lộc vừng có đường kính tán 3,0m ≤ Φ &lt; 4,0m</v>
          </cell>
        </row>
        <row r="742">
          <cell r="A742" t="str">
            <v>Cây lộc vừng có đường kính tán Φ ≥  4,0m</v>
          </cell>
        </row>
        <row r="743">
          <cell r="A743" t="str">
            <v xml:space="preserve">Cây si có đường kính tán 0,5m  ≤ Φ &lt; 0,7m </v>
          </cell>
        </row>
        <row r="744">
          <cell r="A744" t="str">
            <v xml:space="preserve">Cây si có đường kính tán 0,7m  ≤ Φ &lt; 1,0m </v>
          </cell>
        </row>
        <row r="745">
          <cell r="A745" t="str">
            <v>Cây si có đường kính tán 1,0m  ≤ Φ &lt; 1,5m</v>
          </cell>
        </row>
        <row r="746">
          <cell r="A746" t="str">
            <v>Cây si có đường kính tán 1,5m ≤ Φ &lt; 2,0m</v>
          </cell>
        </row>
        <row r="747">
          <cell r="A747" t="str">
            <v>Cây si có đường kính tán 2,0m  ≤ Φ &lt; 3,0m</v>
          </cell>
        </row>
        <row r="748">
          <cell r="A748" t="str">
            <v>Cây si có đường kính tán 3,0m ≤ Φ &lt; 4,0m</v>
          </cell>
        </row>
        <row r="749">
          <cell r="A749" t="str">
            <v>Cây si có đường kính tán Φ ≥  4,0m</v>
          </cell>
        </row>
        <row r="750">
          <cell r="A750" t="str">
            <v xml:space="preserve">Cau vua, thiết mộc lan, hoa giấy (ươm, trồng dưới đất, chiều cao cây H ³  50cm, tính theo đường kính gốc F) </v>
          </cell>
        </row>
        <row r="751">
          <cell r="A751" t="str">
            <v xml:space="preserve">Cây cau vua có đường kính gốc 0,03m  ≤ Φ &lt; 0,05m </v>
          </cell>
        </row>
        <row r="752">
          <cell r="A752" t="str">
            <v xml:space="preserve">Cây cau vua có đường kính gốc 0,05m  ≤ Φ &lt; 0,10m </v>
          </cell>
        </row>
        <row r="753">
          <cell r="A753" t="str">
            <v>Cây cau vua có đường kính gốc 0,10m  ≤ Φ &lt; 0,15m</v>
          </cell>
        </row>
        <row r="754">
          <cell r="A754" t="str">
            <v>Cây cau vua có đường kính gốc 0,15m ≤ Φ &lt; 0,20m</v>
          </cell>
        </row>
        <row r="755">
          <cell r="A755" t="str">
            <v>Cây cau vua có đường kính gốc 0,20m  ≤ Φ &lt; 0,25m</v>
          </cell>
        </row>
        <row r="756">
          <cell r="A756" t="str">
            <v>Cây cau vua có đường kính gốc 0,25m ≤ Φ &lt; 0,30m</v>
          </cell>
        </row>
        <row r="757">
          <cell r="A757" t="str">
            <v>Cây cau vua có đường kính gốc 0,30m  ≤ Φ &lt; 0,35m</v>
          </cell>
        </row>
        <row r="758">
          <cell r="A758" t="str">
            <v>Cây cau vua có đường kính gốc Φ ≥  0,35m</v>
          </cell>
        </row>
        <row r="759">
          <cell r="A759" t="str">
            <v xml:space="preserve">Cây thiết mộc lan có đường kính gốc 0,03m  ≤ Φ &lt; 0,05m </v>
          </cell>
        </row>
        <row r="760">
          <cell r="A760" t="str">
            <v xml:space="preserve">Cây thiết mộc lan có đường kính gốc 0,05m  ≤ Φ &lt; 0,10m </v>
          </cell>
        </row>
        <row r="761">
          <cell r="A761" t="str">
            <v>Cây thiết mộc lan có đường kính gốc 0,10m  ≤ Φ &lt; 0,15m</v>
          </cell>
        </row>
        <row r="762">
          <cell r="A762" t="str">
            <v>Cây thiết mộc lan có đường kính gốc 0,15m ≤ Φ &lt; 0,20m</v>
          </cell>
        </row>
        <row r="763">
          <cell r="A763" t="str">
            <v>Cây thiết mộc lan có đường kính gốc 0,20m  ≤ Φ &lt; 0,25m</v>
          </cell>
        </row>
        <row r="764">
          <cell r="A764" t="str">
            <v>Cây thiết mộc lan có đường kính gốc 0,25m ≤ Φ &lt; 0,30m</v>
          </cell>
        </row>
        <row r="765">
          <cell r="A765" t="str">
            <v>Cây thiết mộc lan có đường kính gốc 0,30m  ≤ Φ &lt; 0,35m</v>
          </cell>
        </row>
        <row r="766">
          <cell r="A766" t="str">
            <v>Cây thiết mộc lan có đường kính gốc Φ ≥  0,35m</v>
          </cell>
        </row>
        <row r="767">
          <cell r="A767" t="str">
            <v xml:space="preserve">Cây hoa giấy có đường kính gốc 0,03m  ≤ Φ &lt; 0,05m </v>
          </cell>
        </row>
        <row r="768">
          <cell r="A768" t="str">
            <v xml:space="preserve">Cây hoa giấy có đường kính gốc 0,05m  ≤ Φ &lt; 0,10m </v>
          </cell>
        </row>
        <row r="769">
          <cell r="A769" t="str">
            <v>Cây hoa giấy có đường kính gốc 0,10m  ≤ Φ &lt; 0,15m</v>
          </cell>
        </row>
        <row r="770">
          <cell r="A770" t="str">
            <v>Cây hoa giấy có đường kính gốc 0,15m ≤ Φ &lt; 0,20m</v>
          </cell>
        </row>
        <row r="771">
          <cell r="A771" t="str">
            <v>Cây hoa giấy có đường kính gốc 0,20m  ≤ Φ &lt; 0,25m</v>
          </cell>
        </row>
        <row r="772">
          <cell r="A772" t="str">
            <v>Cây hoa giấy có đường kính gốc 0,25m ≤ Φ &lt; 0,30m</v>
          </cell>
        </row>
        <row r="773">
          <cell r="A773" t="str">
            <v>Cây hoa giấy có đường kính gốc 0,30m  ≤ Φ &lt; 0,35m</v>
          </cell>
        </row>
        <row r="774">
          <cell r="A774" t="str">
            <v>Cây hoa giấy có đường kính gốc Φ ≥  0,35m</v>
          </cell>
        </row>
        <row r="775">
          <cell r="A775" t="str">
            <v>Cau trắng, cau sâm banh, cau lợn cọ, cau Nhật liên, tùng la hán (ươm, trồng dưới đất, chiều cao cây H ³  50cm, tính theo đường kính gốc F)</v>
          </cell>
        </row>
        <row r="776">
          <cell r="A776" t="str">
            <v xml:space="preserve">Cây cau trắng có đường kính gốc 0,03m  ≤ Φ &lt; 0,05m </v>
          </cell>
        </row>
        <row r="777">
          <cell r="A777" t="str">
            <v xml:space="preserve">Cây cau trắng có đường kính gốc 0,05m  ≤ Φ &lt; 0,10m </v>
          </cell>
        </row>
        <row r="778">
          <cell r="A778" t="str">
            <v>Cây cau trắng có đường kính gốc 0,10m  ≤ Φ &lt; 0,15m</v>
          </cell>
        </row>
        <row r="779">
          <cell r="A779" t="str">
            <v>Cây cau trắng có đường kính gốc 0,15m ≤ Φ &lt; 0,20m</v>
          </cell>
        </row>
        <row r="780">
          <cell r="A780" t="str">
            <v>Cây cau trắng có đường kính gốc 0,20m  ≤ Φ &lt; 0,25m</v>
          </cell>
        </row>
        <row r="781">
          <cell r="A781" t="str">
            <v>Cây cau trắng có đường kính gốc 0,25m ≤ Φ &lt; 0,30m</v>
          </cell>
        </row>
        <row r="782">
          <cell r="A782" t="str">
            <v>Cây cau trắng có đường kính gốc 0,30m  ≤ Φ &lt; 0,35m</v>
          </cell>
        </row>
        <row r="783">
          <cell r="A783" t="str">
            <v>Cây cau trắng có đường kính gốc Φ ≥  0,35m</v>
          </cell>
        </row>
        <row r="784">
          <cell r="A784" t="str">
            <v xml:space="preserve">Cây cau sâm banh có đường kính gốc 0,03m  ≤ Φ &lt; 0,05m </v>
          </cell>
        </row>
        <row r="785">
          <cell r="A785" t="str">
            <v xml:space="preserve">Cây cau sâm banh có đường kính gốc 0,05m  ≤ Φ &lt; 0,10m </v>
          </cell>
        </row>
        <row r="786">
          <cell r="A786" t="str">
            <v>Cây cau sâm banh có đường kính gốc 0,10m  ≤ Φ &lt; 0,15m</v>
          </cell>
        </row>
        <row r="787">
          <cell r="A787" t="str">
            <v>Cây cau sâm banh có đường kính gốc 0,15m ≤ Φ &lt; 0,20m</v>
          </cell>
        </row>
        <row r="788">
          <cell r="A788" t="str">
            <v>Cây cau sâm banh có đường kính gốc 0,20m  ≤ Φ &lt; 0,25m</v>
          </cell>
        </row>
        <row r="789">
          <cell r="A789" t="str">
            <v>Cây cau sâm banh có đường kính gốc 0,25m ≤ Φ &lt; 0,30m</v>
          </cell>
        </row>
        <row r="790">
          <cell r="A790" t="str">
            <v>Cây cau sâm banh có đường kính gốc 0,30m  ≤ Φ &lt; 0,35m</v>
          </cell>
        </row>
        <row r="791">
          <cell r="A791" t="str">
            <v>Cây cau sâm banh có đường kính gốc Φ ≥  0,35m</v>
          </cell>
        </row>
        <row r="792">
          <cell r="A792" t="str">
            <v xml:space="preserve">Cây cau lợn cọ có đường kính gốc 0,03m  ≤ Φ &lt; 0,05m </v>
          </cell>
        </row>
        <row r="793">
          <cell r="A793" t="str">
            <v xml:space="preserve">Cây cau lợn cọ có đường kính gốc 0,05m  ≤ Φ &lt; 0,10m </v>
          </cell>
        </row>
        <row r="794">
          <cell r="A794" t="str">
            <v>Cây cau lợn cọ có đường kính gốc 0,10m  ≤ Φ &lt; 0,15m</v>
          </cell>
        </row>
        <row r="795">
          <cell r="A795" t="str">
            <v>Cây cau lợn cọ có đường kính gốc 0,15m ≤ Φ &lt; 0,20m</v>
          </cell>
        </row>
        <row r="796">
          <cell r="A796" t="str">
            <v>Cây cau lợn cọ có đường kính gốc 0,20m  ≤ Φ &lt; 0,25m</v>
          </cell>
        </row>
        <row r="797">
          <cell r="A797" t="str">
            <v>Cây cau lợn cọ có đường kính gốc 0,25m ≤ Φ &lt; 0,30m</v>
          </cell>
        </row>
        <row r="798">
          <cell r="A798" t="str">
            <v>Cây cau lợn cọ có đường kính gốc 0,30m  ≤ Φ &lt; 0,35m</v>
          </cell>
        </row>
        <row r="799">
          <cell r="A799" t="str">
            <v>Cây cau lợn cọ có đường kính gốc Φ ≥  0,35m</v>
          </cell>
        </row>
        <row r="800">
          <cell r="A800" t="str">
            <v xml:space="preserve">Cây tùng la hán có đường kính gốc 0,03m  ≤ Φ &lt; 0,05m </v>
          </cell>
        </row>
        <row r="801">
          <cell r="A801" t="str">
            <v xml:space="preserve">Cây tùng la hán có đường kính gốc 0,05m  ≤ Φ &lt; 0,10m </v>
          </cell>
        </row>
        <row r="802">
          <cell r="A802" t="str">
            <v>Cây tùng la hán có đường kính gốc 0,10m  ≤ Φ &lt; 0,15m</v>
          </cell>
        </row>
        <row r="803">
          <cell r="A803" t="str">
            <v>Cây tùng la hán có đường kính gốc 0,15m ≤ Φ &lt; 0,20m</v>
          </cell>
        </row>
        <row r="804">
          <cell r="A804" t="str">
            <v>Cây tùng la hán có đường kính gốc 0,20m  ≤ Φ &lt; 0,25m</v>
          </cell>
        </row>
        <row r="805">
          <cell r="A805" t="str">
            <v>Cây tùng la hán có đường kính gốc 0,25m ≤ Φ &lt; 0,30m</v>
          </cell>
        </row>
        <row r="806">
          <cell r="A806" t="str">
            <v>Cây tùng la hán có đường kính gốc 0,30m  ≤ Φ &lt; 0,35m</v>
          </cell>
        </row>
        <row r="807">
          <cell r="A807" t="str">
            <v>Cây tùng la hán có đường kính gốc Φ ≥  0,35m</v>
          </cell>
        </row>
        <row r="808">
          <cell r="A808" t="str">
            <v>Cau bụi, cau kiểng vàng (trồng khóm dưới đất, khóm cách khóm &gt; 3m, chiều cao khóm H ³  50cm, tính theo đường kính khóm F)</v>
          </cell>
        </row>
        <row r="809">
          <cell r="A809" t="str">
            <v>Cau bụi, cau kiểng vàng có đường kính khóm Φ ≤ 1,0m</v>
          </cell>
        </row>
        <row r="810">
          <cell r="A810" t="str">
            <v xml:space="preserve">Cau bụi, cau kiểng vàng có đường kính khóm 1,0m ≤ Φ &lt; 1,5m </v>
          </cell>
        </row>
        <row r="811">
          <cell r="A811" t="str">
            <v xml:space="preserve">Cau bụi, cau kiểng vàng có đường kính khóm 1,5m ≤ Φ &lt; 2,0m </v>
          </cell>
        </row>
        <row r="812">
          <cell r="A812" t="str">
            <v>Cau bụi, cau kiểng vàng có đường kính khóm 2,0m ≤ Φ &lt; 2,5m</v>
          </cell>
        </row>
        <row r="813">
          <cell r="A813" t="str">
            <v>Cau bụi, cau kiểng vàng có đường kính khóm Φ ≥  2,5m</v>
          </cell>
        </row>
        <row r="814">
          <cell r="A814" t="str">
            <v>Hoa ngọc lan, ngâu, hoa sứ, mai tứ quý (đã chiết ghép, trồng dưới đất, tính theo đường kính tán F)</v>
          </cell>
        </row>
        <row r="815">
          <cell r="A815" t="str">
            <v>Cây hoa ngọc lan giống đủ tiêu chuẩn mới trồng, chưa ra hoa</v>
          </cell>
        </row>
        <row r="816">
          <cell r="A816" t="str">
            <v xml:space="preserve">Cây hoa ngọc lan có đường kính tán Φ  &lt; 1,0m (đã có hoa) </v>
          </cell>
        </row>
        <row r="817">
          <cell r="A817" t="str">
            <v xml:space="preserve">Cây hoa ngọc lan có đường kính tán 1,0m  ≤ Φ &lt;2,0m (đã có hoa) </v>
          </cell>
        </row>
        <row r="818">
          <cell r="A818" t="str">
            <v xml:space="preserve">Cây hoa ngọc lan có đường kính tán 2,0m  ≤ Φ &lt; 3,0m (đã có hoa) </v>
          </cell>
        </row>
        <row r="819">
          <cell r="A819" t="str">
            <v xml:space="preserve">Cây hoa ngọc lan có đường kính tán 3,0m  ≤ Φ &lt;4,0m (đã có hoa) </v>
          </cell>
        </row>
        <row r="820">
          <cell r="A820" t="str">
            <v xml:space="preserve">Cây hoa ngọc lan có đường kính tán Φ ≥  4,0m </v>
          </cell>
        </row>
        <row r="821">
          <cell r="A821" t="str">
            <v>Cây ngâu giống đủ tiêu chuẩn mới trồng, chưa ra hoa</v>
          </cell>
        </row>
        <row r="822">
          <cell r="A822" t="str">
            <v xml:space="preserve">Cây ngâu có đường kính tán Φ  &lt; 1,0m (đã có hoa) </v>
          </cell>
        </row>
        <row r="823">
          <cell r="A823" t="str">
            <v xml:space="preserve">Cây ngâu có đường kính tán 1,0m  ≤ Φ &lt;2,0m (đã có hoa) </v>
          </cell>
        </row>
        <row r="824">
          <cell r="A824" t="str">
            <v xml:space="preserve">Cây ngâu có đường kính tán 2,0m  ≤ Φ &lt; 3,0m (đã có hoa) </v>
          </cell>
        </row>
        <row r="825">
          <cell r="A825" t="str">
            <v xml:space="preserve">Cây ngâu có đường kính tán 3,0m  ≤ Φ &lt;4,0m (đã có hoa) </v>
          </cell>
        </row>
        <row r="826">
          <cell r="A826" t="str">
            <v xml:space="preserve">Cây ngâu có đường kính tán Φ ≥  4,0m </v>
          </cell>
        </row>
        <row r="827">
          <cell r="A827" t="str">
            <v>Cây hoa sứ giống đủ tiêu chuẩn mới trồng, chưa ra hoa</v>
          </cell>
        </row>
        <row r="828">
          <cell r="A828" t="str">
            <v xml:space="preserve">Cây hoa sứ có đường kính tán Φ  &lt; 1,0m (đã có hoa) </v>
          </cell>
        </row>
        <row r="829">
          <cell r="A829" t="str">
            <v xml:space="preserve">Cây hoa sứ có đường kính tán 1,0m  ≤ Φ &lt;2,0m (đã có hoa) </v>
          </cell>
        </row>
        <row r="830">
          <cell r="A830" t="str">
            <v xml:space="preserve">Cây hoa sứ có đường kính tán 2,0m  ≤ Φ &lt; 3,0m (đã có hoa) </v>
          </cell>
        </row>
        <row r="831">
          <cell r="A831" t="str">
            <v xml:space="preserve">Cây hoa sứ có đường kính tán 3,0m  ≤ Φ &lt;4,0m (đã có hoa) </v>
          </cell>
        </row>
        <row r="832">
          <cell r="A832" t="str">
            <v xml:space="preserve">Cây hoa sứ có đường kính tán Φ ≥  4,0m </v>
          </cell>
        </row>
        <row r="833">
          <cell r="A833" t="str">
            <v>Cây mai tứ quý giống đủ tiêu chuẩn mới trồng, chưa ra hoa</v>
          </cell>
        </row>
        <row r="834">
          <cell r="A834" t="str">
            <v xml:space="preserve">Cây mai tứ quý có đường kính tán Φ  &lt; 1,0m (đã có hoa) </v>
          </cell>
        </row>
        <row r="835">
          <cell r="A835" t="str">
            <v xml:space="preserve">Cây mai tứ quý có đường kính tán 1,0m  ≤ Φ &lt;2,0m (đã có hoa) </v>
          </cell>
        </row>
        <row r="836">
          <cell r="A836" t="str">
            <v xml:space="preserve">Cây mai tứ quý có đường kính tán 2,0m  ≤ Φ &lt; 3,0m (đã có hoa) </v>
          </cell>
        </row>
        <row r="837">
          <cell r="A837" t="str">
            <v xml:space="preserve">Cây mai tứ quý có đường kính tán 3,0m  ≤ Φ &lt;4,0m (đã có hoa) </v>
          </cell>
        </row>
        <row r="838">
          <cell r="A838" t="str">
            <v xml:space="preserve">Cây mai tứ quý có đường kính tán Φ ≥  4,0m </v>
          </cell>
        </row>
        <row r="839">
          <cell r="A839" t="str">
            <v xml:space="preserve">Sưa (ươm, trồng dưới đất, tính theo đường kính gốc F) </v>
          </cell>
        </row>
        <row r="840">
          <cell r="A840" t="str">
            <v>Cây sưa giống đủ tiêu chuẩn, mới trồng, chiều cao cây H ≥ 30cm</v>
          </cell>
        </row>
        <row r="841">
          <cell r="A841" t="str">
            <v>Cây sưa có đường kính gốc 0,01m  ≤ Φ &lt; 0,05m, chiều cao cây H ≥  50cm</v>
          </cell>
        </row>
        <row r="842">
          <cell r="A842" t="str">
            <v>Cây sưa có đường kính gốc 0,05m  ≤ Φ &lt; 0,10m, chiều cao cây H ≥  50cm</v>
          </cell>
        </row>
        <row r="843">
          <cell r="A843" t="str">
            <v>Cây sưa có đường kính gốc 0,10m  ≤ Φ &lt; 0,15m, chiều cao cây H ≥  50cm</v>
          </cell>
        </row>
        <row r="844">
          <cell r="A844" t="str">
            <v>Cây sưa có đường kính gốc 0,15m ≤ Φ &lt; 0,20m, chiều cao cây H ≥  50cm</v>
          </cell>
        </row>
        <row r="845">
          <cell r="A845" t="str">
            <v>Cây sưa có đường kính gốc 0,20m  ≤ Φ &lt; 0,25m, chiều cao cây H ≥  50cm</v>
          </cell>
        </row>
        <row r="846">
          <cell r="A846" t="str">
            <v>Cây sưa có đường kính gốc 0,25m ≤ Φ &lt; 0,30m, chiều cao cây H ≥ 50cm</v>
          </cell>
        </row>
        <row r="847">
          <cell r="A847" t="str">
            <v>Cây sưa có đường kính gốc 0,30m  ≤ Φ &lt; 0,35m, chiều cao cây H ≥  50cm</v>
          </cell>
        </row>
        <row r="848">
          <cell r="A848" t="str">
            <v>Cây sưa có đường kính gốc Φ ≥ 0,35m</v>
          </cell>
        </row>
        <row r="849">
          <cell r="A849" t="str">
            <v>Cọ trồng làm cảnh (tính theo đường kính tán F)</v>
          </cell>
        </row>
        <row r="850">
          <cell r="A850" t="str">
            <v>Cây cọ trồng làm cảnh có đường kính tán 0,5m ≤ Φ &lt;0,7m</v>
          </cell>
        </row>
        <row r="851">
          <cell r="A851" t="str">
            <v>Cây cọ trồng làm cảnh có đường kính tán 0,7m ≤ Φ &lt; 1,0m</v>
          </cell>
        </row>
        <row r="852">
          <cell r="A852" t="str">
            <v>Cây cọ trồng làm cảnh có đường kính tán 1,0m ≤ Φ &lt; 1,5m</v>
          </cell>
        </row>
        <row r="853">
          <cell r="A853" t="str">
            <v xml:space="preserve">Cây cọ trồng làm cảnh có đường kính tán 1,5m ≤ Φ &lt; 2,0m </v>
          </cell>
        </row>
        <row r="854">
          <cell r="A854" t="str">
            <v xml:space="preserve">Cây cọ trồng làm cảnh có đường kính tán 2,0m ≤ Φ &lt; 3,0m      </v>
          </cell>
        </row>
        <row r="855">
          <cell r="A855" t="str">
            <v>Cây cọ trồng làm cảnh có đường kính tán 3,0m ≤ Φ &lt; 4,0m</v>
          </cell>
        </row>
        <row r="856">
          <cell r="A856" t="str">
            <v>Cây cọ trồng làm cảnh có đường kính tán Φ ≥ 4,0m</v>
          </cell>
        </row>
        <row r="857">
          <cell r="A857" t="str">
            <v xml:space="preserve">Mai vàng (trồng dưới đất, tính theo đường kính gốc F) </v>
          </cell>
        </row>
        <row r="858">
          <cell r="A858" t="str">
            <v>Cây mai vàng có đường kính gốc 0,5cm ≤ Φ &lt; 1cm</v>
          </cell>
        </row>
        <row r="859">
          <cell r="A859" t="str">
            <v>Cây mai vàng có đường kính gốc 1cm ≤ Φ &lt; 2cm</v>
          </cell>
        </row>
        <row r="860">
          <cell r="A860" t="str">
            <v>Cây mai vàng có đường kính gốc 2cm ≤ Φ &lt; 4cm</v>
          </cell>
        </row>
        <row r="861">
          <cell r="A861" t="str">
            <v>Cây mai vàng có đường kính gốc 4cm ≤ Φ &lt; 6cm</v>
          </cell>
        </row>
        <row r="862">
          <cell r="A862" t="str">
            <v xml:space="preserve">Cây mai vàng có đường kính gốc 6cm ≤ Φ &lt; 10cm </v>
          </cell>
        </row>
        <row r="863">
          <cell r="A863" t="str">
            <v xml:space="preserve">Cây mai vàng có đường kính gốc Φ ≥ 10cm </v>
          </cell>
        </row>
        <row r="864">
          <cell r="A864" t="str">
            <v>Cây Móc Mật (Mác Mật)</v>
          </cell>
        </row>
        <row r="865">
          <cell r="A865" t="str">
            <v>Cây móc mật (mác mật) mới trồng, đường kính gốc &lt; 2cm</v>
          </cell>
        </row>
        <row r="866">
          <cell r="A866" t="str">
            <v>Cây móc mật (mác mật) đường kính gốc từ 2 đến 5cm.</v>
          </cell>
        </row>
        <row r="867">
          <cell r="A867" t="str">
            <v>Cây móc mật (mác mật) đường kính gốc &gt; 5 đến 10 cm</v>
          </cell>
        </row>
        <row r="868">
          <cell r="A868" t="str">
            <v>Cây móc mật (mác mật) đường kính gốc &gt; 10 đến 15 cm</v>
          </cell>
        </row>
        <row r="869">
          <cell r="A869" t="str">
            <v>Cây móc mật (mác mật) đường kính gốc &gt; 15 đến 20 cm</v>
          </cell>
        </row>
        <row r="870">
          <cell r="A870" t="str">
            <v>Cây móc mật (mác mật) đường kính gốc &gt; 20cm</v>
          </cell>
        </row>
        <row r="871">
          <cell r="A871" t="str">
            <v xml:space="preserve">Đào tiên (tính theo đường kính gốc F) </v>
          </cell>
        </row>
        <row r="872">
          <cell r="A872" t="str">
            <v>Đào tiên giống đủ tiêu chuẩn mới trồng</v>
          </cell>
        </row>
        <row r="873">
          <cell r="A873" t="str">
            <v>Đào tiên loại cây ghép có chiều cao cây 40cm ≤ Φ &lt; 1m</v>
          </cell>
        </row>
        <row r="874">
          <cell r="A874" t="str">
            <v>Đào tiên loại cây ghép có chiều cao cây H ≥ 1m</v>
          </cell>
        </row>
        <row r="875">
          <cell r="A875" t="str">
            <v>Đào tiên loại cây chiết cành có chiều cao cây 40cm ≤ Φ &lt; 1m</v>
          </cell>
        </row>
        <row r="876">
          <cell r="A876" t="str">
            <v>Đào tiên loại cây chiết cành có chiều cao cây H ≥ 1m</v>
          </cell>
        </row>
        <row r="877">
          <cell r="A877" t="str">
            <v>Cây đào tiên đường kính gốc 1cm ≤ Φ &lt; 2cm</v>
          </cell>
        </row>
        <row r="878">
          <cell r="A878" t="str">
            <v>Cây đào tiên đường kính gốc 2cm ≤ Φ &lt; 5cm</v>
          </cell>
        </row>
        <row r="879">
          <cell r="A879" t="str">
            <v xml:space="preserve">Cây đào tiên đường kính gốc 5cm ≤ Φ &lt; 7cm </v>
          </cell>
        </row>
        <row r="880">
          <cell r="A880" t="str">
            <v xml:space="preserve">Cây đào tiên đường kính gốc 7cm ≤ Φ &lt; 9cm </v>
          </cell>
        </row>
        <row r="881">
          <cell r="A881" t="str">
            <v xml:space="preserve">Cây đào tiên đường kính gốc 9cm ≤ Φ &lt; 12cm </v>
          </cell>
        </row>
        <row r="882">
          <cell r="A882" t="str">
            <v xml:space="preserve">Cây đào tiên đường kính gốc 12cm ≤ Φ &lt; 15cm </v>
          </cell>
        </row>
        <row r="883">
          <cell r="A883" t="str">
            <v xml:space="preserve">Cây đào tiên đường kính gốc 15cm ≤ Φ &lt; 20cm </v>
          </cell>
        </row>
        <row r="884">
          <cell r="A884" t="str">
            <v>Cây đào tiên đường kính gốc 20cm ≤ Φ &lt; 25cm</v>
          </cell>
        </row>
        <row r="885">
          <cell r="A885" t="str">
            <v xml:space="preserve">Cây đào tiên đường kính gốc Φ ≥ 25cm </v>
          </cell>
        </row>
        <row r="886">
          <cell r="A886" t="str">
            <v xml:space="preserve">Gáo (tính theo đường kính gốc F) </v>
          </cell>
        </row>
        <row r="887">
          <cell r="A887" t="str">
            <v>Cây gáo giống đủ tiêu chuẩn mới trồng, chiều cao cây  H ≥ 40cm</v>
          </cell>
        </row>
        <row r="888">
          <cell r="A888" t="str">
            <v>Cây gáo có đường kính gốc 1cm ≤ Φ &lt; 3cm</v>
          </cell>
        </row>
        <row r="889">
          <cell r="A889" t="str">
            <v>Cây gáo có đường kính gốc 3cm ≤ Φ &lt; 5cm</v>
          </cell>
        </row>
        <row r="890">
          <cell r="A890" t="str">
            <v>Cây gáo có đường kính gốc 5cm ≤ Φ &lt; 10cm</v>
          </cell>
        </row>
        <row r="891">
          <cell r="A891" t="str">
            <v>Cây gáo có đường kính gốc 10cm ≤ Φ &lt; 15cm</v>
          </cell>
        </row>
        <row r="892">
          <cell r="A892" t="str">
            <v>Cây gáo có đường kính gốc 15cm ≤ Φ &lt; 20cm</v>
          </cell>
        </row>
        <row r="893">
          <cell r="A893" t="str">
            <v xml:space="preserve">Cây gáo có đường kính gốc 20cm ≤ Φ &lt; 30cm </v>
          </cell>
        </row>
        <row r="894">
          <cell r="A894" t="str">
            <v xml:space="preserve">Cây gáo có đường kính gốc 30cm ≤ Φ &lt; 40cm </v>
          </cell>
        </row>
        <row r="895">
          <cell r="A895" t="str">
            <v>Cây gáo có đường kính gốc Φ ≥ 40cm</v>
          </cell>
        </row>
        <row r="896">
          <cell r="A896" t="str">
            <v>Đinh Lăng</v>
          </cell>
        </row>
        <row r="897">
          <cell r="A897" t="str">
            <v>Cây đinh lăng có chiều cao cây H &lt; 50cm</v>
          </cell>
        </row>
        <row r="898">
          <cell r="A898" t="str">
            <v>Cây đinh lăng có chiều cao cây 50cm ≤ H &lt; 100cm</v>
          </cell>
        </row>
        <row r="899">
          <cell r="A899" t="str">
            <v>Cây đinh lăng có chiều cao cây H ≥ 100cm</v>
          </cell>
        </row>
        <row r="900">
          <cell r="A900" t="str">
            <v>Thiên lý (tính theo m2 giàn, không bao gồm chi phí cọc bê tông cốt thép dựng giàn)</v>
          </cell>
        </row>
        <row r="901">
          <cell r="A901" t="str">
            <v>Đối với cây ươm, gieo hoặc cây trồng hàng năm xen dưới tán lá cây lâu năm (tính bình quân trên diện tích cây trồng chiếm chỗ)</v>
          </cell>
        </row>
        <row r="902">
          <cell r="A902" t="str">
            <v>Đối với lâm sản phụ trồng trên diện tích nông nghiệp do Nhà nước giao cho hộ đình, cá nhân để trồng, khoanh, nuôi, bảo vệ, tái sinh rừng, mà khi giao là đất trống, đồi núi trọc... hộ gia đình, cá nhân tự bỏ vốn đầu tư trồng rừng (tính bình quân trên diện tích cây trồng chiếm chỗ)</v>
          </cell>
        </row>
        <row r="903">
          <cell r="A903" t="str">
            <v>Muồng hoàng yến - Osaka vàng (tính theo đường kính gốc)</v>
          </cell>
        </row>
        <row r="904">
          <cell r="A904" t="str">
            <v>Cây muồng hoàng yến - Osaka vàng giống đủ tiêu chuẩn mới trồng, chiều cao cây  H ≤ 40cm</v>
          </cell>
        </row>
        <row r="905">
          <cell r="A905" t="str">
            <v>Cây muồng hoàng yến - Osaka vàng có đường kính gốc 1cm ≤ Φ &lt; 3cm</v>
          </cell>
        </row>
        <row r="906">
          <cell r="A906" t="str">
            <v>Cây muồng hoàng yến - Osaka vàng có đường kính gốc 3cm ≤ Φ &lt; 5cm</v>
          </cell>
        </row>
        <row r="907">
          <cell r="A907" t="str">
            <v>Cây muồng hoàng yến - Osaka vàng có đường kính gốc 5cm ≤ Φ &lt;10cm</v>
          </cell>
        </row>
        <row r="908">
          <cell r="A908" t="str">
            <v>Cây muồng hoàng yến - Osaka vàng có đường kính gốc 10cm ≤ Φ &lt; 15cm</v>
          </cell>
        </row>
        <row r="909">
          <cell r="A909" t="str">
            <v>Cây muồng hoàng yến - Osaka vàng có đường kính gốc 15cm ≤ Φ &lt; 20cm</v>
          </cell>
        </row>
        <row r="910">
          <cell r="A910" t="str">
            <v xml:space="preserve">Cây muồng hoàng yến - Osaka vàng có đường kính gốc 20cm ≤ Φ &lt; 30cm </v>
          </cell>
        </row>
        <row r="911">
          <cell r="A911" t="str">
            <v xml:space="preserve">Cây muồng hoàng yến - Osaka vàng có đường kính gốc 30cm ≤ Φ &lt; 40cm </v>
          </cell>
        </row>
        <row r="912">
          <cell r="A912" t="str">
            <v xml:space="preserve">Cây muồng hoàng yến - Osaka vàng có đường kính gốc Φ  ≥ 40cm </v>
          </cell>
        </row>
        <row r="913">
          <cell r="A913" t="str">
            <v>Bàng Đài Loan (tính theo đường kính gốc )</v>
          </cell>
        </row>
        <row r="914">
          <cell r="A914" t="str">
            <v>Cây bàng Đài Loan giống đủ tiêu chuẩn mới trồng, chiều cao cây  H ≤40cm</v>
          </cell>
        </row>
        <row r="915">
          <cell r="A915" t="str">
            <v>Cây bàng Đài Loan có đường kính gốc 1cm ≤ Φ &lt; 3cm</v>
          </cell>
        </row>
        <row r="916">
          <cell r="A916" t="str">
            <v xml:space="preserve">Cây bàng Đài Loan có đường kính gốc 3cm ≤ Φ &lt; 5cm </v>
          </cell>
        </row>
        <row r="917">
          <cell r="A917" t="str">
            <v>Cây bàng Đài Loan có đường kính gốc 5cm ≤ Φ &lt; 10cm</v>
          </cell>
        </row>
        <row r="918">
          <cell r="A918" t="str">
            <v>Cây bàng Đài Loan có đường kính gốc 10cm ≤ Φ &lt; 15cm</v>
          </cell>
        </row>
        <row r="919">
          <cell r="A919" t="str">
            <v>Cây bàng Đài Loan có đường kính gốc 15cm ≤ Φ &lt; 20cm</v>
          </cell>
        </row>
        <row r="920">
          <cell r="A920" t="str">
            <v xml:space="preserve">Cây bàng Đài Loan có đường kính gốc 20cm ≤ Φ &lt; 25cm </v>
          </cell>
        </row>
        <row r="921">
          <cell r="A921" t="str">
            <v xml:space="preserve">Cây bàng Đài Loan có đường kính gốc 25cm ≤ Φ &lt; 30cm </v>
          </cell>
        </row>
        <row r="922">
          <cell r="A922" t="str">
            <v xml:space="preserve">Cây bàng Đài Loan có đường kính gốc Φ ≥ 30cm </v>
          </cell>
        </row>
        <row r="923">
          <cell r="A923" t="str">
            <v xml:space="preserve">Hoa mẫu đơn ta  </v>
          </cell>
        </row>
        <row r="924">
          <cell r="A924" t="str">
            <v>Cây hoa mẫu đơn ta giống đủ tiêu chuẩn mới trồng, chiều cao cây  H &lt; 40cm</v>
          </cell>
        </row>
        <row r="925">
          <cell r="A925" t="str">
            <v xml:space="preserve">Cây hoa mẫu đơn ta giống đủ tiêu chuẩn mới trồng, chiều cao cây  40cm ≤ H &lt; 100cm </v>
          </cell>
        </row>
        <row r="926">
          <cell r="A926" t="str">
            <v xml:space="preserve">Cây hoa mẫu đơn ta giống đủ tiêu chuẩn mới trồng, chiều cao cây  H ≥ 100cm       </v>
          </cell>
        </row>
        <row r="927">
          <cell r="A927" t="str">
            <v>Cây hoa mẫu đơn ta có đường kính tán &lt;1m, gốc có 5-7 nhánh</v>
          </cell>
        </row>
        <row r="928">
          <cell r="A928" t="str">
            <v>Cây hoa mẫu đơn ta có đường kính tán từ 1,0m đến 1,2m gốc có 5-7 nhánh</v>
          </cell>
        </row>
        <row r="929">
          <cell r="A929" t="str">
            <v>Cây hoa mẫu đơn ta có đường kính tán  1,0m đến 1,2m, gốc có 8-10 nhánh</v>
          </cell>
        </row>
        <row r="930">
          <cell r="A930" t="str">
            <v>Cây hoa mẫu đơn ta có đường kính tán  1,3m đến 1,5 m, gốc có 8-10 nhánh</v>
          </cell>
        </row>
        <row r="931">
          <cell r="A931" t="str">
            <v>Cây hoa mẫu đơn ta có đường kính tán 1,6m đến 2m, gốc có trên 10 nhánh</v>
          </cell>
        </row>
        <row r="932">
          <cell r="A932" t="str">
            <v>Cây hoa mẫu đơn ta có đường kính tán 2,0m đến 2,2 m, gốc có trên 10 nhánh</v>
          </cell>
        </row>
        <row r="933">
          <cell r="A933" t="str">
            <v>Cây hoa mẫu đơn ta có đường kính tán &gt;2,2m đến 2,5m, gốc có trên 10 nhánh</v>
          </cell>
        </row>
        <row r="934">
          <cell r="A934" t="str">
            <v>Cây hoa mẫu đơn ta có đường kính tán &gt;2,5 m, gốc có trên 10 nhánh</v>
          </cell>
        </row>
        <row r="935">
          <cell r="A935" t="str">
            <v>Cây hoa hòe (tính theo đường kính tán)</v>
          </cell>
        </row>
        <row r="936">
          <cell r="A936" t="str">
            <v>Cây hoa hòe giống đủ tiêu chuẩn  mới trồng</v>
          </cell>
        </row>
        <row r="937">
          <cell r="A937" t="str">
            <v>Cây hoa hòe có đường kính tán 0,1m ≤ Φ &lt; 0,5m</v>
          </cell>
        </row>
        <row r="938">
          <cell r="A938" t="str">
            <v>Cây hoa hòe có đường kính tán 0,5m ≤ Φ &lt; 1m</v>
          </cell>
        </row>
        <row r="939">
          <cell r="A939" t="str">
            <v>Cây hoa hòe có đường kính tán 1m ≤ Φ &lt; 1,5m</v>
          </cell>
        </row>
        <row r="940">
          <cell r="A940" t="str">
            <v>Cây hoa hòe có đường kính tán 1,5m ≤ Φ &lt;2m</v>
          </cell>
        </row>
        <row r="941">
          <cell r="A941" t="str">
            <v>Cây hoa hòe có đường kính tán 2m ≤ Φ &lt; 3m</v>
          </cell>
        </row>
        <row r="942">
          <cell r="A942" t="str">
            <v>Cây hoa hòe có đường kính tán 3m ≤ Φ &lt; 4m</v>
          </cell>
        </row>
        <row r="943">
          <cell r="A943" t="str">
            <v>Cây hoa hòe có đường kính tán 4m ≤ Φ &lt; 5m</v>
          </cell>
        </row>
        <row r="944">
          <cell r="A944" t="str">
            <v>Cây hoa hòe có đường kính tán 5m ≤ Φ &lt; 6m</v>
          </cell>
        </row>
        <row r="945">
          <cell r="A945" t="str">
            <v>Cây hoa hòe có đường kính tán 6m ≤ Φ &lt; 7m</v>
          </cell>
        </row>
        <row r="946">
          <cell r="A946" t="str">
            <v>Cây hoa hòe có đường kính tán 7m ≤ Φ &lt; 8m</v>
          </cell>
        </row>
        <row r="947">
          <cell r="A947" t="str">
            <v>Cây hoa hòe có đường kính tán 8m ≤ Φ &lt; 9m</v>
          </cell>
        </row>
        <row r="948">
          <cell r="A948" t="str">
            <v>Cây hoa hòe có đường kính tán 9m ≤ Φ &lt; 12m</v>
          </cell>
        </row>
        <row r="949">
          <cell r="A949" t="str">
            <v>Cây hoa hòe có đường kính tán Φ ≥ 12m</v>
          </cell>
        </row>
        <row r="950">
          <cell r="A950" t="str">
            <v>Cây túc (tính theo đường kính gốc)</v>
          </cell>
        </row>
        <row r="951">
          <cell r="A951" t="str">
            <v>Cây túc giống đủ tiêu chuẩn mới trồng, chiều cao cây H &lt; 40cm</v>
          </cell>
        </row>
        <row r="952">
          <cell r="A952" t="str">
            <v>Cây túc đường kính gốc 1cm ≤ Φ &lt; 5cm</v>
          </cell>
        </row>
        <row r="953">
          <cell r="A953" t="str">
            <v>Cây túc đường kính gốc 5cm ≤ Φ &lt; 10cm</v>
          </cell>
        </row>
        <row r="954">
          <cell r="A954" t="str">
            <v xml:space="preserve">Cây túc đường kính gốc 10cm ≤ Φ &lt; 15cm  </v>
          </cell>
        </row>
        <row r="955">
          <cell r="A955" t="str">
            <v>Cây túc đường kính gốc 15cm ≤ Φ &lt; 20cm</v>
          </cell>
        </row>
        <row r="956">
          <cell r="A956" t="str">
            <v>Cây túc đường kính gốc 20cm ≤ Φ &lt; 25cm</v>
          </cell>
        </row>
        <row r="957">
          <cell r="A957" t="str">
            <v>Cây túc đường kính gốc 25cm ≤ Φ &lt; 30cm</v>
          </cell>
        </row>
        <row r="958">
          <cell r="A958" t="str">
            <v>Cây túc đường kính gốc 30cm ≤ Φ &lt; 35cm</v>
          </cell>
        </row>
        <row r="959">
          <cell r="A959" t="str">
            <v>Cây túc đường kính gốc Φ ≥ 35cm</v>
          </cell>
        </row>
        <row r="960">
          <cell r="A960" t="str">
            <v>Tùng ấn độ  (tính theo đường kính gốc)</v>
          </cell>
        </row>
        <row r="961">
          <cell r="A961" t="str">
            <v>Cây tùng ấn độ giống đủ tiêu chuẩn mới trồng, chiều cao cây H &lt; 40cm</v>
          </cell>
        </row>
        <row r="962">
          <cell r="A962" t="str">
            <v>Cây tùng ấn độ có đường kính gốc 1cm ≤ Φ &lt; 3cm</v>
          </cell>
        </row>
        <row r="963">
          <cell r="A963" t="str">
            <v>Cây tùng ấn độ có đường kính gốc 3cm ≤ Φ &lt; 5cm</v>
          </cell>
        </row>
        <row r="964">
          <cell r="A964" t="str">
            <v>Cây tùng ấn độ có đường kính gốc 5cm ≤ Φ &lt; 10cm</v>
          </cell>
        </row>
        <row r="965">
          <cell r="A965" t="str">
            <v>Cây tùng ấn độ có đường kính gốc 10cm ≤ Φ &lt; 15cm</v>
          </cell>
        </row>
        <row r="966">
          <cell r="A966" t="str">
            <v>Cây tùng ấn độ có đường kính gốc Φ ≥ 15cm</v>
          </cell>
        </row>
        <row r="967">
          <cell r="A967" t="str">
            <v>Cây Xạ đen (tính theo đường kính tán)</v>
          </cell>
        </row>
        <row r="968">
          <cell r="A968" t="str">
            <v>Cây xạ đen giống đủ tiêu chuẩn  mới trồng</v>
          </cell>
        </row>
        <row r="969">
          <cell r="A969" t="str">
            <v>Cây xạ đen có đường kính tán 0,1 ≤ Φ &lt; 0,5m</v>
          </cell>
        </row>
        <row r="970">
          <cell r="A970" t="str">
            <v>Cây xạ đen có đường kính tán 0,5m ≤ Φ &lt; 1m</v>
          </cell>
        </row>
        <row r="971">
          <cell r="A971" t="str">
            <v>Cây xạ đen có đường kính tán 1m ≤ Φ &lt; 1,5m</v>
          </cell>
        </row>
        <row r="972">
          <cell r="A972" t="str">
            <v>Cây xạ đen có đường kính tán 1,5m ≤ Φ &lt; 2m</v>
          </cell>
        </row>
        <row r="973">
          <cell r="A973" t="str">
            <v>Cây xạ đen có đường kính tán 2m ≤ Φ &lt; 3m</v>
          </cell>
        </row>
        <row r="974">
          <cell r="A974" t="str">
            <v>Cây xạ đen có đường kính tán 3m ≤ Φ &lt; 4m</v>
          </cell>
        </row>
        <row r="975">
          <cell r="A975" t="str">
            <v>Cây xạ đen có đường kính tán Φ ≥ 4m</v>
          </cell>
        </row>
        <row r="976">
          <cell r="A976" t="str">
            <v>Cây Hải đường (tính theo đường kính gốc)</v>
          </cell>
        </row>
        <row r="977">
          <cell r="A977" t="str">
            <v>Cây hải đường giống đủ tiêu chuẩn mới trồng</v>
          </cell>
        </row>
        <row r="978">
          <cell r="A978" t="str">
            <v>Cây hải đường có đường kính gốc 1cm ≤ Φ &lt; 3cm</v>
          </cell>
        </row>
        <row r="979">
          <cell r="A979" t="str">
            <v>Cây hải đường có đường kính gốc 3cm ≤ Φ &lt; 5cm</v>
          </cell>
        </row>
        <row r="980">
          <cell r="A980" t="str">
            <v>Cây hải đường có đường kính gốc 5cm ≤ Φ &lt; 7cm</v>
          </cell>
        </row>
        <row r="981">
          <cell r="A981" t="str">
            <v>Cây hải đường có đường kính gốc 7cm ≤ Φ &lt; 9cm</v>
          </cell>
        </row>
        <row r="982">
          <cell r="A982" t="str">
            <v>Cây hải đường có đường kính gốc Φ ≥ 9cm</v>
          </cell>
        </row>
        <row r="983">
          <cell r="A983" t="str">
            <v>Cây cóc (tính theo đường kính gốc)</v>
          </cell>
        </row>
        <row r="984">
          <cell r="A984" t="str">
            <v>Cây cóc có đường kính gốc 1cm ≤ Φ &lt; 2cm</v>
          </cell>
        </row>
        <row r="985">
          <cell r="A985" t="str">
            <v>Cây cóc có đường kính gốc 2cm ≤ Φ &lt; 5cm</v>
          </cell>
        </row>
        <row r="986">
          <cell r="A986" t="str">
            <v>Cây cóc có đường kính gốc 5cm ≤ Φ &lt; 7cm</v>
          </cell>
        </row>
        <row r="987">
          <cell r="A987" t="str">
            <v>Cây cóc có đường kính gốc Φ ≥ 7cm</v>
          </cell>
        </row>
        <row r="988">
          <cell r="A988" t="str">
            <v>Cây tùng cối (tính theo đường kính gốc)</v>
          </cell>
        </row>
        <row r="989">
          <cell r="A989" t="str">
            <v>Cây tùng cối có đường kính gốc 1cm ≤ Φ &lt; 2cm</v>
          </cell>
        </row>
        <row r="990">
          <cell r="A990" t="str">
            <v>Cây tùng cối có đường kính gốc 2cm ≤ Φ &lt; 5cm</v>
          </cell>
        </row>
        <row r="991">
          <cell r="A991" t="str">
            <v>Cây tùng cối có đường kính gốc 5cm ≤ Φ &lt; 7cm</v>
          </cell>
        </row>
        <row r="992">
          <cell r="A992" t="str">
            <v>Cây tùng cối có đường kính gốc Φ ≥ 7cm</v>
          </cell>
        </row>
        <row r="993">
          <cell r="A993" t="str">
            <v>Cây vạn tuế (tính theo đường kính gốc)</v>
          </cell>
        </row>
        <row r="994">
          <cell r="A994" t="str">
            <v>Cây vạn tuế có đường kính gốc  Φ &lt; 10cm</v>
          </cell>
        </row>
        <row r="995">
          <cell r="A995" t="str">
            <v>Cây vạn tuế có đường kính gốc 10cm ≤ Φ &lt; 20cm</v>
          </cell>
        </row>
        <row r="996">
          <cell r="A996" t="str">
            <v>Cây vạn tuế có đường kính gốc 20cm ≤ Φ &lt; 30cm</v>
          </cell>
        </row>
        <row r="997">
          <cell r="A997" t="str">
            <v>Cây vạn tuế có đường kính gốc Φ ≥ 30cm</v>
          </cell>
        </row>
        <row r="998">
          <cell r="A998" t="str">
            <v>Cây cảnh trồng trong chậu (tính chi phí di chuyển cả cây và chậu)</v>
          </cell>
        </row>
        <row r="999">
          <cell r="A999" t="str">
            <v>Di chuyển chậu có đường kính &lt; 0,5m</v>
          </cell>
        </row>
        <row r="1000">
          <cell r="A1000" t="str">
            <v xml:space="preserve">Di chuyển chậu có đường kính 0,5m ≤ Φ &lt; 0,7m </v>
          </cell>
        </row>
        <row r="1001">
          <cell r="A1001" t="str">
            <v xml:space="preserve">Di chuyển chậu có đường kính 0,7m ≤ Φ &lt; 1m </v>
          </cell>
        </row>
        <row r="1002">
          <cell r="A1002" t="str">
            <v xml:space="preserve">Di chuyển chậu có đường kính 1m ≤ Φ &lt; 1,5m </v>
          </cell>
        </row>
        <row r="1003">
          <cell r="A1003" t="str">
            <v xml:space="preserve">Di chuyển chậu có đường kính ≥ 1,5m </v>
          </cell>
        </row>
        <row r="1004">
          <cell r="A1004" t="str">
            <v>Quất cảnh (tính theo đường kính tán lá Φ)</v>
          </cell>
        </row>
        <row r="1005">
          <cell r="A1005" t="str">
            <v>Cây giống đủ tiêu chuẩn mới trồng</v>
          </cell>
        </row>
        <row r="1006">
          <cell r="A1006" t="str">
            <v>Cây có đường kính tán 0,7m ≤ Φ &lt; 1m</v>
          </cell>
        </row>
        <row r="1007">
          <cell r="A1007" t="str">
            <v>Cây có đường kính tán 1m ≤ Φ &lt; 1,5m</v>
          </cell>
        </row>
        <row r="1008">
          <cell r="A1008" t="str">
            <v>Cây có đường kính tán 1,5m ≤ Φ &lt; 2m</v>
          </cell>
        </row>
        <row r="1009">
          <cell r="A1009" t="str">
            <v>Cây có đường kính tán Φ ≥ 2m</v>
          </cell>
        </row>
        <row r="1010">
          <cell r="A1010" t="str">
            <v>Cây cảnh làm giống</v>
          </cell>
        </row>
        <row r="1011">
          <cell r="A1011" t="str">
            <v xml:space="preserve">Cây giống đào, hoa cảnh </v>
          </cell>
        </row>
        <row r="1012">
          <cell r="A1012" t="str">
            <v>Gieo, ươm hạt thành luống chưa ghép</v>
          </cell>
        </row>
        <row r="1013">
          <cell r="A1013" t="str">
            <v xml:space="preserve">Gieo, ươm hạt thành luống đã ghép </v>
          </cell>
        </row>
        <row r="1014">
          <cell r="A1014" t="str">
            <v>Cây giống đào hoa cảnh đã ghép đủ tiêu chuẩn</v>
          </cell>
        </row>
        <row r="1015">
          <cell r="A1015" t="str">
            <v xml:space="preserve">Cây giống trồng từ đào mạ, không ghép trồng thành luống </v>
          </cell>
        </row>
        <row r="1016">
          <cell r="A1016" t="str">
            <v>Cây giống lộc vừng, sanh, si</v>
          </cell>
        </row>
        <row r="1017">
          <cell r="A1017" t="str">
            <v>Cây gieo ươm từ hạt</v>
          </cell>
        </row>
        <row r="1018">
          <cell r="A1018" t="str">
            <v>Giống ươm gieo hạt chiều cao cây H &lt; 20cm</v>
          </cell>
        </row>
        <row r="1019">
          <cell r="A1019" t="str">
            <v xml:space="preserve">Giống ươm gieo hạt chiều cao cây H ≥ 20cm </v>
          </cell>
        </row>
        <row r="1020">
          <cell r="A1020" t="str">
            <v>Từ cây ươm gieo hạt tách ra đựng trong bầu nilong hoặc trồng thành luống</v>
          </cell>
        </row>
        <row r="1021">
          <cell r="A1021" t="str">
            <v xml:space="preserve">Chiều cao cây 20cm  ≤ H &lt; 50cm </v>
          </cell>
        </row>
        <row r="1022">
          <cell r="A1022" t="str">
            <v>Chiều cao cây 50cm  ≤ H &lt; 70cm</v>
          </cell>
        </row>
        <row r="1023">
          <cell r="A1023" t="str">
            <v xml:space="preserve">Chiều cao cây 70cm  ≤ H &lt;100cm </v>
          </cell>
        </row>
        <row r="1024">
          <cell r="A1024" t="str">
            <v>Cây giống cau cảnh</v>
          </cell>
        </row>
        <row r="1025">
          <cell r="A1025" t="str">
            <v>Cây gieo ươm từ hạt</v>
          </cell>
        </row>
        <row r="1026">
          <cell r="A1026" t="str">
            <v>Giống ươm gieo hạt thành luống, vạt chiều cao cây H &lt; 20cm</v>
          </cell>
        </row>
        <row r="1027">
          <cell r="A1027" t="str">
            <v xml:space="preserve">Giống ươm gieo hạt thành luống, vạt chiều cao cây H ≥ 20cm </v>
          </cell>
        </row>
        <row r="1028">
          <cell r="A1028" t="str">
            <v>Từ cây ươm gieo hạt tách ra đựng trong bầu nilong hoặc trồng thành luống</v>
          </cell>
        </row>
        <row r="1029">
          <cell r="A1029" t="str">
            <v>Chiều cao cây H &lt; 20cm</v>
          </cell>
        </row>
        <row r="1030">
          <cell r="A1030" t="str">
            <v>Chiều cao cây 20cm  ≤ H &lt; 50cm</v>
          </cell>
        </row>
        <row r="1031">
          <cell r="A1031" t="str">
            <v xml:space="preserve">Chiều cao cây H ≥ 50cm </v>
          </cell>
        </row>
        <row r="1032">
          <cell r="A1032" t="str">
            <v>Đào tán (đào hoa cảnh có đặc điểm tán lá hình tròn, hình tháp, thân chính không uốn tạo thế phát triển tự nhiên, chỉ cắt tỉa cành nhỏ; trồng trên đất đã được chuyển mục đích theo quy định, bao gồm: Đào cây, các loại cây khác trồng xen canh, bể chứa nước, bể chứa phân…tính trên diện tích 1 sào =360m2).</v>
          </cell>
        </row>
        <row r="1033">
          <cell r="A1033" t="str">
            <v xml:space="preserve">Đào tán loại 1 (số cây có đường kính tán từ 0,8m đến 1m, cao từ 1m đến 1,5m chiếm trên 50% diện tích; quy đổi 1 cây/1,8m2) </v>
          </cell>
        </row>
        <row r="1034">
          <cell r="A1034" t="str">
            <v xml:space="preserve">Đào tán loại 2 (số cây có đường kính tán từ 0,8m đến 1m, cao từ 1m đến 1,5m chiếm từ 40% đến 50% diện tích; quy đổi 1 cây/1,8m2) </v>
          </cell>
        </row>
        <row r="1035">
          <cell r="A1035" t="str">
            <v xml:space="preserve">Đào tán loại 3 (số cây có đường kính tán từ 0,8m đến 1m, cao từ 1m đến 1,5m chiếm từ 30% đến 40% diện tích; quy đổi 1 cây/1,8m2) </v>
          </cell>
        </row>
        <row r="1036">
          <cell r="A1036" t="str">
            <v xml:space="preserve">Đào tán loại 4 (số cây có đường kính tán từ 0,8m đến 1m, cao từ 1m đến 1,5m chiếm dưới 30% diện tích; quy đổi 1 cây/1,2m2) </v>
          </cell>
        </row>
        <row r="1037">
          <cell r="A1037" t="str">
            <v>Đào thế (đào trồng trên đất đã được chuyển mục đích theo quy định, bao gồm: Đào cây, các loại cây khác trồng xen canh, bể chứa nước, bể chứa phân…tính trên diện tích 1 sào =360m2)</v>
          </cell>
        </row>
        <row r="1038">
          <cell r="A1038" t="str">
            <v xml:space="preserve">Đào thế loại 1 (số cây có chiều cao từ 1m đến 1,5m chiếm trên 50% diện tích; quy đổi 1 cây/1,8m2) </v>
          </cell>
        </row>
        <row r="1039">
          <cell r="A1039" t="str">
            <v xml:space="preserve">Đào thế loại 2 (số cây có chiều cao từ 1m đến 1,5m chiếm từ 40% đến 50% diện tích; quy đổi 1 cây/1,8m2) </v>
          </cell>
        </row>
        <row r="1040">
          <cell r="A1040" t="str">
            <v xml:space="preserve">Đào thế loại 3 (số cây có chiều cao từ 1m đến 1,5m chiếm dưới 40% diện tích; quy đổi 1 cây/1,2m2) </v>
          </cell>
        </row>
        <row r="1041">
          <cell r="A1041" t="str">
            <v>Cỏ cảnh lá tre, cỏ nhung (trồng dày đặc)</v>
          </cell>
        </row>
        <row r="1042">
          <cell r="A1042" t="str">
            <v>Hương nhu, lá ngải, lá nếp, lưỡi hổ, láng tía, ngũ gia bì</v>
          </cell>
        </row>
        <row r="1043">
          <cell r="A1043" t="str">
            <v>Trầu không</v>
          </cell>
        </row>
        <row r="1044">
          <cell r="A1044" t="str">
            <v>Hương bài</v>
          </cell>
        </row>
        <row r="1045">
          <cell r="A1045" t="str">
            <v>GIỐNG CÂY ĂN QUẢ</v>
          </cell>
        </row>
        <row r="1046">
          <cell r="A1046" t="str">
            <v>Thanh long</v>
          </cell>
        </row>
        <row r="1047">
          <cell r="A1047" t="str">
            <v>Cành thanh long mới ươm chưa ra rễ</v>
          </cell>
        </row>
        <row r="1048">
          <cell r="A1048" t="str">
            <v>Cây thanh long ươm đã ra rễ và mầm, thời gian trồng &lt;  01 tháng</v>
          </cell>
        </row>
        <row r="1049">
          <cell r="A1049" t="str">
            <v>Cây thanh long ươm đã ra rễ và mầm, từ 01 tháng đến &lt; 02 tháng</v>
          </cell>
        </row>
        <row r="1050">
          <cell r="A1050" t="str">
            <v>Cây thanh long ươm đã ra rễ và mầm, thời gian trồng ≥ 02 tháng</v>
          </cell>
        </row>
        <row r="1051">
          <cell r="A1051" t="str">
            <v>Cây thanh long có chiều cao thân ≥ 0,7m (chưa ra quả)</v>
          </cell>
        </row>
        <row r="1052">
          <cell r="A1052" t="str">
            <v>Cây thanh long có chiều cao thân ≥ 0,7m (đã có quả)</v>
          </cell>
        </row>
        <row r="1053">
          <cell r="A1053" t="str">
            <v>Cây giống cây ăn quả</v>
          </cell>
        </row>
        <row r="1054">
          <cell r="A1054" t="str">
            <v>Loại ươm gieo hạt (thành luống, dảnh)</v>
          </cell>
        </row>
        <row r="1055">
          <cell r="A1055" t="str">
            <v xml:space="preserve">Chiều cao cây H &lt; 20cm </v>
          </cell>
        </row>
        <row r="1056">
          <cell r="A1056" t="str">
            <v>Chiều cao cây H ≥ 20cm</v>
          </cell>
        </row>
        <row r="1057">
          <cell r="A1057" t="str">
            <v>Cây giống vải, nhãn, doi, bưởi, thị, na, xoài, muỗm, quéo, trứng gà, sấu, táo, ổi, chay, me, khế, mận, mơ (từ cây ươm gieo hạt, đựng trong bầu nilon hoặc trồng thành luống chưa ghép)</v>
          </cell>
        </row>
        <row r="1058">
          <cell r="A1058" t="str">
            <v>Chiều cao cây H &lt; 40cm</v>
          </cell>
        </row>
        <row r="1059">
          <cell r="A1059" t="str">
            <v>Chiều cao cây 40cm ≤ H &lt; 100cm</v>
          </cell>
        </row>
        <row r="1060">
          <cell r="A1060" t="str">
            <v xml:space="preserve">Chiều cao cây H ≥ 100cm </v>
          </cell>
        </row>
        <row r="1061">
          <cell r="A1061" t="str">
            <v>Cây giống vải, nhãn, cam, bưởi, táo, ổi, khế (gieo hạt ươm thành luống đã ghép)</v>
          </cell>
        </row>
        <row r="1062">
          <cell r="A1062" t="str">
            <v>Chiều cao cây H &lt; 40cm</v>
          </cell>
        </row>
        <row r="1063">
          <cell r="A1063" t="str">
            <v>Chiều cao cây 40cm  ≤ H &lt; 100cm</v>
          </cell>
        </row>
        <row r="1064">
          <cell r="A1064" t="str">
            <v>Chiều cao cây H ≥ 100cm</v>
          </cell>
        </row>
        <row r="1065">
          <cell r="A1065" t="str">
            <v>Cây giống vải, nhãn, cam, bưởi, doi, hồng xiêm ... đang chiết cành (đã có rễ) chưa đem trồng</v>
          </cell>
        </row>
        <row r="1066">
          <cell r="A1066" t="str">
            <v>Giống Vải, Nhãn đã chiết cành, đã đem dâm ra vườn</v>
          </cell>
        </row>
        <row r="1067">
          <cell r="A1067" t="str">
            <v>Chiều cao cây H &lt; 40cm</v>
          </cell>
        </row>
        <row r="1068">
          <cell r="A1068" t="str">
            <v>Chiều cao cây 40cm  ≤ H &lt; 1,0m</v>
          </cell>
        </row>
        <row r="1069">
          <cell r="A1069" t="str">
            <v xml:space="preserve">Chiều cao cây H ≥ 1,0m </v>
          </cell>
        </row>
        <row r="1070">
          <cell r="A1070" t="str">
            <v>Cây giống cam, bưởi, doi, hồng xiêm đã chiết cành dâm ra vườn</v>
          </cell>
        </row>
        <row r="1071">
          <cell r="A1071" t="str">
            <v>Cây giống cây lấy gỗ, cây lấy lá…ươm gieo hạt thành luống, vạt</v>
          </cell>
        </row>
        <row r="1072">
          <cell r="A1072" t="str">
            <v xml:space="preserve">Chiều cao cây H &lt; 20cm </v>
          </cell>
        </row>
        <row r="1073">
          <cell r="A1073" t="str">
            <v xml:space="preserve">Chiều cao cây H ≥ 20cm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2.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3.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showGridLines="0" defaultGridColor="0" view="pageBreakPreview" colorId="0" workbookViewId="0"/>
  </sheetViews>
  <sheetFormatPr defaultColWidth="8.8984375" defaultRowHeight="15"/>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325"/>
  <sheetViews>
    <sheetView topLeftCell="A12" workbookViewId="0">
      <selection activeCell="G13" sqref="G13"/>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40"/>
      <c r="G3" s="102"/>
      <c r="H3" s="103"/>
    </row>
    <row r="4" spans="1:8" s="98" customFormat="1" ht="18" customHeight="1">
      <c r="A4" s="414"/>
      <c r="B4" s="414"/>
      <c r="C4" s="415" t="s">
        <v>1740</v>
      </c>
      <c r="D4" s="416"/>
      <c r="E4" s="416"/>
      <c r="F4" s="416"/>
      <c r="G4" s="416"/>
      <c r="H4" s="416"/>
    </row>
    <row r="5" spans="1:8" s="98" customFormat="1" ht="15.6">
      <c r="A5" s="104"/>
      <c r="B5" s="104"/>
      <c r="C5" s="139"/>
      <c r="D5" s="105"/>
      <c r="E5" s="106"/>
      <c r="F5" s="139"/>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19" t="s">
        <v>1772</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1773</v>
      </c>
      <c r="C13" s="425"/>
      <c r="D13" s="425"/>
      <c r="E13" s="425"/>
      <c r="F13" s="425"/>
      <c r="G13" s="73">
        <f>G14</f>
        <v>69620000</v>
      </c>
      <c r="H13" s="74"/>
    </row>
    <row r="14" spans="1:8" s="131" customFormat="1" ht="40.5" customHeight="1">
      <c r="A14" s="123"/>
      <c r="B14" s="124" t="s">
        <v>1757</v>
      </c>
      <c r="C14" s="125" t="s">
        <v>1753</v>
      </c>
      <c r="D14" s="126">
        <v>5.9</v>
      </c>
      <c r="E14" s="127">
        <v>11800000</v>
      </c>
      <c r="F14" s="128">
        <v>1</v>
      </c>
      <c r="G14" s="129">
        <f>D14*E14*F14</f>
        <v>69620000</v>
      </c>
      <c r="H14" s="130"/>
    </row>
    <row r="15" spans="1:8" ht="27" customHeight="1">
      <c r="A15" s="75" t="s">
        <v>18</v>
      </c>
      <c r="B15" s="426" t="s">
        <v>1725</v>
      </c>
      <c r="C15" s="426"/>
      <c r="D15" s="426"/>
      <c r="E15" s="426"/>
      <c r="F15" s="426"/>
      <c r="G15" s="76">
        <f>SUM(G16:G17)</f>
        <v>3489082.2668000003</v>
      </c>
      <c r="H15" s="11"/>
    </row>
    <row r="16" spans="1:8" ht="31.2">
      <c r="A16" s="77">
        <v>1</v>
      </c>
      <c r="B16" s="78" t="s">
        <v>1774</v>
      </c>
      <c r="C16" s="14" t="s">
        <v>1754</v>
      </c>
      <c r="D16" s="132">
        <f>5.2*1.3*0.11</f>
        <v>0.74360000000000004</v>
      </c>
      <c r="E16" s="15">
        <v>2126713</v>
      </c>
      <c r="F16" s="14">
        <v>1</v>
      </c>
      <c r="G16" s="79">
        <f t="shared" ref="G16:G17" si="0">D16*E16*F16</f>
        <v>1581423.7868000001</v>
      </c>
      <c r="H16" s="15"/>
    </row>
    <row r="17" spans="1:8" ht="15.6">
      <c r="A17" s="77"/>
      <c r="B17" s="78" t="s">
        <v>1958</v>
      </c>
      <c r="C17" s="14" t="s">
        <v>66</v>
      </c>
      <c r="D17" s="132">
        <f>5.2*1.3*2</f>
        <v>13.520000000000001</v>
      </c>
      <c r="E17" s="15">
        <v>141099</v>
      </c>
      <c r="F17" s="14">
        <v>1</v>
      </c>
      <c r="G17" s="79">
        <f t="shared" si="0"/>
        <v>1907658.4800000002</v>
      </c>
      <c r="H17" s="15"/>
    </row>
    <row r="18" spans="1:8" ht="24" customHeight="1">
      <c r="A18" s="75" t="s">
        <v>19</v>
      </c>
      <c r="B18" s="426" t="s">
        <v>1727</v>
      </c>
      <c r="C18" s="426"/>
      <c r="D18" s="426"/>
      <c r="E18" s="426"/>
      <c r="F18" s="426"/>
      <c r="G18" s="76">
        <f>SUM(G19:G19)</f>
        <v>0</v>
      </c>
      <c r="H18" s="11"/>
    </row>
    <row r="19" spans="1:8" ht="30.6" customHeight="1">
      <c r="A19" s="77"/>
      <c r="B19" s="78" t="s">
        <v>1728</v>
      </c>
      <c r="C19" s="13"/>
      <c r="D19" s="13"/>
      <c r="E19" s="13"/>
      <c r="F19" s="13"/>
      <c r="G19" s="79"/>
      <c r="H19" s="15"/>
    </row>
    <row r="20" spans="1:8" ht="15.6">
      <c r="A20" s="80"/>
      <c r="B20" s="427" t="s">
        <v>62</v>
      </c>
      <c r="C20" s="428"/>
      <c r="D20" s="428"/>
      <c r="E20" s="428"/>
      <c r="F20" s="429"/>
      <c r="G20" s="81">
        <f>G13+G15+G18</f>
        <v>73109082.266800001</v>
      </c>
      <c r="H20" s="82"/>
    </row>
    <row r="21" spans="1:8" ht="15.6">
      <c r="A21" s="80"/>
      <c r="B21" s="427" t="s">
        <v>1726</v>
      </c>
      <c r="C21" s="428"/>
      <c r="D21" s="428"/>
      <c r="E21" s="428"/>
      <c r="F21" s="429"/>
      <c r="G21" s="81">
        <f>ROUND(G20,-3)</f>
        <v>73109000</v>
      </c>
      <c r="H21" s="82"/>
    </row>
    <row r="22" spans="1:8" ht="15.6">
      <c r="A22" s="430" t="e">
        <f ca="1">[19]!vnd(G21)</f>
        <v>#NAME?</v>
      </c>
      <c r="B22" s="431"/>
      <c r="C22" s="431"/>
      <c r="D22" s="431"/>
      <c r="E22" s="431"/>
      <c r="F22" s="431"/>
      <c r="G22" s="431"/>
      <c r="H22" s="432"/>
    </row>
    <row r="23" spans="1:8">
      <c r="A23" s="17"/>
      <c r="B23" s="17"/>
      <c r="C23" s="97"/>
      <c r="D23" s="20"/>
      <c r="E23" s="19"/>
      <c r="F23" s="97"/>
      <c r="G23" s="19"/>
      <c r="H23" s="17"/>
    </row>
    <row r="24" spans="1:8" s="109" customFormat="1" ht="16.5" customHeight="1">
      <c r="A24" s="108"/>
      <c r="B24" s="108"/>
      <c r="C24" s="424" t="s">
        <v>1742</v>
      </c>
      <c r="D24" s="424"/>
      <c r="E24" s="424"/>
      <c r="F24" s="424"/>
      <c r="G24" s="424"/>
      <c r="H24" s="424"/>
    </row>
    <row r="25" spans="1:8" s="109" customFormat="1" ht="16.5" customHeight="1">
      <c r="A25" s="423" t="s">
        <v>63</v>
      </c>
      <c r="B25" s="423"/>
      <c r="C25" s="424" t="s">
        <v>1743</v>
      </c>
      <c r="D25" s="424"/>
      <c r="E25" s="424"/>
      <c r="F25" s="424" t="s">
        <v>1744</v>
      </c>
      <c r="G25" s="424"/>
      <c r="H25" s="424"/>
    </row>
    <row r="26" spans="1:8" s="109" customFormat="1" ht="15.6">
      <c r="A26" s="108"/>
      <c r="B26" s="108"/>
      <c r="C26" s="108"/>
      <c r="D26" s="110"/>
      <c r="E26" s="111"/>
      <c r="F26" s="112"/>
      <c r="G26" s="111"/>
      <c r="H26" s="113"/>
    </row>
    <row r="27" spans="1:8" s="109" customFormat="1" ht="15.6">
      <c r="A27" s="108"/>
      <c r="B27" s="108"/>
      <c r="C27" s="108"/>
      <c r="D27" s="110"/>
      <c r="E27" s="111"/>
      <c r="F27" s="112"/>
      <c r="G27" s="114"/>
      <c r="H27" s="113"/>
    </row>
    <row r="28" spans="1:8" s="109" customFormat="1" ht="15.6">
      <c r="A28" s="108"/>
      <c r="B28" s="108"/>
      <c r="C28" s="108"/>
      <c r="D28" s="110"/>
      <c r="E28" s="111"/>
      <c r="F28" s="112"/>
      <c r="G28" s="111"/>
      <c r="H28" s="113"/>
    </row>
    <row r="29" spans="1:8" s="109" customFormat="1" ht="15.6">
      <c r="A29" s="108"/>
      <c r="B29" s="108"/>
      <c r="C29" s="108"/>
      <c r="D29" s="110"/>
      <c r="E29" s="111"/>
      <c r="F29" s="112"/>
      <c r="G29" s="111"/>
      <c r="H29" s="113"/>
    </row>
    <row r="30" spans="1:8" s="109" customFormat="1" ht="15.6">
      <c r="A30" s="108"/>
      <c r="B30" s="108"/>
      <c r="C30" s="108"/>
      <c r="D30" s="110"/>
      <c r="E30" s="111"/>
      <c r="F30" s="112"/>
      <c r="G30" s="111"/>
      <c r="H30" s="113"/>
    </row>
    <row r="31" spans="1:8" s="109" customFormat="1" ht="16.5" customHeight="1">
      <c r="A31" s="108"/>
      <c r="B31" s="141" t="s">
        <v>64</v>
      </c>
      <c r="C31" s="424"/>
      <c r="D31" s="424"/>
      <c r="E31" s="424"/>
      <c r="F31" s="424" t="s">
        <v>1745</v>
      </c>
      <c r="G31" s="424"/>
      <c r="H31" s="424"/>
    </row>
    <row r="32" spans="1:8" s="109" customFormat="1" ht="15.6">
      <c r="A32" s="108"/>
      <c r="B32" s="141"/>
      <c r="C32" s="138"/>
      <c r="D32" s="138"/>
      <c r="E32" s="138"/>
      <c r="F32" s="138"/>
      <c r="G32" s="138"/>
      <c r="H32" s="138"/>
    </row>
    <row r="33" spans="1:8" s="109" customFormat="1" ht="15" customHeight="1">
      <c r="A33" s="424" t="s">
        <v>1746</v>
      </c>
      <c r="B33" s="424"/>
      <c r="C33" s="424"/>
      <c r="D33" s="424"/>
      <c r="E33" s="424" t="s">
        <v>1747</v>
      </c>
      <c r="F33" s="424"/>
      <c r="G33" s="424"/>
      <c r="H33" s="424"/>
    </row>
    <row r="34" spans="1:8" s="109" customFormat="1" ht="33.6" customHeight="1">
      <c r="A34" s="424" t="s">
        <v>1748</v>
      </c>
      <c r="B34" s="424"/>
      <c r="C34" s="424"/>
      <c r="D34" s="424"/>
      <c r="E34" s="424" t="s">
        <v>65</v>
      </c>
      <c r="F34" s="424"/>
      <c r="G34" s="424"/>
      <c r="H34" s="424"/>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ustomHeight="1">
      <c r="A40" s="108"/>
      <c r="B40" s="108"/>
      <c r="C40" s="108"/>
      <c r="D40" s="115"/>
      <c r="E40" s="439" t="s">
        <v>1749</v>
      </c>
      <c r="F40" s="439"/>
      <c r="G40" s="439"/>
      <c r="H40" s="439"/>
    </row>
    <row r="41" spans="1:8" s="109" customFormat="1" ht="16.5" customHeight="1">
      <c r="A41" s="424" t="s">
        <v>1751</v>
      </c>
      <c r="B41" s="424"/>
      <c r="C41" s="424"/>
      <c r="D41" s="424"/>
      <c r="E41" s="424" t="s">
        <v>1750</v>
      </c>
      <c r="F41" s="424"/>
      <c r="G41" s="424"/>
      <c r="H41" s="424"/>
    </row>
    <row r="42" spans="1:8" s="118" customFormat="1" ht="16.2" customHeight="1">
      <c r="A42" s="440"/>
      <c r="B42" s="440"/>
      <c r="C42" s="116"/>
      <c r="D42" s="117"/>
      <c r="E42" s="440"/>
      <c r="F42" s="440"/>
      <c r="G42" s="440"/>
      <c r="H42" s="440"/>
    </row>
    <row r="43" spans="1:8" s="118" customFormat="1" ht="15.75" customHeight="1">
      <c r="A43" s="440"/>
      <c r="B43" s="440"/>
      <c r="C43" s="440"/>
      <c r="D43" s="440"/>
      <c r="E43" s="440"/>
      <c r="F43" s="440"/>
      <c r="G43" s="440"/>
      <c r="H43" s="440"/>
    </row>
    <row r="44" spans="1:8" s="98" customFormat="1" ht="16.2" customHeight="1">
      <c r="A44" s="436"/>
      <c r="B44" s="436"/>
      <c r="C44" s="436"/>
      <c r="D44" s="436"/>
      <c r="E44" s="119"/>
      <c r="F44" s="120"/>
      <c r="G44" s="119"/>
      <c r="H44" s="121"/>
    </row>
    <row r="45" spans="1:8" s="98" customFormat="1" ht="16.2" customHeight="1">
      <c r="A45" s="436"/>
      <c r="B45" s="436"/>
      <c r="C45" s="436"/>
      <c r="D45" s="436"/>
      <c r="E45" s="119"/>
      <c r="F45" s="120"/>
      <c r="G45" s="119"/>
      <c r="H45" s="121"/>
    </row>
    <row r="46" spans="1:8" s="98" customFormat="1" ht="16.2" customHeight="1">
      <c r="A46" s="121"/>
      <c r="B46" s="121"/>
      <c r="C46" s="121"/>
      <c r="D46" s="122"/>
      <c r="E46" s="119"/>
      <c r="F46" s="120"/>
      <c r="G46" s="119"/>
      <c r="H46" s="121"/>
    </row>
    <row r="47" spans="1:8" ht="16.2" customHeight="1">
      <c r="A47" s="83"/>
      <c r="B47" s="83"/>
      <c r="C47" s="83"/>
      <c r="D47" s="84"/>
      <c r="E47" s="85"/>
      <c r="F47" s="86"/>
      <c r="G47" s="85"/>
      <c r="H47" s="83"/>
    </row>
    <row r="48" spans="1:8" ht="16.2" customHeight="1">
      <c r="A48" s="83"/>
      <c r="B48" s="83"/>
      <c r="C48" s="83"/>
      <c r="D48" s="84"/>
      <c r="E48" s="85"/>
      <c r="F48" s="86"/>
      <c r="G48" s="85"/>
      <c r="H48" s="83"/>
    </row>
    <row r="49" spans="1:8" ht="16.2" customHeight="1">
      <c r="A49" s="83"/>
      <c r="B49" s="83"/>
      <c r="C49" s="83"/>
      <c r="D49" s="84"/>
      <c r="E49" s="85"/>
      <c r="F49" s="86"/>
      <c r="G49" s="85"/>
      <c r="H49" s="83"/>
    </row>
    <row r="50" spans="1:8" ht="16.2" customHeight="1">
      <c r="A50" s="83"/>
      <c r="B50" s="83"/>
      <c r="C50" s="83"/>
      <c r="D50" s="84"/>
      <c r="E50" s="437"/>
      <c r="F50" s="437"/>
      <c r="G50" s="437"/>
      <c r="H50" s="437"/>
    </row>
    <row r="51" spans="1:8" ht="20.25" customHeight="1">
      <c r="A51" s="438"/>
      <c r="B51" s="438"/>
      <c r="C51" s="438"/>
      <c r="D51" s="438"/>
      <c r="E51" s="438"/>
      <c r="F51" s="438"/>
      <c r="G51" s="438"/>
      <c r="H51" s="438"/>
    </row>
    <row r="52" spans="1:8" s="17" customFormat="1" ht="16.2" customHeight="1">
      <c r="D52" s="18"/>
      <c r="E52" s="19"/>
      <c r="F52" s="97"/>
      <c r="G52" s="19"/>
    </row>
    <row r="53" spans="1:8" s="17" customFormat="1" ht="16.2" customHeight="1">
      <c r="D53" s="18"/>
      <c r="E53" s="19"/>
      <c r="F53" s="97"/>
      <c r="G53" s="19"/>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C68" s="97"/>
      <c r="D68" s="20"/>
      <c r="E68" s="19"/>
      <c r="F68" s="97"/>
      <c r="G68" s="19"/>
    </row>
    <row r="69" spans="3:7" s="17" customFormat="1" ht="16.2" customHeight="1">
      <c r="C69" s="97"/>
      <c r="D69" s="20"/>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ht="16.2" customHeight="1"/>
    <row r="81" ht="16.2" customHeight="1"/>
    <row r="82" ht="16.2" customHeight="1"/>
    <row r="83" ht="16.2" customHeight="1"/>
    <row r="84" ht="16.2" customHeight="1"/>
    <row r="85" ht="16.2" customHeight="1"/>
    <row r="86" ht="16.2" customHeight="1"/>
    <row r="87" ht="16.2" customHeight="1"/>
    <row r="88" ht="16.2" customHeight="1"/>
    <row r="89" ht="16.2" customHeight="1"/>
    <row r="90" ht="16.2" customHeight="1"/>
    <row r="91" ht="16.2" customHeight="1"/>
    <row r="92" ht="16.2" customHeight="1"/>
    <row r="93" ht="16.2" customHeight="1"/>
    <row r="94" ht="16.2" customHeight="1"/>
    <row r="95" ht="16.2" customHeight="1"/>
    <row r="96"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row r="227"/>
    <row r="228"/>
    <row r="229"/>
    <row r="230"/>
    <row r="231"/>
    <row r="232"/>
    <row r="233"/>
    <row r="234"/>
    <row r="235"/>
    <row r="236"/>
    <row r="237"/>
    <row r="238"/>
    <row r="239"/>
    <row r="240"/>
    <row r="24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sheetData>
  <mergeCells count="40">
    <mergeCell ref="E50:H50"/>
    <mergeCell ref="A51:H51"/>
    <mergeCell ref="A42:B42"/>
    <mergeCell ref="E42:H42"/>
    <mergeCell ref="A43:D43"/>
    <mergeCell ref="E43:H43"/>
    <mergeCell ref="A44:D44"/>
    <mergeCell ref="A45:D45"/>
    <mergeCell ref="A41:D41"/>
    <mergeCell ref="E41:H41"/>
    <mergeCell ref="C24:H24"/>
    <mergeCell ref="A25:B25"/>
    <mergeCell ref="C25:E25"/>
    <mergeCell ref="F25:H25"/>
    <mergeCell ref="C31:E31"/>
    <mergeCell ref="F31:H31"/>
    <mergeCell ref="A33:D33"/>
    <mergeCell ref="E33:H33"/>
    <mergeCell ref="A34:D34"/>
    <mergeCell ref="E34:H34"/>
    <mergeCell ref="E40:H40"/>
    <mergeCell ref="A22:H22"/>
    <mergeCell ref="A6:H6"/>
    <mergeCell ref="A7:H7"/>
    <mergeCell ref="A8:H8"/>
    <mergeCell ref="A9:H9"/>
    <mergeCell ref="A10:H10"/>
    <mergeCell ref="A11:H11"/>
    <mergeCell ref="B13:F13"/>
    <mergeCell ref="B15:F15"/>
    <mergeCell ref="B18:F18"/>
    <mergeCell ref="B20:F20"/>
    <mergeCell ref="B21:F21"/>
    <mergeCell ref="A4:B4"/>
    <mergeCell ref="C4:H4"/>
    <mergeCell ref="A1:B1"/>
    <mergeCell ref="C1:H1"/>
    <mergeCell ref="A2:B2"/>
    <mergeCell ref="C2:H2"/>
    <mergeCell ref="A3:B3"/>
  </mergeCells>
  <dataValidations count="1">
    <dataValidation type="list" allowBlank="1" showInputMessage="1" showErrorMessage="1" sqref="WVJ983043:WVJ983060 B983043:B983060 IX983043:IX983060 ST983043:ST983060 ACP983043:ACP983060 AML983043:AML983060 AWH983043:AWH983060 BGD983043:BGD983060 BPZ983043:BPZ983060 BZV983043:BZV983060 CJR983043:CJR983060 CTN983043:CTN983060 DDJ983043:DDJ983060 DNF983043:DNF983060 DXB983043:DXB983060 EGX983043:EGX983060 EQT983043:EQT983060 FAP983043:FAP983060 FKL983043:FKL983060 FUH983043:FUH983060 GED983043:GED983060 GNZ983043:GNZ983060 GXV983043:GXV983060 HHR983043:HHR983060 HRN983043:HRN983060 IBJ983043:IBJ983060 ILF983043:ILF983060 IVB983043:IVB983060 JEX983043:JEX983060 JOT983043:JOT983060 JYP983043:JYP983060 KIL983043:KIL983060 KSH983043:KSH983060 LCD983043:LCD983060 LLZ983043:LLZ983060 LVV983043:LVV983060 MFR983043:MFR983060 MPN983043:MPN983060 MZJ983043:MZJ983060 NJF983043:NJF983060 NTB983043:NTB983060 OCX983043:OCX983060 OMT983043:OMT983060 OWP983043:OWP983060 PGL983043:PGL983060 PQH983043:PQH983060 QAD983043:QAD983060 QJZ983043:QJZ983060 QTV983043:QTV983060 RDR983043:RDR983060 RNN983043:RNN983060 RXJ983043:RXJ983060 SHF983043:SHF983060 SRB983043:SRB983060 TAX983043:TAX983060 TKT983043:TKT983060 TUP983043:TUP983060 UEL983043:UEL983060 UOH983043:UOH983060 UYD983043:UYD983060 VHZ983043:VHZ983060 VRV983043:VRV983060 WBR983043:WBR983060 WLN983043:WLN983060 B65539:B65556 IX65539:IX65556 ST65539:ST65556 ACP65539:ACP65556 AML65539:AML65556 AWH65539:AWH65556 BGD65539:BGD65556 BPZ65539:BPZ65556 BZV65539:BZV65556 CJR65539:CJR65556 CTN65539:CTN65556 DDJ65539:DDJ65556 DNF65539:DNF65556 DXB65539:DXB65556 EGX65539:EGX65556 EQT65539:EQT65556 FAP65539:FAP65556 FKL65539:FKL65556 FUH65539:FUH65556 GED65539:GED65556 GNZ65539:GNZ65556 GXV65539:GXV65556 HHR65539:HHR65556 HRN65539:HRN65556 IBJ65539:IBJ65556 ILF65539:ILF65556 IVB65539:IVB65556 JEX65539:JEX65556 JOT65539:JOT65556 JYP65539:JYP65556 KIL65539:KIL65556 KSH65539:KSH65556 LCD65539:LCD65556 LLZ65539:LLZ65556 LVV65539:LVV65556 MFR65539:MFR65556 MPN65539:MPN65556 MZJ65539:MZJ65556 NJF65539:NJF65556 NTB65539:NTB65556 OCX65539:OCX65556 OMT65539:OMT65556 OWP65539:OWP65556 PGL65539:PGL65556 PQH65539:PQH65556 QAD65539:QAD65556 QJZ65539:QJZ65556 QTV65539:QTV65556 RDR65539:RDR65556 RNN65539:RNN65556 RXJ65539:RXJ65556 SHF65539:SHF65556 SRB65539:SRB65556 TAX65539:TAX65556 TKT65539:TKT65556 TUP65539:TUP65556 UEL65539:UEL65556 UOH65539:UOH65556 UYD65539:UYD65556 VHZ65539:VHZ65556 VRV65539:VRV65556 WBR65539:WBR65556 WLN65539:WLN65556 WVJ65539:WVJ65556 B131075:B131092 IX131075:IX131092 ST131075:ST131092 ACP131075:ACP131092 AML131075:AML131092 AWH131075:AWH131092 BGD131075:BGD131092 BPZ131075:BPZ131092 BZV131075:BZV131092 CJR131075:CJR131092 CTN131075:CTN131092 DDJ131075:DDJ131092 DNF131075:DNF131092 DXB131075:DXB131092 EGX131075:EGX131092 EQT131075:EQT131092 FAP131075:FAP131092 FKL131075:FKL131092 FUH131075:FUH131092 GED131075:GED131092 GNZ131075:GNZ131092 GXV131075:GXV131092 HHR131075:HHR131092 HRN131075:HRN131092 IBJ131075:IBJ131092 ILF131075:ILF131092 IVB131075:IVB131092 JEX131075:JEX131092 JOT131075:JOT131092 JYP131075:JYP131092 KIL131075:KIL131092 KSH131075:KSH131092 LCD131075:LCD131092 LLZ131075:LLZ131092 LVV131075:LVV131092 MFR131075:MFR131092 MPN131075:MPN131092 MZJ131075:MZJ131092 NJF131075:NJF131092 NTB131075:NTB131092 OCX131075:OCX131092 OMT131075:OMT131092 OWP131075:OWP131092 PGL131075:PGL131092 PQH131075:PQH131092 QAD131075:QAD131092 QJZ131075:QJZ131092 QTV131075:QTV131092 RDR131075:RDR131092 RNN131075:RNN131092 RXJ131075:RXJ131092 SHF131075:SHF131092 SRB131075:SRB131092 TAX131075:TAX131092 TKT131075:TKT131092 TUP131075:TUP131092 UEL131075:UEL131092 UOH131075:UOH131092 UYD131075:UYD131092 VHZ131075:VHZ131092 VRV131075:VRV131092 WBR131075:WBR131092 WLN131075:WLN131092 WVJ131075:WVJ131092 B196611:B196628 IX196611:IX196628 ST196611:ST196628 ACP196611:ACP196628 AML196611:AML196628 AWH196611:AWH196628 BGD196611:BGD196628 BPZ196611:BPZ196628 BZV196611:BZV196628 CJR196611:CJR196628 CTN196611:CTN196628 DDJ196611:DDJ196628 DNF196611:DNF196628 DXB196611:DXB196628 EGX196611:EGX196628 EQT196611:EQT196628 FAP196611:FAP196628 FKL196611:FKL196628 FUH196611:FUH196628 GED196611:GED196628 GNZ196611:GNZ196628 GXV196611:GXV196628 HHR196611:HHR196628 HRN196611:HRN196628 IBJ196611:IBJ196628 ILF196611:ILF196628 IVB196611:IVB196628 JEX196611:JEX196628 JOT196611:JOT196628 JYP196611:JYP196628 KIL196611:KIL196628 KSH196611:KSH196628 LCD196611:LCD196628 LLZ196611:LLZ196628 LVV196611:LVV196628 MFR196611:MFR196628 MPN196611:MPN196628 MZJ196611:MZJ196628 NJF196611:NJF196628 NTB196611:NTB196628 OCX196611:OCX196628 OMT196611:OMT196628 OWP196611:OWP196628 PGL196611:PGL196628 PQH196611:PQH196628 QAD196611:QAD196628 QJZ196611:QJZ196628 QTV196611:QTV196628 RDR196611:RDR196628 RNN196611:RNN196628 RXJ196611:RXJ196628 SHF196611:SHF196628 SRB196611:SRB196628 TAX196611:TAX196628 TKT196611:TKT196628 TUP196611:TUP196628 UEL196611:UEL196628 UOH196611:UOH196628 UYD196611:UYD196628 VHZ196611:VHZ196628 VRV196611:VRV196628 WBR196611:WBR196628 WLN196611:WLN196628 WVJ196611:WVJ196628 B262147:B262164 IX262147:IX262164 ST262147:ST262164 ACP262147:ACP262164 AML262147:AML262164 AWH262147:AWH262164 BGD262147:BGD262164 BPZ262147:BPZ262164 BZV262147:BZV262164 CJR262147:CJR262164 CTN262147:CTN262164 DDJ262147:DDJ262164 DNF262147:DNF262164 DXB262147:DXB262164 EGX262147:EGX262164 EQT262147:EQT262164 FAP262147:FAP262164 FKL262147:FKL262164 FUH262147:FUH262164 GED262147:GED262164 GNZ262147:GNZ262164 GXV262147:GXV262164 HHR262147:HHR262164 HRN262147:HRN262164 IBJ262147:IBJ262164 ILF262147:ILF262164 IVB262147:IVB262164 JEX262147:JEX262164 JOT262147:JOT262164 JYP262147:JYP262164 KIL262147:KIL262164 KSH262147:KSH262164 LCD262147:LCD262164 LLZ262147:LLZ262164 LVV262147:LVV262164 MFR262147:MFR262164 MPN262147:MPN262164 MZJ262147:MZJ262164 NJF262147:NJF262164 NTB262147:NTB262164 OCX262147:OCX262164 OMT262147:OMT262164 OWP262147:OWP262164 PGL262147:PGL262164 PQH262147:PQH262164 QAD262147:QAD262164 QJZ262147:QJZ262164 QTV262147:QTV262164 RDR262147:RDR262164 RNN262147:RNN262164 RXJ262147:RXJ262164 SHF262147:SHF262164 SRB262147:SRB262164 TAX262147:TAX262164 TKT262147:TKT262164 TUP262147:TUP262164 UEL262147:UEL262164 UOH262147:UOH262164 UYD262147:UYD262164 VHZ262147:VHZ262164 VRV262147:VRV262164 WBR262147:WBR262164 WLN262147:WLN262164 WVJ262147:WVJ262164 B327683:B327700 IX327683:IX327700 ST327683:ST327700 ACP327683:ACP327700 AML327683:AML327700 AWH327683:AWH327700 BGD327683:BGD327700 BPZ327683:BPZ327700 BZV327683:BZV327700 CJR327683:CJR327700 CTN327683:CTN327700 DDJ327683:DDJ327700 DNF327683:DNF327700 DXB327683:DXB327700 EGX327683:EGX327700 EQT327683:EQT327700 FAP327683:FAP327700 FKL327683:FKL327700 FUH327683:FUH327700 GED327683:GED327700 GNZ327683:GNZ327700 GXV327683:GXV327700 HHR327683:HHR327700 HRN327683:HRN327700 IBJ327683:IBJ327700 ILF327683:ILF327700 IVB327683:IVB327700 JEX327683:JEX327700 JOT327683:JOT327700 JYP327683:JYP327700 KIL327683:KIL327700 KSH327683:KSH327700 LCD327683:LCD327700 LLZ327683:LLZ327700 LVV327683:LVV327700 MFR327683:MFR327700 MPN327683:MPN327700 MZJ327683:MZJ327700 NJF327683:NJF327700 NTB327683:NTB327700 OCX327683:OCX327700 OMT327683:OMT327700 OWP327683:OWP327700 PGL327683:PGL327700 PQH327683:PQH327700 QAD327683:QAD327700 QJZ327683:QJZ327700 QTV327683:QTV327700 RDR327683:RDR327700 RNN327683:RNN327700 RXJ327683:RXJ327700 SHF327683:SHF327700 SRB327683:SRB327700 TAX327683:TAX327700 TKT327683:TKT327700 TUP327683:TUP327700 UEL327683:UEL327700 UOH327683:UOH327700 UYD327683:UYD327700 VHZ327683:VHZ327700 VRV327683:VRV327700 WBR327683:WBR327700 WLN327683:WLN327700 WVJ327683:WVJ327700 B393219:B393236 IX393219:IX393236 ST393219:ST393236 ACP393219:ACP393236 AML393219:AML393236 AWH393219:AWH393236 BGD393219:BGD393236 BPZ393219:BPZ393236 BZV393219:BZV393236 CJR393219:CJR393236 CTN393219:CTN393236 DDJ393219:DDJ393236 DNF393219:DNF393236 DXB393219:DXB393236 EGX393219:EGX393236 EQT393219:EQT393236 FAP393219:FAP393236 FKL393219:FKL393236 FUH393219:FUH393236 GED393219:GED393236 GNZ393219:GNZ393236 GXV393219:GXV393236 HHR393219:HHR393236 HRN393219:HRN393236 IBJ393219:IBJ393236 ILF393219:ILF393236 IVB393219:IVB393236 JEX393219:JEX393236 JOT393219:JOT393236 JYP393219:JYP393236 KIL393219:KIL393236 KSH393219:KSH393236 LCD393219:LCD393236 LLZ393219:LLZ393236 LVV393219:LVV393236 MFR393219:MFR393236 MPN393219:MPN393236 MZJ393219:MZJ393236 NJF393219:NJF393236 NTB393219:NTB393236 OCX393219:OCX393236 OMT393219:OMT393236 OWP393219:OWP393236 PGL393219:PGL393236 PQH393219:PQH393236 QAD393219:QAD393236 QJZ393219:QJZ393236 QTV393219:QTV393236 RDR393219:RDR393236 RNN393219:RNN393236 RXJ393219:RXJ393236 SHF393219:SHF393236 SRB393219:SRB393236 TAX393219:TAX393236 TKT393219:TKT393236 TUP393219:TUP393236 UEL393219:UEL393236 UOH393219:UOH393236 UYD393219:UYD393236 VHZ393219:VHZ393236 VRV393219:VRV393236 WBR393219:WBR393236 WLN393219:WLN393236 WVJ393219:WVJ393236 B458755:B458772 IX458755:IX458772 ST458755:ST458772 ACP458755:ACP458772 AML458755:AML458772 AWH458755:AWH458772 BGD458755:BGD458772 BPZ458755:BPZ458772 BZV458755:BZV458772 CJR458755:CJR458772 CTN458755:CTN458772 DDJ458755:DDJ458772 DNF458755:DNF458772 DXB458755:DXB458772 EGX458755:EGX458772 EQT458755:EQT458772 FAP458755:FAP458772 FKL458755:FKL458772 FUH458755:FUH458772 GED458755:GED458772 GNZ458755:GNZ458772 GXV458755:GXV458772 HHR458755:HHR458772 HRN458755:HRN458772 IBJ458755:IBJ458772 ILF458755:ILF458772 IVB458755:IVB458772 JEX458755:JEX458772 JOT458755:JOT458772 JYP458755:JYP458772 KIL458755:KIL458772 KSH458755:KSH458772 LCD458755:LCD458772 LLZ458755:LLZ458772 LVV458755:LVV458772 MFR458755:MFR458772 MPN458755:MPN458772 MZJ458755:MZJ458772 NJF458755:NJF458772 NTB458755:NTB458772 OCX458755:OCX458772 OMT458755:OMT458772 OWP458755:OWP458772 PGL458755:PGL458772 PQH458755:PQH458772 QAD458755:QAD458772 QJZ458755:QJZ458772 QTV458755:QTV458772 RDR458755:RDR458772 RNN458755:RNN458772 RXJ458755:RXJ458772 SHF458755:SHF458772 SRB458755:SRB458772 TAX458755:TAX458772 TKT458755:TKT458772 TUP458755:TUP458772 UEL458755:UEL458772 UOH458755:UOH458772 UYD458755:UYD458772 VHZ458755:VHZ458772 VRV458755:VRV458772 WBR458755:WBR458772 WLN458755:WLN458772 WVJ458755:WVJ458772 B524291:B524308 IX524291:IX524308 ST524291:ST524308 ACP524291:ACP524308 AML524291:AML524308 AWH524291:AWH524308 BGD524291:BGD524308 BPZ524291:BPZ524308 BZV524291:BZV524308 CJR524291:CJR524308 CTN524291:CTN524308 DDJ524291:DDJ524308 DNF524291:DNF524308 DXB524291:DXB524308 EGX524291:EGX524308 EQT524291:EQT524308 FAP524291:FAP524308 FKL524291:FKL524308 FUH524291:FUH524308 GED524291:GED524308 GNZ524291:GNZ524308 GXV524291:GXV524308 HHR524291:HHR524308 HRN524291:HRN524308 IBJ524291:IBJ524308 ILF524291:ILF524308 IVB524291:IVB524308 JEX524291:JEX524308 JOT524291:JOT524308 JYP524291:JYP524308 KIL524291:KIL524308 KSH524291:KSH524308 LCD524291:LCD524308 LLZ524291:LLZ524308 LVV524291:LVV524308 MFR524291:MFR524308 MPN524291:MPN524308 MZJ524291:MZJ524308 NJF524291:NJF524308 NTB524291:NTB524308 OCX524291:OCX524308 OMT524291:OMT524308 OWP524291:OWP524308 PGL524291:PGL524308 PQH524291:PQH524308 QAD524291:QAD524308 QJZ524291:QJZ524308 QTV524291:QTV524308 RDR524291:RDR524308 RNN524291:RNN524308 RXJ524291:RXJ524308 SHF524291:SHF524308 SRB524291:SRB524308 TAX524291:TAX524308 TKT524291:TKT524308 TUP524291:TUP524308 UEL524291:UEL524308 UOH524291:UOH524308 UYD524291:UYD524308 VHZ524291:VHZ524308 VRV524291:VRV524308 WBR524291:WBR524308 WLN524291:WLN524308 WVJ524291:WVJ524308 B589827:B589844 IX589827:IX589844 ST589827:ST589844 ACP589827:ACP589844 AML589827:AML589844 AWH589827:AWH589844 BGD589827:BGD589844 BPZ589827:BPZ589844 BZV589827:BZV589844 CJR589827:CJR589844 CTN589827:CTN589844 DDJ589827:DDJ589844 DNF589827:DNF589844 DXB589827:DXB589844 EGX589827:EGX589844 EQT589827:EQT589844 FAP589827:FAP589844 FKL589827:FKL589844 FUH589827:FUH589844 GED589827:GED589844 GNZ589827:GNZ589844 GXV589827:GXV589844 HHR589827:HHR589844 HRN589827:HRN589844 IBJ589827:IBJ589844 ILF589827:ILF589844 IVB589827:IVB589844 JEX589827:JEX589844 JOT589827:JOT589844 JYP589827:JYP589844 KIL589827:KIL589844 KSH589827:KSH589844 LCD589827:LCD589844 LLZ589827:LLZ589844 LVV589827:LVV589844 MFR589827:MFR589844 MPN589827:MPN589844 MZJ589827:MZJ589844 NJF589827:NJF589844 NTB589827:NTB589844 OCX589827:OCX589844 OMT589827:OMT589844 OWP589827:OWP589844 PGL589827:PGL589844 PQH589827:PQH589844 QAD589827:QAD589844 QJZ589827:QJZ589844 QTV589827:QTV589844 RDR589827:RDR589844 RNN589827:RNN589844 RXJ589827:RXJ589844 SHF589827:SHF589844 SRB589827:SRB589844 TAX589827:TAX589844 TKT589827:TKT589844 TUP589827:TUP589844 UEL589827:UEL589844 UOH589827:UOH589844 UYD589827:UYD589844 VHZ589827:VHZ589844 VRV589827:VRV589844 WBR589827:WBR589844 WLN589827:WLN589844 WVJ589827:WVJ589844 B655363:B655380 IX655363:IX655380 ST655363:ST655380 ACP655363:ACP655380 AML655363:AML655380 AWH655363:AWH655380 BGD655363:BGD655380 BPZ655363:BPZ655380 BZV655363:BZV655380 CJR655363:CJR655380 CTN655363:CTN655380 DDJ655363:DDJ655380 DNF655363:DNF655380 DXB655363:DXB655380 EGX655363:EGX655380 EQT655363:EQT655380 FAP655363:FAP655380 FKL655363:FKL655380 FUH655363:FUH655380 GED655363:GED655380 GNZ655363:GNZ655380 GXV655363:GXV655380 HHR655363:HHR655380 HRN655363:HRN655380 IBJ655363:IBJ655380 ILF655363:ILF655380 IVB655363:IVB655380 JEX655363:JEX655380 JOT655363:JOT655380 JYP655363:JYP655380 KIL655363:KIL655380 KSH655363:KSH655380 LCD655363:LCD655380 LLZ655363:LLZ655380 LVV655363:LVV655380 MFR655363:MFR655380 MPN655363:MPN655380 MZJ655363:MZJ655380 NJF655363:NJF655380 NTB655363:NTB655380 OCX655363:OCX655380 OMT655363:OMT655380 OWP655363:OWP655380 PGL655363:PGL655380 PQH655363:PQH655380 QAD655363:QAD655380 QJZ655363:QJZ655380 QTV655363:QTV655380 RDR655363:RDR655380 RNN655363:RNN655380 RXJ655363:RXJ655380 SHF655363:SHF655380 SRB655363:SRB655380 TAX655363:TAX655380 TKT655363:TKT655380 TUP655363:TUP655380 UEL655363:UEL655380 UOH655363:UOH655380 UYD655363:UYD655380 VHZ655363:VHZ655380 VRV655363:VRV655380 WBR655363:WBR655380 WLN655363:WLN655380 WVJ655363:WVJ655380 B720899:B720916 IX720899:IX720916 ST720899:ST720916 ACP720899:ACP720916 AML720899:AML720916 AWH720899:AWH720916 BGD720899:BGD720916 BPZ720899:BPZ720916 BZV720899:BZV720916 CJR720899:CJR720916 CTN720899:CTN720916 DDJ720899:DDJ720916 DNF720899:DNF720916 DXB720899:DXB720916 EGX720899:EGX720916 EQT720899:EQT720916 FAP720899:FAP720916 FKL720899:FKL720916 FUH720899:FUH720916 GED720899:GED720916 GNZ720899:GNZ720916 GXV720899:GXV720916 HHR720899:HHR720916 HRN720899:HRN720916 IBJ720899:IBJ720916 ILF720899:ILF720916 IVB720899:IVB720916 JEX720899:JEX720916 JOT720899:JOT720916 JYP720899:JYP720916 KIL720899:KIL720916 KSH720899:KSH720916 LCD720899:LCD720916 LLZ720899:LLZ720916 LVV720899:LVV720916 MFR720899:MFR720916 MPN720899:MPN720916 MZJ720899:MZJ720916 NJF720899:NJF720916 NTB720899:NTB720916 OCX720899:OCX720916 OMT720899:OMT720916 OWP720899:OWP720916 PGL720899:PGL720916 PQH720899:PQH720916 QAD720899:QAD720916 QJZ720899:QJZ720916 QTV720899:QTV720916 RDR720899:RDR720916 RNN720899:RNN720916 RXJ720899:RXJ720916 SHF720899:SHF720916 SRB720899:SRB720916 TAX720899:TAX720916 TKT720899:TKT720916 TUP720899:TUP720916 UEL720899:UEL720916 UOH720899:UOH720916 UYD720899:UYD720916 VHZ720899:VHZ720916 VRV720899:VRV720916 WBR720899:WBR720916 WLN720899:WLN720916 WVJ720899:WVJ720916 B786435:B786452 IX786435:IX786452 ST786435:ST786452 ACP786435:ACP786452 AML786435:AML786452 AWH786435:AWH786452 BGD786435:BGD786452 BPZ786435:BPZ786452 BZV786435:BZV786452 CJR786435:CJR786452 CTN786435:CTN786452 DDJ786435:DDJ786452 DNF786435:DNF786452 DXB786435:DXB786452 EGX786435:EGX786452 EQT786435:EQT786452 FAP786435:FAP786452 FKL786435:FKL786452 FUH786435:FUH786452 GED786435:GED786452 GNZ786435:GNZ786452 GXV786435:GXV786452 HHR786435:HHR786452 HRN786435:HRN786452 IBJ786435:IBJ786452 ILF786435:ILF786452 IVB786435:IVB786452 JEX786435:JEX786452 JOT786435:JOT786452 JYP786435:JYP786452 KIL786435:KIL786452 KSH786435:KSH786452 LCD786435:LCD786452 LLZ786435:LLZ786452 LVV786435:LVV786452 MFR786435:MFR786452 MPN786435:MPN786452 MZJ786435:MZJ786452 NJF786435:NJF786452 NTB786435:NTB786452 OCX786435:OCX786452 OMT786435:OMT786452 OWP786435:OWP786452 PGL786435:PGL786452 PQH786435:PQH786452 QAD786435:QAD786452 QJZ786435:QJZ786452 QTV786435:QTV786452 RDR786435:RDR786452 RNN786435:RNN786452 RXJ786435:RXJ786452 SHF786435:SHF786452 SRB786435:SRB786452 TAX786435:TAX786452 TKT786435:TKT786452 TUP786435:TUP786452 UEL786435:UEL786452 UOH786435:UOH786452 UYD786435:UYD786452 VHZ786435:VHZ786452 VRV786435:VRV786452 WBR786435:WBR786452 WLN786435:WLN786452 WVJ786435:WVJ786452 B851971:B851988 IX851971:IX851988 ST851971:ST851988 ACP851971:ACP851988 AML851971:AML851988 AWH851971:AWH851988 BGD851971:BGD851988 BPZ851971:BPZ851988 BZV851971:BZV851988 CJR851971:CJR851988 CTN851971:CTN851988 DDJ851971:DDJ851988 DNF851971:DNF851988 DXB851971:DXB851988 EGX851971:EGX851988 EQT851971:EQT851988 FAP851971:FAP851988 FKL851971:FKL851988 FUH851971:FUH851988 GED851971:GED851988 GNZ851971:GNZ851988 GXV851971:GXV851988 HHR851971:HHR851988 HRN851971:HRN851988 IBJ851971:IBJ851988 ILF851971:ILF851988 IVB851971:IVB851988 JEX851971:JEX851988 JOT851971:JOT851988 JYP851971:JYP851988 KIL851971:KIL851988 KSH851971:KSH851988 LCD851971:LCD851988 LLZ851971:LLZ851988 LVV851971:LVV851988 MFR851971:MFR851988 MPN851971:MPN851988 MZJ851971:MZJ851988 NJF851971:NJF851988 NTB851971:NTB851988 OCX851971:OCX851988 OMT851971:OMT851988 OWP851971:OWP851988 PGL851971:PGL851988 PQH851971:PQH851988 QAD851971:QAD851988 QJZ851971:QJZ851988 QTV851971:QTV851988 RDR851971:RDR851988 RNN851971:RNN851988 RXJ851971:RXJ851988 SHF851971:SHF851988 SRB851971:SRB851988 TAX851971:TAX851988 TKT851971:TKT851988 TUP851971:TUP851988 UEL851971:UEL851988 UOH851971:UOH851988 UYD851971:UYD851988 VHZ851971:VHZ851988 VRV851971:VRV851988 WBR851971:WBR851988 WLN851971:WLN851988 WVJ851971:WVJ851988 B917507:B917524 IX917507:IX917524 ST917507:ST917524 ACP917507:ACP917524 AML917507:AML917524 AWH917507:AWH917524 BGD917507:BGD917524 BPZ917507:BPZ917524 BZV917507:BZV917524 CJR917507:CJR917524 CTN917507:CTN917524 DDJ917507:DDJ917524 DNF917507:DNF917524 DXB917507:DXB917524 EGX917507:EGX917524 EQT917507:EQT917524 FAP917507:FAP917524 FKL917507:FKL917524 FUH917507:FUH917524 GED917507:GED917524 GNZ917507:GNZ917524 GXV917507:GXV917524 HHR917507:HHR917524 HRN917507:HRN917524 IBJ917507:IBJ917524 ILF917507:ILF917524 IVB917507:IVB917524 JEX917507:JEX917524 JOT917507:JOT917524 JYP917507:JYP917524 KIL917507:KIL917524 KSH917507:KSH917524 LCD917507:LCD917524 LLZ917507:LLZ917524 LVV917507:LVV917524 MFR917507:MFR917524 MPN917507:MPN917524 MZJ917507:MZJ917524 NJF917507:NJF917524 NTB917507:NTB917524 OCX917507:OCX917524 OMT917507:OMT917524 OWP917507:OWP917524 PGL917507:PGL917524 PQH917507:PQH917524 QAD917507:QAD917524 QJZ917507:QJZ917524 QTV917507:QTV917524 RDR917507:RDR917524 RNN917507:RNN917524 RXJ917507:RXJ917524 SHF917507:SHF917524 SRB917507:SRB917524 TAX917507:TAX917524 TKT917507:TKT917524 TUP917507:TUP917524 UEL917507:UEL917524 UOH917507:UOH917524 UYD917507:UYD917524 VHZ917507:VHZ917524 VRV917507:VRV917524 WBR917507:WBR917524 WLN917507:WLN917524 WVJ917507:WVJ917524" xr:uid="{00000000-0002-0000-0900-000000000000}">
      <formula1>trung</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326"/>
  <sheetViews>
    <sheetView topLeftCell="A12"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40"/>
      <c r="G3" s="102"/>
      <c r="H3" s="103"/>
    </row>
    <row r="4" spans="1:8" s="98" customFormat="1" ht="18" customHeight="1">
      <c r="A4" s="414"/>
      <c r="B4" s="414"/>
      <c r="C4" s="415" t="s">
        <v>1740</v>
      </c>
      <c r="D4" s="416"/>
      <c r="E4" s="416"/>
      <c r="F4" s="416"/>
      <c r="G4" s="416"/>
      <c r="H4" s="416"/>
    </row>
    <row r="5" spans="1:8" s="98" customFormat="1" ht="15.6">
      <c r="A5" s="104"/>
      <c r="B5" s="104"/>
      <c r="C5" s="139"/>
      <c r="D5" s="105"/>
      <c r="E5" s="106"/>
      <c r="F5" s="139"/>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19" t="s">
        <v>1775</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1776</v>
      </c>
      <c r="C13" s="425"/>
      <c r="D13" s="425"/>
      <c r="E13" s="425"/>
      <c r="F13" s="425"/>
      <c r="G13" s="73">
        <f>G14</f>
        <v>55460000</v>
      </c>
      <c r="H13" s="74"/>
    </row>
    <row r="14" spans="1:8" s="131" customFormat="1" ht="40.5" customHeight="1">
      <c r="A14" s="123"/>
      <c r="B14" s="124" t="s">
        <v>1757</v>
      </c>
      <c r="C14" s="125" t="s">
        <v>1753</v>
      </c>
      <c r="D14" s="126">
        <v>4.7</v>
      </c>
      <c r="E14" s="127">
        <v>11800000</v>
      </c>
      <c r="F14" s="128">
        <v>1</v>
      </c>
      <c r="G14" s="129">
        <f>D14*E14*F14</f>
        <v>55460000</v>
      </c>
      <c r="H14" s="130"/>
    </row>
    <row r="15" spans="1:8" ht="27" customHeight="1">
      <c r="A15" s="75" t="s">
        <v>18</v>
      </c>
      <c r="B15" s="426" t="s">
        <v>1725</v>
      </c>
      <c r="C15" s="426"/>
      <c r="D15" s="426"/>
      <c r="E15" s="426"/>
      <c r="F15" s="426"/>
      <c r="G15" s="76">
        <f>SUM(G16:G23)</f>
        <v>23698303.09903333</v>
      </c>
      <c r="H15" s="11"/>
    </row>
    <row r="16" spans="1:8" ht="46.8">
      <c r="A16" s="77">
        <v>1</v>
      </c>
      <c r="B16" s="78" t="s">
        <v>1777</v>
      </c>
      <c r="C16" s="14" t="s">
        <v>1754</v>
      </c>
      <c r="D16" s="132">
        <f>(6.5*0.6*0.11)+(2.5*0.6*0.11)+(4.3*1.3*0.11)</f>
        <v>1.2088999999999999</v>
      </c>
      <c r="E16" s="15">
        <v>2126713</v>
      </c>
      <c r="F16" s="14">
        <v>1</v>
      </c>
      <c r="G16" s="79">
        <f t="shared" ref="G16:G20" si="0">D16*E16*F16</f>
        <v>2570983.3456999995</v>
      </c>
      <c r="H16" s="15"/>
    </row>
    <row r="17" spans="1:8" ht="46.8">
      <c r="A17" s="77"/>
      <c r="B17" s="78" t="s">
        <v>1959</v>
      </c>
      <c r="C17" s="14" t="s">
        <v>66</v>
      </c>
      <c r="D17" s="132">
        <f>((6.5*0.6)+(2.5*0.6)+(4.3*1.3))*2</f>
        <v>21.98</v>
      </c>
      <c r="E17" s="15">
        <v>141099</v>
      </c>
      <c r="F17" s="14">
        <v>1</v>
      </c>
      <c r="G17" s="79">
        <f t="shared" si="0"/>
        <v>3101356.02</v>
      </c>
      <c r="H17" s="15"/>
    </row>
    <row r="18" spans="1:8" ht="31.2">
      <c r="A18" s="77">
        <v>2</v>
      </c>
      <c r="B18" s="78" t="s">
        <v>1778</v>
      </c>
      <c r="C18" s="14" t="s">
        <v>66</v>
      </c>
      <c r="D18" s="132">
        <f>4.3*4.8</f>
        <v>20.639999999999997</v>
      </c>
      <c r="E18" s="15">
        <v>507361</v>
      </c>
      <c r="F18" s="14">
        <v>1</v>
      </c>
      <c r="G18" s="79">
        <f t="shared" si="0"/>
        <v>10471931.039999999</v>
      </c>
      <c r="H18" s="15"/>
    </row>
    <row r="19" spans="1:8" ht="15.6">
      <c r="A19" s="77">
        <v>3</v>
      </c>
      <c r="B19" s="78" t="s">
        <v>1779</v>
      </c>
      <c r="C19" s="14" t="s">
        <v>66</v>
      </c>
      <c r="D19" s="132">
        <f>0.6*(4.3*2+4.8)</f>
        <v>8.0399999999999991</v>
      </c>
      <c r="E19" s="15">
        <v>214934</v>
      </c>
      <c r="F19" s="14">
        <v>1</v>
      </c>
      <c r="G19" s="79">
        <f t="shared" si="0"/>
        <v>1728069.3599999999</v>
      </c>
      <c r="H19" s="15"/>
    </row>
    <row r="20" spans="1:8" ht="15.6">
      <c r="A20" s="77">
        <v>4</v>
      </c>
      <c r="B20" s="78" t="s">
        <v>1780</v>
      </c>
      <c r="C20" s="14" t="s">
        <v>66</v>
      </c>
      <c r="D20" s="132">
        <f>7*1</f>
        <v>7</v>
      </c>
      <c r="E20" s="15">
        <v>550000</v>
      </c>
      <c r="F20" s="14">
        <v>1</v>
      </c>
      <c r="G20" s="79">
        <f t="shared" si="0"/>
        <v>3850000</v>
      </c>
      <c r="H20" s="15"/>
    </row>
    <row r="21" spans="1:8" ht="15.6">
      <c r="A21" s="77">
        <v>5</v>
      </c>
      <c r="B21" s="78" t="s">
        <v>1782</v>
      </c>
      <c r="C21" s="14" t="s">
        <v>1754</v>
      </c>
      <c r="D21" s="132">
        <f>4.8*3*0.1</f>
        <v>1.44</v>
      </c>
      <c r="E21" s="15">
        <v>1629758</v>
      </c>
      <c r="F21" s="14">
        <v>1</v>
      </c>
      <c r="G21" s="79">
        <f>D21*E23*F21</f>
        <v>792000</v>
      </c>
      <c r="H21" s="15"/>
    </row>
    <row r="22" spans="1:8" ht="46.8">
      <c r="A22" s="77">
        <v>6</v>
      </c>
      <c r="B22" s="78" t="s">
        <v>2053</v>
      </c>
      <c r="C22" s="14" t="s">
        <v>1755</v>
      </c>
      <c r="D22" s="132">
        <f>(8.44/6)*5</f>
        <v>7.0333333333333323</v>
      </c>
      <c r="E22" s="15">
        <v>19900</v>
      </c>
      <c r="F22" s="14">
        <v>1</v>
      </c>
      <c r="G22" s="79">
        <f>D22*E22*F22</f>
        <v>139963.33333333331</v>
      </c>
      <c r="H22" s="15"/>
    </row>
    <row r="23" spans="1:8" ht="15.6">
      <c r="A23" s="77">
        <v>7</v>
      </c>
      <c r="B23" s="78" t="s">
        <v>1781</v>
      </c>
      <c r="C23" s="14" t="s">
        <v>66</v>
      </c>
      <c r="D23" s="132">
        <f>1.5*2.4</f>
        <v>3.5999999999999996</v>
      </c>
      <c r="E23" s="15">
        <v>550000</v>
      </c>
      <c r="F23" s="14">
        <v>1</v>
      </c>
      <c r="G23" s="79">
        <f t="shared" ref="G23" si="1">D23*E25*F23</f>
        <v>1043999.9999999999</v>
      </c>
      <c r="H23" s="15"/>
    </row>
    <row r="24" spans="1:8" ht="24" customHeight="1">
      <c r="A24" s="75" t="s">
        <v>19</v>
      </c>
      <c r="B24" s="426" t="s">
        <v>1727</v>
      </c>
      <c r="C24" s="426"/>
      <c r="D24" s="426"/>
      <c r="E24" s="426"/>
      <c r="F24" s="426"/>
      <c r="G24" s="76">
        <f>SUM(G25:G25)</f>
        <v>290000</v>
      </c>
      <c r="H24" s="11"/>
    </row>
    <row r="25" spans="1:8" s="12" customFormat="1" ht="34.200000000000003" customHeight="1">
      <c r="A25" s="94">
        <v>1</v>
      </c>
      <c r="B25" s="13" t="s">
        <v>1298</v>
      </c>
      <c r="C25" s="14" t="s">
        <v>1724</v>
      </c>
      <c r="D25" s="14">
        <v>1</v>
      </c>
      <c r="E25" s="79" t="str">
        <f>VLOOKUP(B25,'[20]Đơn giá cây cối'!$A$2:$C$1361,3,0)</f>
        <v>290.000</v>
      </c>
      <c r="F25" s="137">
        <v>1</v>
      </c>
      <c r="G25" s="79">
        <f>D25*E25*F25</f>
        <v>290000</v>
      </c>
      <c r="H25" s="95"/>
    </row>
    <row r="26" spans="1:8" ht="15.6">
      <c r="A26" s="80"/>
      <c r="B26" s="427" t="s">
        <v>62</v>
      </c>
      <c r="C26" s="428"/>
      <c r="D26" s="428"/>
      <c r="E26" s="428"/>
      <c r="F26" s="429"/>
      <c r="G26" s="81">
        <f>G13+G15+G24</f>
        <v>79448303.099033326</v>
      </c>
      <c r="H26" s="82"/>
    </row>
    <row r="27" spans="1:8" ht="15.6">
      <c r="A27" s="80"/>
      <c r="B27" s="427" t="s">
        <v>1726</v>
      </c>
      <c r="C27" s="428"/>
      <c r="D27" s="428"/>
      <c r="E27" s="428"/>
      <c r="F27" s="429"/>
      <c r="G27" s="81">
        <f>ROUND(G26,-3)</f>
        <v>79448000</v>
      </c>
      <c r="H27" s="82"/>
    </row>
    <row r="28" spans="1:8" ht="15.6">
      <c r="A28" s="430" t="e">
        <f ca="1">[19]!vnd(G27)</f>
        <v>#NAME?</v>
      </c>
      <c r="B28" s="431"/>
      <c r="C28" s="431"/>
      <c r="D28" s="431"/>
      <c r="E28" s="431"/>
      <c r="F28" s="431"/>
      <c r="G28" s="431"/>
      <c r="H28" s="432"/>
    </row>
    <row r="29" spans="1:8">
      <c r="A29" s="17"/>
      <c r="B29" s="17"/>
      <c r="C29" s="97"/>
      <c r="D29" s="20"/>
      <c r="E29" s="19"/>
      <c r="F29" s="97"/>
      <c r="G29" s="19"/>
      <c r="H29" s="17"/>
    </row>
    <row r="30" spans="1:8" s="109" customFormat="1" ht="16.5" customHeight="1">
      <c r="A30" s="108"/>
      <c r="B30" s="108"/>
      <c r="C30" s="424" t="s">
        <v>1742</v>
      </c>
      <c r="D30" s="424"/>
      <c r="E30" s="424"/>
      <c r="F30" s="424"/>
      <c r="G30" s="424"/>
      <c r="H30" s="424"/>
    </row>
    <row r="31" spans="1:8" s="109" customFormat="1" ht="16.5" customHeight="1">
      <c r="A31" s="423" t="s">
        <v>63</v>
      </c>
      <c r="B31" s="423"/>
      <c r="C31" s="424" t="s">
        <v>1743</v>
      </c>
      <c r="D31" s="424"/>
      <c r="E31" s="424"/>
      <c r="F31" s="424" t="s">
        <v>1744</v>
      </c>
      <c r="G31" s="424"/>
      <c r="H31" s="424"/>
    </row>
    <row r="32" spans="1:8" s="109" customFormat="1" ht="15.6">
      <c r="A32" s="108"/>
      <c r="B32" s="108"/>
      <c r="C32" s="108"/>
      <c r="D32" s="110"/>
      <c r="E32" s="111"/>
      <c r="F32" s="112"/>
      <c r="G32" s="111"/>
      <c r="H32" s="113"/>
    </row>
    <row r="33" spans="1:8" s="109" customFormat="1" ht="15.6">
      <c r="A33" s="108"/>
      <c r="B33" s="108"/>
      <c r="C33" s="108"/>
      <c r="D33" s="110"/>
      <c r="E33" s="111"/>
      <c r="F33" s="112"/>
      <c r="G33" s="114"/>
      <c r="H33" s="113"/>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6.5" customHeight="1">
      <c r="A37" s="108"/>
      <c r="B37" s="141" t="s">
        <v>64</v>
      </c>
      <c r="C37" s="424"/>
      <c r="D37" s="424"/>
      <c r="E37" s="424"/>
      <c r="F37" s="424" t="s">
        <v>1745</v>
      </c>
      <c r="G37" s="424"/>
      <c r="H37" s="424"/>
    </row>
    <row r="38" spans="1:8" s="109" customFormat="1" ht="15.6">
      <c r="A38" s="108"/>
      <c r="B38" s="141"/>
      <c r="C38" s="138"/>
      <c r="D38" s="138"/>
      <c r="E38" s="138"/>
      <c r="F38" s="138"/>
      <c r="G38" s="138"/>
      <c r="H38" s="138"/>
    </row>
    <row r="39" spans="1:8" s="109" customFormat="1" ht="15" customHeight="1">
      <c r="A39" s="424" t="s">
        <v>1746</v>
      </c>
      <c r="B39" s="424"/>
      <c r="C39" s="424"/>
      <c r="D39" s="424"/>
      <c r="E39" s="424" t="s">
        <v>1747</v>
      </c>
      <c r="F39" s="424"/>
      <c r="G39" s="424"/>
      <c r="H39" s="424"/>
    </row>
    <row r="40" spans="1:8" s="109" customFormat="1" ht="33.6" customHeight="1">
      <c r="A40" s="424" t="s">
        <v>1748</v>
      </c>
      <c r="B40" s="424"/>
      <c r="C40" s="424"/>
      <c r="D40" s="424"/>
      <c r="E40" s="424" t="s">
        <v>65</v>
      </c>
      <c r="F40" s="424"/>
      <c r="G40" s="424"/>
      <c r="H40" s="424"/>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 r="A43" s="108"/>
      <c r="B43" s="108"/>
      <c r="C43" s="108"/>
      <c r="D43" s="110"/>
      <c r="E43" s="111"/>
      <c r="F43" s="112"/>
      <c r="G43" s="111"/>
      <c r="H43" s="113"/>
    </row>
    <row r="44" spans="1:8" s="109" customFormat="1" ht="15.6">
      <c r="A44" s="108"/>
      <c r="B44" s="108"/>
      <c r="C44" s="108"/>
      <c r="D44" s="110"/>
      <c r="E44" s="111"/>
      <c r="F44" s="112"/>
      <c r="G44" s="111"/>
      <c r="H44" s="113"/>
    </row>
    <row r="45" spans="1:8" s="109" customFormat="1" ht="15.6">
      <c r="A45" s="108"/>
      <c r="B45" s="108"/>
      <c r="C45" s="108"/>
      <c r="D45" s="110"/>
      <c r="E45" s="111"/>
      <c r="F45" s="112"/>
      <c r="G45" s="111"/>
      <c r="H45" s="113"/>
    </row>
    <row r="46" spans="1:8" s="109" customFormat="1" ht="15.6" customHeight="1">
      <c r="A46" s="108"/>
      <c r="B46" s="108"/>
      <c r="C46" s="108"/>
      <c r="D46" s="115"/>
      <c r="E46" s="439" t="s">
        <v>1749</v>
      </c>
      <c r="F46" s="439"/>
      <c r="G46" s="439"/>
      <c r="H46" s="439"/>
    </row>
    <row r="47" spans="1:8" s="109" customFormat="1" ht="16.5" customHeight="1">
      <c r="A47" s="424" t="s">
        <v>1751</v>
      </c>
      <c r="B47" s="424"/>
      <c r="C47" s="424"/>
      <c r="D47" s="424"/>
      <c r="E47" s="424" t="s">
        <v>1750</v>
      </c>
      <c r="F47" s="424"/>
      <c r="G47" s="424"/>
      <c r="H47" s="424"/>
    </row>
    <row r="48" spans="1:8" s="118" customFormat="1" ht="16.2" customHeight="1">
      <c r="A48" s="440"/>
      <c r="B48" s="440"/>
      <c r="C48" s="116"/>
      <c r="D48" s="117"/>
      <c r="E48" s="440"/>
      <c r="F48" s="440"/>
      <c r="G48" s="440"/>
      <c r="H48" s="440"/>
    </row>
    <row r="49" spans="1:8" s="118" customFormat="1" ht="15.75" customHeight="1">
      <c r="A49" s="440"/>
      <c r="B49" s="440"/>
      <c r="C49" s="440"/>
      <c r="D49" s="440"/>
      <c r="E49" s="440"/>
      <c r="F49" s="440"/>
      <c r="G49" s="440"/>
      <c r="H49" s="440"/>
    </row>
    <row r="50" spans="1:8" s="98" customFormat="1" ht="16.2" customHeight="1">
      <c r="A50" s="436"/>
      <c r="B50" s="436"/>
      <c r="C50" s="436"/>
      <c r="D50" s="436"/>
      <c r="E50" s="119"/>
      <c r="F50" s="120"/>
      <c r="G50" s="119"/>
      <c r="H50" s="121"/>
    </row>
    <row r="51" spans="1:8" s="98" customFormat="1" ht="16.2" customHeight="1">
      <c r="A51" s="436"/>
      <c r="B51" s="436"/>
      <c r="C51" s="436"/>
      <c r="D51" s="436"/>
      <c r="E51" s="119"/>
      <c r="F51" s="120"/>
      <c r="G51" s="119"/>
      <c r="H51" s="121"/>
    </row>
    <row r="52" spans="1:8" s="98" customFormat="1" ht="16.2" customHeight="1">
      <c r="A52" s="121"/>
      <c r="B52" s="121"/>
      <c r="C52" s="121"/>
      <c r="D52" s="122"/>
      <c r="E52" s="119"/>
      <c r="F52" s="120"/>
      <c r="G52" s="119"/>
      <c r="H52" s="121"/>
    </row>
    <row r="53" spans="1:8" ht="16.2" customHeight="1">
      <c r="A53" s="83"/>
      <c r="B53" s="83"/>
      <c r="C53" s="83"/>
      <c r="D53" s="84"/>
      <c r="E53" s="85"/>
      <c r="F53" s="86"/>
      <c r="G53" s="85"/>
      <c r="H53" s="83"/>
    </row>
    <row r="54" spans="1:8" ht="16.2" customHeight="1">
      <c r="A54" s="83"/>
      <c r="B54" s="83"/>
      <c r="C54" s="83"/>
      <c r="D54" s="84"/>
      <c r="E54" s="85"/>
      <c r="F54" s="86"/>
      <c r="G54" s="85"/>
      <c r="H54" s="83"/>
    </row>
    <row r="55" spans="1:8" ht="16.2" customHeight="1">
      <c r="A55" s="83"/>
      <c r="B55" s="83"/>
      <c r="C55" s="83"/>
      <c r="D55" s="84"/>
      <c r="E55" s="85"/>
      <c r="F55" s="86"/>
      <c r="G55" s="85"/>
      <c r="H55" s="83"/>
    </row>
    <row r="56" spans="1:8" ht="16.2" customHeight="1">
      <c r="A56" s="83"/>
      <c r="B56" s="83"/>
      <c r="C56" s="83"/>
      <c r="D56" s="84"/>
      <c r="E56" s="437"/>
      <c r="F56" s="437"/>
      <c r="G56" s="437"/>
      <c r="H56" s="437"/>
    </row>
    <row r="57" spans="1:8" ht="20.25" customHeight="1">
      <c r="A57" s="438"/>
      <c r="B57" s="438"/>
      <c r="C57" s="438"/>
      <c r="D57" s="438"/>
      <c r="E57" s="438"/>
      <c r="F57" s="438"/>
      <c r="G57" s="438"/>
      <c r="H57" s="438"/>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D73" s="18"/>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row r="233"/>
    <row r="234"/>
    <row r="235"/>
    <row r="236"/>
    <row r="237"/>
    <row r="238"/>
    <row r="239"/>
    <row r="240"/>
    <row r="241"/>
    <row r="242"/>
    <row r="243"/>
    <row r="244"/>
    <row r="245"/>
    <row r="246"/>
    <row r="247"/>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sheetData>
  <mergeCells count="40">
    <mergeCell ref="E56:H56"/>
    <mergeCell ref="A57:H57"/>
    <mergeCell ref="A48:B48"/>
    <mergeCell ref="E48:H48"/>
    <mergeCell ref="A49:D49"/>
    <mergeCell ref="E49:H49"/>
    <mergeCell ref="A50:D50"/>
    <mergeCell ref="A51:D51"/>
    <mergeCell ref="A47:D47"/>
    <mergeCell ref="E47:H47"/>
    <mergeCell ref="C30:H30"/>
    <mergeCell ref="A31:B31"/>
    <mergeCell ref="C31:E31"/>
    <mergeCell ref="F31:H31"/>
    <mergeCell ref="C37:E37"/>
    <mergeCell ref="F37:H37"/>
    <mergeCell ref="A39:D39"/>
    <mergeCell ref="E39:H39"/>
    <mergeCell ref="A40:D40"/>
    <mergeCell ref="E40:H40"/>
    <mergeCell ref="E46:H46"/>
    <mergeCell ref="A28:H28"/>
    <mergeCell ref="A6:H6"/>
    <mergeCell ref="A7:H7"/>
    <mergeCell ref="A8:H8"/>
    <mergeCell ref="A9:H9"/>
    <mergeCell ref="A10:H10"/>
    <mergeCell ref="A11:H11"/>
    <mergeCell ref="B13:F13"/>
    <mergeCell ref="B15:F15"/>
    <mergeCell ref="B24:F24"/>
    <mergeCell ref="B26:F26"/>
    <mergeCell ref="B27:F27"/>
    <mergeCell ref="A4:B4"/>
    <mergeCell ref="C4:H4"/>
    <mergeCell ref="A1:B1"/>
    <mergeCell ref="C1:H1"/>
    <mergeCell ref="A2:B2"/>
    <mergeCell ref="C2:H2"/>
    <mergeCell ref="A3:B3"/>
  </mergeCells>
  <dataValidations count="2">
    <dataValidation type="list" allowBlank="1" showInputMessage="1" showErrorMessage="1" sqref="WVJ983049:WVJ983066 B983049:B983066 IX983049:IX983066 ST983049:ST983066 ACP983049:ACP983066 AML983049:AML983066 AWH983049:AWH983066 BGD983049:BGD983066 BPZ983049:BPZ983066 BZV983049:BZV983066 CJR983049:CJR983066 CTN983049:CTN983066 DDJ983049:DDJ983066 DNF983049:DNF983066 DXB983049:DXB983066 EGX983049:EGX983066 EQT983049:EQT983066 FAP983049:FAP983066 FKL983049:FKL983066 FUH983049:FUH983066 GED983049:GED983066 GNZ983049:GNZ983066 GXV983049:GXV983066 HHR983049:HHR983066 HRN983049:HRN983066 IBJ983049:IBJ983066 ILF983049:ILF983066 IVB983049:IVB983066 JEX983049:JEX983066 JOT983049:JOT983066 JYP983049:JYP983066 KIL983049:KIL983066 KSH983049:KSH983066 LCD983049:LCD983066 LLZ983049:LLZ983066 LVV983049:LVV983066 MFR983049:MFR983066 MPN983049:MPN983066 MZJ983049:MZJ983066 NJF983049:NJF983066 NTB983049:NTB983066 OCX983049:OCX983066 OMT983049:OMT983066 OWP983049:OWP983066 PGL983049:PGL983066 PQH983049:PQH983066 QAD983049:QAD983066 QJZ983049:QJZ983066 QTV983049:QTV983066 RDR983049:RDR983066 RNN983049:RNN983066 RXJ983049:RXJ983066 SHF983049:SHF983066 SRB983049:SRB983066 TAX983049:TAX983066 TKT983049:TKT983066 TUP983049:TUP983066 UEL983049:UEL983066 UOH983049:UOH983066 UYD983049:UYD983066 VHZ983049:VHZ983066 VRV983049:VRV983066 WBR983049:WBR983066 WLN983049:WLN983066 B65545:B65562 IX65545:IX65562 ST65545:ST65562 ACP65545:ACP65562 AML65545:AML65562 AWH65545:AWH65562 BGD65545:BGD65562 BPZ65545:BPZ65562 BZV65545:BZV65562 CJR65545:CJR65562 CTN65545:CTN65562 DDJ65545:DDJ65562 DNF65545:DNF65562 DXB65545:DXB65562 EGX65545:EGX65562 EQT65545:EQT65562 FAP65545:FAP65562 FKL65545:FKL65562 FUH65545:FUH65562 GED65545:GED65562 GNZ65545:GNZ65562 GXV65545:GXV65562 HHR65545:HHR65562 HRN65545:HRN65562 IBJ65545:IBJ65562 ILF65545:ILF65562 IVB65545:IVB65562 JEX65545:JEX65562 JOT65545:JOT65562 JYP65545:JYP65562 KIL65545:KIL65562 KSH65545:KSH65562 LCD65545:LCD65562 LLZ65545:LLZ65562 LVV65545:LVV65562 MFR65545:MFR65562 MPN65545:MPN65562 MZJ65545:MZJ65562 NJF65545:NJF65562 NTB65545:NTB65562 OCX65545:OCX65562 OMT65545:OMT65562 OWP65545:OWP65562 PGL65545:PGL65562 PQH65545:PQH65562 QAD65545:QAD65562 QJZ65545:QJZ65562 QTV65545:QTV65562 RDR65545:RDR65562 RNN65545:RNN65562 RXJ65545:RXJ65562 SHF65545:SHF65562 SRB65545:SRB65562 TAX65545:TAX65562 TKT65545:TKT65562 TUP65545:TUP65562 UEL65545:UEL65562 UOH65545:UOH65562 UYD65545:UYD65562 VHZ65545:VHZ65562 VRV65545:VRV65562 WBR65545:WBR65562 WLN65545:WLN65562 WVJ65545:WVJ65562 B131081:B131098 IX131081:IX131098 ST131081:ST131098 ACP131081:ACP131098 AML131081:AML131098 AWH131081:AWH131098 BGD131081:BGD131098 BPZ131081:BPZ131098 BZV131081:BZV131098 CJR131081:CJR131098 CTN131081:CTN131098 DDJ131081:DDJ131098 DNF131081:DNF131098 DXB131081:DXB131098 EGX131081:EGX131098 EQT131081:EQT131098 FAP131081:FAP131098 FKL131081:FKL131098 FUH131081:FUH131098 GED131081:GED131098 GNZ131081:GNZ131098 GXV131081:GXV131098 HHR131081:HHR131098 HRN131081:HRN131098 IBJ131081:IBJ131098 ILF131081:ILF131098 IVB131081:IVB131098 JEX131081:JEX131098 JOT131081:JOT131098 JYP131081:JYP131098 KIL131081:KIL131098 KSH131081:KSH131098 LCD131081:LCD131098 LLZ131081:LLZ131098 LVV131081:LVV131098 MFR131081:MFR131098 MPN131081:MPN131098 MZJ131081:MZJ131098 NJF131081:NJF131098 NTB131081:NTB131098 OCX131081:OCX131098 OMT131081:OMT131098 OWP131081:OWP131098 PGL131081:PGL131098 PQH131081:PQH131098 QAD131081:QAD131098 QJZ131081:QJZ131098 QTV131081:QTV131098 RDR131081:RDR131098 RNN131081:RNN131098 RXJ131081:RXJ131098 SHF131081:SHF131098 SRB131081:SRB131098 TAX131081:TAX131098 TKT131081:TKT131098 TUP131081:TUP131098 UEL131081:UEL131098 UOH131081:UOH131098 UYD131081:UYD131098 VHZ131081:VHZ131098 VRV131081:VRV131098 WBR131081:WBR131098 WLN131081:WLN131098 WVJ131081:WVJ131098 B196617:B196634 IX196617:IX196634 ST196617:ST196634 ACP196617:ACP196634 AML196617:AML196634 AWH196617:AWH196634 BGD196617:BGD196634 BPZ196617:BPZ196634 BZV196617:BZV196634 CJR196617:CJR196634 CTN196617:CTN196634 DDJ196617:DDJ196634 DNF196617:DNF196634 DXB196617:DXB196634 EGX196617:EGX196634 EQT196617:EQT196634 FAP196617:FAP196634 FKL196617:FKL196634 FUH196617:FUH196634 GED196617:GED196634 GNZ196617:GNZ196634 GXV196617:GXV196634 HHR196617:HHR196634 HRN196617:HRN196634 IBJ196617:IBJ196634 ILF196617:ILF196634 IVB196617:IVB196634 JEX196617:JEX196634 JOT196617:JOT196634 JYP196617:JYP196634 KIL196617:KIL196634 KSH196617:KSH196634 LCD196617:LCD196634 LLZ196617:LLZ196634 LVV196617:LVV196634 MFR196617:MFR196634 MPN196617:MPN196634 MZJ196617:MZJ196634 NJF196617:NJF196634 NTB196617:NTB196634 OCX196617:OCX196634 OMT196617:OMT196634 OWP196617:OWP196634 PGL196617:PGL196634 PQH196617:PQH196634 QAD196617:QAD196634 QJZ196617:QJZ196634 QTV196617:QTV196634 RDR196617:RDR196634 RNN196617:RNN196634 RXJ196617:RXJ196634 SHF196617:SHF196634 SRB196617:SRB196634 TAX196617:TAX196634 TKT196617:TKT196634 TUP196617:TUP196634 UEL196617:UEL196634 UOH196617:UOH196634 UYD196617:UYD196634 VHZ196617:VHZ196634 VRV196617:VRV196634 WBR196617:WBR196634 WLN196617:WLN196634 WVJ196617:WVJ196634 B262153:B262170 IX262153:IX262170 ST262153:ST262170 ACP262153:ACP262170 AML262153:AML262170 AWH262153:AWH262170 BGD262153:BGD262170 BPZ262153:BPZ262170 BZV262153:BZV262170 CJR262153:CJR262170 CTN262153:CTN262170 DDJ262153:DDJ262170 DNF262153:DNF262170 DXB262153:DXB262170 EGX262153:EGX262170 EQT262153:EQT262170 FAP262153:FAP262170 FKL262153:FKL262170 FUH262153:FUH262170 GED262153:GED262170 GNZ262153:GNZ262170 GXV262153:GXV262170 HHR262153:HHR262170 HRN262153:HRN262170 IBJ262153:IBJ262170 ILF262153:ILF262170 IVB262153:IVB262170 JEX262153:JEX262170 JOT262153:JOT262170 JYP262153:JYP262170 KIL262153:KIL262170 KSH262153:KSH262170 LCD262153:LCD262170 LLZ262153:LLZ262170 LVV262153:LVV262170 MFR262153:MFR262170 MPN262153:MPN262170 MZJ262153:MZJ262170 NJF262153:NJF262170 NTB262153:NTB262170 OCX262153:OCX262170 OMT262153:OMT262170 OWP262153:OWP262170 PGL262153:PGL262170 PQH262153:PQH262170 QAD262153:QAD262170 QJZ262153:QJZ262170 QTV262153:QTV262170 RDR262153:RDR262170 RNN262153:RNN262170 RXJ262153:RXJ262170 SHF262153:SHF262170 SRB262153:SRB262170 TAX262153:TAX262170 TKT262153:TKT262170 TUP262153:TUP262170 UEL262153:UEL262170 UOH262153:UOH262170 UYD262153:UYD262170 VHZ262153:VHZ262170 VRV262153:VRV262170 WBR262153:WBR262170 WLN262153:WLN262170 WVJ262153:WVJ262170 B327689:B327706 IX327689:IX327706 ST327689:ST327706 ACP327689:ACP327706 AML327689:AML327706 AWH327689:AWH327706 BGD327689:BGD327706 BPZ327689:BPZ327706 BZV327689:BZV327706 CJR327689:CJR327706 CTN327689:CTN327706 DDJ327689:DDJ327706 DNF327689:DNF327706 DXB327689:DXB327706 EGX327689:EGX327706 EQT327689:EQT327706 FAP327689:FAP327706 FKL327689:FKL327706 FUH327689:FUH327706 GED327689:GED327706 GNZ327689:GNZ327706 GXV327689:GXV327706 HHR327689:HHR327706 HRN327689:HRN327706 IBJ327689:IBJ327706 ILF327689:ILF327706 IVB327689:IVB327706 JEX327689:JEX327706 JOT327689:JOT327706 JYP327689:JYP327706 KIL327689:KIL327706 KSH327689:KSH327706 LCD327689:LCD327706 LLZ327689:LLZ327706 LVV327689:LVV327706 MFR327689:MFR327706 MPN327689:MPN327706 MZJ327689:MZJ327706 NJF327689:NJF327706 NTB327689:NTB327706 OCX327689:OCX327706 OMT327689:OMT327706 OWP327689:OWP327706 PGL327689:PGL327706 PQH327689:PQH327706 QAD327689:QAD327706 QJZ327689:QJZ327706 QTV327689:QTV327706 RDR327689:RDR327706 RNN327689:RNN327706 RXJ327689:RXJ327706 SHF327689:SHF327706 SRB327689:SRB327706 TAX327689:TAX327706 TKT327689:TKT327706 TUP327689:TUP327706 UEL327689:UEL327706 UOH327689:UOH327706 UYD327689:UYD327706 VHZ327689:VHZ327706 VRV327689:VRV327706 WBR327689:WBR327706 WLN327689:WLN327706 WVJ327689:WVJ327706 B393225:B393242 IX393225:IX393242 ST393225:ST393242 ACP393225:ACP393242 AML393225:AML393242 AWH393225:AWH393242 BGD393225:BGD393242 BPZ393225:BPZ393242 BZV393225:BZV393242 CJR393225:CJR393242 CTN393225:CTN393242 DDJ393225:DDJ393242 DNF393225:DNF393242 DXB393225:DXB393242 EGX393225:EGX393242 EQT393225:EQT393242 FAP393225:FAP393242 FKL393225:FKL393242 FUH393225:FUH393242 GED393225:GED393242 GNZ393225:GNZ393242 GXV393225:GXV393242 HHR393225:HHR393242 HRN393225:HRN393242 IBJ393225:IBJ393242 ILF393225:ILF393242 IVB393225:IVB393242 JEX393225:JEX393242 JOT393225:JOT393242 JYP393225:JYP393242 KIL393225:KIL393242 KSH393225:KSH393242 LCD393225:LCD393242 LLZ393225:LLZ393242 LVV393225:LVV393242 MFR393225:MFR393242 MPN393225:MPN393242 MZJ393225:MZJ393242 NJF393225:NJF393242 NTB393225:NTB393242 OCX393225:OCX393242 OMT393225:OMT393242 OWP393225:OWP393242 PGL393225:PGL393242 PQH393225:PQH393242 QAD393225:QAD393242 QJZ393225:QJZ393242 QTV393225:QTV393242 RDR393225:RDR393242 RNN393225:RNN393242 RXJ393225:RXJ393242 SHF393225:SHF393242 SRB393225:SRB393242 TAX393225:TAX393242 TKT393225:TKT393242 TUP393225:TUP393242 UEL393225:UEL393242 UOH393225:UOH393242 UYD393225:UYD393242 VHZ393225:VHZ393242 VRV393225:VRV393242 WBR393225:WBR393242 WLN393225:WLN393242 WVJ393225:WVJ393242 B458761:B458778 IX458761:IX458778 ST458761:ST458778 ACP458761:ACP458778 AML458761:AML458778 AWH458761:AWH458778 BGD458761:BGD458778 BPZ458761:BPZ458778 BZV458761:BZV458778 CJR458761:CJR458778 CTN458761:CTN458778 DDJ458761:DDJ458778 DNF458761:DNF458778 DXB458761:DXB458778 EGX458761:EGX458778 EQT458761:EQT458778 FAP458761:FAP458778 FKL458761:FKL458778 FUH458761:FUH458778 GED458761:GED458778 GNZ458761:GNZ458778 GXV458761:GXV458778 HHR458761:HHR458778 HRN458761:HRN458778 IBJ458761:IBJ458778 ILF458761:ILF458778 IVB458761:IVB458778 JEX458761:JEX458778 JOT458761:JOT458778 JYP458761:JYP458778 KIL458761:KIL458778 KSH458761:KSH458778 LCD458761:LCD458778 LLZ458761:LLZ458778 LVV458761:LVV458778 MFR458761:MFR458778 MPN458761:MPN458778 MZJ458761:MZJ458778 NJF458761:NJF458778 NTB458761:NTB458778 OCX458761:OCX458778 OMT458761:OMT458778 OWP458761:OWP458778 PGL458761:PGL458778 PQH458761:PQH458778 QAD458761:QAD458778 QJZ458761:QJZ458778 QTV458761:QTV458778 RDR458761:RDR458778 RNN458761:RNN458778 RXJ458761:RXJ458778 SHF458761:SHF458778 SRB458761:SRB458778 TAX458761:TAX458778 TKT458761:TKT458778 TUP458761:TUP458778 UEL458761:UEL458778 UOH458761:UOH458778 UYD458761:UYD458778 VHZ458761:VHZ458778 VRV458761:VRV458778 WBR458761:WBR458778 WLN458761:WLN458778 WVJ458761:WVJ458778 B524297:B524314 IX524297:IX524314 ST524297:ST524314 ACP524297:ACP524314 AML524297:AML524314 AWH524297:AWH524314 BGD524297:BGD524314 BPZ524297:BPZ524314 BZV524297:BZV524314 CJR524297:CJR524314 CTN524297:CTN524314 DDJ524297:DDJ524314 DNF524297:DNF524314 DXB524297:DXB524314 EGX524297:EGX524314 EQT524297:EQT524314 FAP524297:FAP524314 FKL524297:FKL524314 FUH524297:FUH524314 GED524297:GED524314 GNZ524297:GNZ524314 GXV524297:GXV524314 HHR524297:HHR524314 HRN524297:HRN524314 IBJ524297:IBJ524314 ILF524297:ILF524314 IVB524297:IVB524314 JEX524297:JEX524314 JOT524297:JOT524314 JYP524297:JYP524314 KIL524297:KIL524314 KSH524297:KSH524314 LCD524297:LCD524314 LLZ524297:LLZ524314 LVV524297:LVV524314 MFR524297:MFR524314 MPN524297:MPN524314 MZJ524297:MZJ524314 NJF524297:NJF524314 NTB524297:NTB524314 OCX524297:OCX524314 OMT524297:OMT524314 OWP524297:OWP524314 PGL524297:PGL524314 PQH524297:PQH524314 QAD524297:QAD524314 QJZ524297:QJZ524314 QTV524297:QTV524314 RDR524297:RDR524314 RNN524297:RNN524314 RXJ524297:RXJ524314 SHF524297:SHF524314 SRB524297:SRB524314 TAX524297:TAX524314 TKT524297:TKT524314 TUP524297:TUP524314 UEL524297:UEL524314 UOH524297:UOH524314 UYD524297:UYD524314 VHZ524297:VHZ524314 VRV524297:VRV524314 WBR524297:WBR524314 WLN524297:WLN524314 WVJ524297:WVJ524314 B589833:B589850 IX589833:IX589850 ST589833:ST589850 ACP589833:ACP589850 AML589833:AML589850 AWH589833:AWH589850 BGD589833:BGD589850 BPZ589833:BPZ589850 BZV589833:BZV589850 CJR589833:CJR589850 CTN589833:CTN589850 DDJ589833:DDJ589850 DNF589833:DNF589850 DXB589833:DXB589850 EGX589833:EGX589850 EQT589833:EQT589850 FAP589833:FAP589850 FKL589833:FKL589850 FUH589833:FUH589850 GED589833:GED589850 GNZ589833:GNZ589850 GXV589833:GXV589850 HHR589833:HHR589850 HRN589833:HRN589850 IBJ589833:IBJ589850 ILF589833:ILF589850 IVB589833:IVB589850 JEX589833:JEX589850 JOT589833:JOT589850 JYP589833:JYP589850 KIL589833:KIL589850 KSH589833:KSH589850 LCD589833:LCD589850 LLZ589833:LLZ589850 LVV589833:LVV589850 MFR589833:MFR589850 MPN589833:MPN589850 MZJ589833:MZJ589850 NJF589833:NJF589850 NTB589833:NTB589850 OCX589833:OCX589850 OMT589833:OMT589850 OWP589833:OWP589850 PGL589833:PGL589850 PQH589833:PQH589850 QAD589833:QAD589850 QJZ589833:QJZ589850 QTV589833:QTV589850 RDR589833:RDR589850 RNN589833:RNN589850 RXJ589833:RXJ589850 SHF589833:SHF589850 SRB589833:SRB589850 TAX589833:TAX589850 TKT589833:TKT589850 TUP589833:TUP589850 UEL589833:UEL589850 UOH589833:UOH589850 UYD589833:UYD589850 VHZ589833:VHZ589850 VRV589833:VRV589850 WBR589833:WBR589850 WLN589833:WLN589850 WVJ589833:WVJ589850 B655369:B655386 IX655369:IX655386 ST655369:ST655386 ACP655369:ACP655386 AML655369:AML655386 AWH655369:AWH655386 BGD655369:BGD655386 BPZ655369:BPZ655386 BZV655369:BZV655386 CJR655369:CJR655386 CTN655369:CTN655386 DDJ655369:DDJ655386 DNF655369:DNF655386 DXB655369:DXB655386 EGX655369:EGX655386 EQT655369:EQT655386 FAP655369:FAP655386 FKL655369:FKL655386 FUH655369:FUH655386 GED655369:GED655386 GNZ655369:GNZ655386 GXV655369:GXV655386 HHR655369:HHR655386 HRN655369:HRN655386 IBJ655369:IBJ655386 ILF655369:ILF655386 IVB655369:IVB655386 JEX655369:JEX655386 JOT655369:JOT655386 JYP655369:JYP655386 KIL655369:KIL655386 KSH655369:KSH655386 LCD655369:LCD655386 LLZ655369:LLZ655386 LVV655369:LVV655386 MFR655369:MFR655386 MPN655369:MPN655386 MZJ655369:MZJ655386 NJF655369:NJF655386 NTB655369:NTB655386 OCX655369:OCX655386 OMT655369:OMT655386 OWP655369:OWP655386 PGL655369:PGL655386 PQH655369:PQH655386 QAD655369:QAD655386 QJZ655369:QJZ655386 QTV655369:QTV655386 RDR655369:RDR655386 RNN655369:RNN655386 RXJ655369:RXJ655386 SHF655369:SHF655386 SRB655369:SRB655386 TAX655369:TAX655386 TKT655369:TKT655386 TUP655369:TUP655386 UEL655369:UEL655386 UOH655369:UOH655386 UYD655369:UYD655386 VHZ655369:VHZ655386 VRV655369:VRV655386 WBR655369:WBR655386 WLN655369:WLN655386 WVJ655369:WVJ655386 B720905:B720922 IX720905:IX720922 ST720905:ST720922 ACP720905:ACP720922 AML720905:AML720922 AWH720905:AWH720922 BGD720905:BGD720922 BPZ720905:BPZ720922 BZV720905:BZV720922 CJR720905:CJR720922 CTN720905:CTN720922 DDJ720905:DDJ720922 DNF720905:DNF720922 DXB720905:DXB720922 EGX720905:EGX720922 EQT720905:EQT720922 FAP720905:FAP720922 FKL720905:FKL720922 FUH720905:FUH720922 GED720905:GED720922 GNZ720905:GNZ720922 GXV720905:GXV720922 HHR720905:HHR720922 HRN720905:HRN720922 IBJ720905:IBJ720922 ILF720905:ILF720922 IVB720905:IVB720922 JEX720905:JEX720922 JOT720905:JOT720922 JYP720905:JYP720922 KIL720905:KIL720922 KSH720905:KSH720922 LCD720905:LCD720922 LLZ720905:LLZ720922 LVV720905:LVV720922 MFR720905:MFR720922 MPN720905:MPN720922 MZJ720905:MZJ720922 NJF720905:NJF720922 NTB720905:NTB720922 OCX720905:OCX720922 OMT720905:OMT720922 OWP720905:OWP720922 PGL720905:PGL720922 PQH720905:PQH720922 QAD720905:QAD720922 QJZ720905:QJZ720922 QTV720905:QTV720922 RDR720905:RDR720922 RNN720905:RNN720922 RXJ720905:RXJ720922 SHF720905:SHF720922 SRB720905:SRB720922 TAX720905:TAX720922 TKT720905:TKT720922 TUP720905:TUP720922 UEL720905:UEL720922 UOH720905:UOH720922 UYD720905:UYD720922 VHZ720905:VHZ720922 VRV720905:VRV720922 WBR720905:WBR720922 WLN720905:WLN720922 WVJ720905:WVJ720922 B786441:B786458 IX786441:IX786458 ST786441:ST786458 ACP786441:ACP786458 AML786441:AML786458 AWH786441:AWH786458 BGD786441:BGD786458 BPZ786441:BPZ786458 BZV786441:BZV786458 CJR786441:CJR786458 CTN786441:CTN786458 DDJ786441:DDJ786458 DNF786441:DNF786458 DXB786441:DXB786458 EGX786441:EGX786458 EQT786441:EQT786458 FAP786441:FAP786458 FKL786441:FKL786458 FUH786441:FUH786458 GED786441:GED786458 GNZ786441:GNZ786458 GXV786441:GXV786458 HHR786441:HHR786458 HRN786441:HRN786458 IBJ786441:IBJ786458 ILF786441:ILF786458 IVB786441:IVB786458 JEX786441:JEX786458 JOT786441:JOT786458 JYP786441:JYP786458 KIL786441:KIL786458 KSH786441:KSH786458 LCD786441:LCD786458 LLZ786441:LLZ786458 LVV786441:LVV786458 MFR786441:MFR786458 MPN786441:MPN786458 MZJ786441:MZJ786458 NJF786441:NJF786458 NTB786441:NTB786458 OCX786441:OCX786458 OMT786441:OMT786458 OWP786441:OWP786458 PGL786441:PGL786458 PQH786441:PQH786458 QAD786441:QAD786458 QJZ786441:QJZ786458 QTV786441:QTV786458 RDR786441:RDR786458 RNN786441:RNN786458 RXJ786441:RXJ786458 SHF786441:SHF786458 SRB786441:SRB786458 TAX786441:TAX786458 TKT786441:TKT786458 TUP786441:TUP786458 UEL786441:UEL786458 UOH786441:UOH786458 UYD786441:UYD786458 VHZ786441:VHZ786458 VRV786441:VRV786458 WBR786441:WBR786458 WLN786441:WLN786458 WVJ786441:WVJ786458 B851977:B851994 IX851977:IX851994 ST851977:ST851994 ACP851977:ACP851994 AML851977:AML851994 AWH851977:AWH851994 BGD851977:BGD851994 BPZ851977:BPZ851994 BZV851977:BZV851994 CJR851977:CJR851994 CTN851977:CTN851994 DDJ851977:DDJ851994 DNF851977:DNF851994 DXB851977:DXB851994 EGX851977:EGX851994 EQT851977:EQT851994 FAP851977:FAP851994 FKL851977:FKL851994 FUH851977:FUH851994 GED851977:GED851994 GNZ851977:GNZ851994 GXV851977:GXV851994 HHR851977:HHR851994 HRN851977:HRN851994 IBJ851977:IBJ851994 ILF851977:ILF851994 IVB851977:IVB851994 JEX851977:JEX851994 JOT851977:JOT851994 JYP851977:JYP851994 KIL851977:KIL851994 KSH851977:KSH851994 LCD851977:LCD851994 LLZ851977:LLZ851994 LVV851977:LVV851994 MFR851977:MFR851994 MPN851977:MPN851994 MZJ851977:MZJ851994 NJF851977:NJF851994 NTB851977:NTB851994 OCX851977:OCX851994 OMT851977:OMT851994 OWP851977:OWP851994 PGL851977:PGL851994 PQH851977:PQH851994 QAD851977:QAD851994 QJZ851977:QJZ851994 QTV851977:QTV851994 RDR851977:RDR851994 RNN851977:RNN851994 RXJ851977:RXJ851994 SHF851977:SHF851994 SRB851977:SRB851994 TAX851977:TAX851994 TKT851977:TKT851994 TUP851977:TUP851994 UEL851977:UEL851994 UOH851977:UOH851994 UYD851977:UYD851994 VHZ851977:VHZ851994 VRV851977:VRV851994 WBR851977:WBR851994 WLN851977:WLN851994 WVJ851977:WVJ851994 B917513:B917530 IX917513:IX917530 ST917513:ST917530 ACP917513:ACP917530 AML917513:AML917530 AWH917513:AWH917530 BGD917513:BGD917530 BPZ917513:BPZ917530 BZV917513:BZV917530 CJR917513:CJR917530 CTN917513:CTN917530 DDJ917513:DDJ917530 DNF917513:DNF917530 DXB917513:DXB917530 EGX917513:EGX917530 EQT917513:EQT917530 FAP917513:FAP917530 FKL917513:FKL917530 FUH917513:FUH917530 GED917513:GED917530 GNZ917513:GNZ917530 GXV917513:GXV917530 HHR917513:HHR917530 HRN917513:HRN917530 IBJ917513:IBJ917530 ILF917513:ILF917530 IVB917513:IVB917530 JEX917513:JEX917530 JOT917513:JOT917530 JYP917513:JYP917530 KIL917513:KIL917530 KSH917513:KSH917530 LCD917513:LCD917530 LLZ917513:LLZ917530 LVV917513:LVV917530 MFR917513:MFR917530 MPN917513:MPN917530 MZJ917513:MZJ917530 NJF917513:NJF917530 NTB917513:NTB917530 OCX917513:OCX917530 OMT917513:OMT917530 OWP917513:OWP917530 PGL917513:PGL917530 PQH917513:PQH917530 QAD917513:QAD917530 QJZ917513:QJZ917530 QTV917513:QTV917530 RDR917513:RDR917530 RNN917513:RNN917530 RXJ917513:RXJ917530 SHF917513:SHF917530 SRB917513:SRB917530 TAX917513:TAX917530 TKT917513:TKT917530 TUP917513:TUP917530 UEL917513:UEL917530 UOH917513:UOH917530 UYD917513:UYD917530 VHZ917513:VHZ917530 VRV917513:VRV917530 WBR917513:WBR917530 WLN917513:WLN917530 WVJ917513:WVJ917530" xr:uid="{00000000-0002-0000-0A00-000000000000}">
      <formula1>trung</formula1>
    </dataValidation>
    <dataValidation type="list" allowBlank="1" showInputMessage="1" showErrorMessage="1" sqref="B25" xr:uid="{00000000-0002-0000-0A00-000001000000}">
      <formula1>bichphuong</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327"/>
  <sheetViews>
    <sheetView topLeftCell="A9"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45"/>
      <c r="G3" s="102"/>
      <c r="H3" s="103"/>
    </row>
    <row r="4" spans="1:8" s="98" customFormat="1" ht="18" customHeight="1">
      <c r="A4" s="414"/>
      <c r="B4" s="414"/>
      <c r="C4" s="415" t="s">
        <v>1740</v>
      </c>
      <c r="D4" s="416"/>
      <c r="E4" s="416"/>
      <c r="F4" s="416"/>
      <c r="G4" s="416"/>
      <c r="H4" s="416"/>
    </row>
    <row r="5" spans="1:8" s="98" customFormat="1" ht="15.6">
      <c r="A5" s="104"/>
      <c r="B5" s="104"/>
      <c r="C5" s="144"/>
      <c r="D5" s="105"/>
      <c r="E5" s="106"/>
      <c r="F5" s="144"/>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19" t="s">
        <v>1783</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1784</v>
      </c>
      <c r="C13" s="425"/>
      <c r="D13" s="425"/>
      <c r="E13" s="425"/>
      <c r="F13" s="425"/>
      <c r="G13" s="73">
        <f>G14</f>
        <v>67260000</v>
      </c>
      <c r="H13" s="74"/>
    </row>
    <row r="14" spans="1:8" s="131" customFormat="1" ht="40.5" customHeight="1">
      <c r="A14" s="123"/>
      <c r="B14" s="124" t="s">
        <v>1757</v>
      </c>
      <c r="C14" s="125" t="s">
        <v>1753</v>
      </c>
      <c r="D14" s="126">
        <v>5.7</v>
      </c>
      <c r="E14" s="127">
        <v>11800000</v>
      </c>
      <c r="F14" s="128">
        <v>1</v>
      </c>
      <c r="G14" s="129">
        <f>D14*E14*F14</f>
        <v>67260000</v>
      </c>
      <c r="H14" s="130"/>
    </row>
    <row r="15" spans="1:8" ht="27" customHeight="1">
      <c r="A15" s="75" t="s">
        <v>18</v>
      </c>
      <c r="B15" s="426" t="s">
        <v>1725</v>
      </c>
      <c r="C15" s="426"/>
      <c r="D15" s="426"/>
      <c r="E15" s="426"/>
      <c r="F15" s="426"/>
      <c r="G15" s="76">
        <f>SUM(G16:G23)</f>
        <v>39663122.519999996</v>
      </c>
      <c r="H15" s="11"/>
    </row>
    <row r="16" spans="1:8" ht="31.2">
      <c r="A16" s="77">
        <v>1</v>
      </c>
      <c r="B16" s="78" t="s">
        <v>1785</v>
      </c>
      <c r="C16" s="14" t="s">
        <v>66</v>
      </c>
      <c r="D16" s="132">
        <f>5*3.5</f>
        <v>17.5</v>
      </c>
      <c r="E16" s="15">
        <v>507361</v>
      </c>
      <c r="F16" s="14">
        <v>1</v>
      </c>
      <c r="G16" s="79">
        <f t="shared" ref="G16:G23" si="0">D16*E16*F16</f>
        <v>8878817.5</v>
      </c>
      <c r="H16" s="15"/>
    </row>
    <row r="17" spans="1:8" ht="31.2">
      <c r="A17" s="77">
        <v>2</v>
      </c>
      <c r="B17" s="78" t="s">
        <v>1786</v>
      </c>
      <c r="C17" s="14" t="s">
        <v>1754</v>
      </c>
      <c r="D17" s="132">
        <f>8.8*2.5*0.22</f>
        <v>4.84</v>
      </c>
      <c r="E17" s="15">
        <v>1919493</v>
      </c>
      <c r="F17" s="14">
        <v>1</v>
      </c>
      <c r="G17" s="79">
        <f>D17*E17*F17</f>
        <v>9290346.1199999992</v>
      </c>
      <c r="H17" s="15"/>
    </row>
    <row r="18" spans="1:8" ht="15.6">
      <c r="A18" s="77"/>
      <c r="B18" s="78" t="s">
        <v>1960</v>
      </c>
      <c r="C18" s="14" t="s">
        <v>66</v>
      </c>
      <c r="D18" s="132">
        <f>8.8*2.5*2</f>
        <v>44</v>
      </c>
      <c r="E18" s="15">
        <v>141099</v>
      </c>
      <c r="F18" s="14">
        <v>1</v>
      </c>
      <c r="G18" s="79">
        <f t="shared" ref="G18" si="1">D18*E18*F18</f>
        <v>6208356</v>
      </c>
      <c r="H18" s="15"/>
    </row>
    <row r="19" spans="1:8" ht="15.6">
      <c r="A19" s="77">
        <v>3</v>
      </c>
      <c r="B19" s="78" t="s">
        <v>1787</v>
      </c>
      <c r="C19" s="14" t="s">
        <v>66</v>
      </c>
      <c r="D19" s="132">
        <f>0.4*5</f>
        <v>2</v>
      </c>
      <c r="E19" s="15">
        <v>214934</v>
      </c>
      <c r="F19" s="14">
        <v>1</v>
      </c>
      <c r="G19" s="79">
        <f t="shared" si="0"/>
        <v>429868</v>
      </c>
      <c r="H19" s="15"/>
    </row>
    <row r="20" spans="1:8" ht="15.6">
      <c r="A20" s="77">
        <v>4</v>
      </c>
      <c r="B20" s="78" t="s">
        <v>1788</v>
      </c>
      <c r="C20" s="14" t="s">
        <v>66</v>
      </c>
      <c r="D20" s="132">
        <f>3.8*2.5</f>
        <v>9.5</v>
      </c>
      <c r="E20" s="15">
        <v>720000</v>
      </c>
      <c r="F20" s="14">
        <v>1</v>
      </c>
      <c r="G20" s="79">
        <f t="shared" si="0"/>
        <v>6840000</v>
      </c>
      <c r="H20" s="15"/>
    </row>
    <row r="21" spans="1:8" ht="46.8">
      <c r="A21" s="77">
        <v>5</v>
      </c>
      <c r="B21" s="78" t="s">
        <v>2052</v>
      </c>
      <c r="C21" s="14" t="s">
        <v>1755</v>
      </c>
      <c r="D21" s="132">
        <f>(23.04/6)*2.7*2</f>
        <v>20.736000000000001</v>
      </c>
      <c r="E21" s="15">
        <v>19900</v>
      </c>
      <c r="F21" s="14">
        <v>1</v>
      </c>
      <c r="G21" s="79">
        <f t="shared" si="0"/>
        <v>412646.40000000002</v>
      </c>
      <c r="H21" s="15"/>
    </row>
    <row r="22" spans="1:8" ht="15.6">
      <c r="A22" s="77">
        <v>6</v>
      </c>
      <c r="B22" s="78" t="s">
        <v>1789</v>
      </c>
      <c r="C22" s="14" t="s">
        <v>66</v>
      </c>
      <c r="D22" s="132">
        <f>3.5*4.6</f>
        <v>16.099999999999998</v>
      </c>
      <c r="E22" s="15">
        <v>185285</v>
      </c>
      <c r="F22" s="14">
        <v>1</v>
      </c>
      <c r="G22" s="79">
        <f t="shared" si="0"/>
        <v>2983088.4999999995</v>
      </c>
      <c r="H22" s="15"/>
    </row>
    <row r="23" spans="1:8" ht="31.2">
      <c r="A23" s="77">
        <v>7</v>
      </c>
      <c r="B23" s="78" t="s">
        <v>1790</v>
      </c>
      <c r="C23" s="14" t="s">
        <v>66</v>
      </c>
      <c r="D23" s="132">
        <f>(1.2*3.5)*2</f>
        <v>8.4</v>
      </c>
      <c r="E23" s="15">
        <v>550000</v>
      </c>
      <c r="F23" s="14">
        <v>1</v>
      </c>
      <c r="G23" s="79">
        <f t="shared" si="0"/>
        <v>4620000</v>
      </c>
      <c r="H23" s="15"/>
    </row>
    <row r="24" spans="1:8" ht="24" customHeight="1">
      <c r="A24" s="75" t="s">
        <v>19</v>
      </c>
      <c r="B24" s="426" t="s">
        <v>1727</v>
      </c>
      <c r="C24" s="426"/>
      <c r="D24" s="426"/>
      <c r="E24" s="426"/>
      <c r="F24" s="426"/>
      <c r="G24" s="76">
        <f>SUM(G25:G25)</f>
        <v>0</v>
      </c>
      <c r="H24" s="11"/>
    </row>
    <row r="25" spans="1:8" ht="30.6" customHeight="1">
      <c r="A25" s="77"/>
      <c r="B25" s="78" t="s">
        <v>1728</v>
      </c>
      <c r="C25" s="13"/>
      <c r="D25" s="13"/>
      <c r="E25" s="13"/>
      <c r="F25" s="13"/>
      <c r="G25" s="79"/>
      <c r="H25" s="15"/>
    </row>
    <row r="26" spans="1:8" ht="15.6">
      <c r="A26" s="80"/>
      <c r="B26" s="427" t="s">
        <v>62</v>
      </c>
      <c r="C26" s="428"/>
      <c r="D26" s="428"/>
      <c r="E26" s="428"/>
      <c r="F26" s="429"/>
      <c r="G26" s="81">
        <f>G13+G15+G24</f>
        <v>106923122.52</v>
      </c>
      <c r="H26" s="82"/>
    </row>
    <row r="27" spans="1:8" ht="15.6">
      <c r="A27" s="80"/>
      <c r="B27" s="427" t="s">
        <v>1726</v>
      </c>
      <c r="C27" s="428"/>
      <c r="D27" s="428"/>
      <c r="E27" s="428"/>
      <c r="F27" s="429"/>
      <c r="G27" s="81">
        <f>ROUND(G26,-3)</f>
        <v>106923000</v>
      </c>
      <c r="H27" s="82"/>
    </row>
    <row r="28" spans="1:8" ht="15.6">
      <c r="A28" s="430" t="e">
        <f ca="1">[19]!vnd(G27)</f>
        <v>#NAME?</v>
      </c>
      <c r="B28" s="431"/>
      <c r="C28" s="431"/>
      <c r="D28" s="431"/>
      <c r="E28" s="431"/>
      <c r="F28" s="431"/>
      <c r="G28" s="431"/>
      <c r="H28" s="432"/>
    </row>
    <row r="29" spans="1:8">
      <c r="A29" s="17"/>
      <c r="B29" s="17"/>
      <c r="C29" s="97"/>
      <c r="D29" s="20"/>
      <c r="E29" s="19"/>
      <c r="F29" s="97"/>
      <c r="G29" s="19"/>
      <c r="H29" s="17"/>
    </row>
    <row r="30" spans="1:8" s="109" customFormat="1" ht="16.5" customHeight="1">
      <c r="A30" s="108"/>
      <c r="B30" s="108"/>
      <c r="C30" s="424" t="s">
        <v>1742</v>
      </c>
      <c r="D30" s="424"/>
      <c r="E30" s="424"/>
      <c r="F30" s="424"/>
      <c r="G30" s="424"/>
      <c r="H30" s="424"/>
    </row>
    <row r="31" spans="1:8" s="109" customFormat="1" ht="16.5" customHeight="1">
      <c r="A31" s="423" t="s">
        <v>63</v>
      </c>
      <c r="B31" s="423"/>
      <c r="C31" s="424" t="s">
        <v>1743</v>
      </c>
      <c r="D31" s="424"/>
      <c r="E31" s="424"/>
      <c r="F31" s="424" t="s">
        <v>1744</v>
      </c>
      <c r="G31" s="424"/>
      <c r="H31" s="424"/>
    </row>
    <row r="32" spans="1:8" s="109" customFormat="1" ht="15.6">
      <c r="A32" s="108"/>
      <c r="B32" s="108"/>
      <c r="C32" s="108"/>
      <c r="D32" s="110"/>
      <c r="E32" s="111"/>
      <c r="F32" s="112"/>
      <c r="G32" s="111"/>
      <c r="H32" s="113"/>
    </row>
    <row r="33" spans="1:8" s="109" customFormat="1" ht="15.6">
      <c r="A33" s="108"/>
      <c r="B33" s="108"/>
      <c r="C33" s="108"/>
      <c r="D33" s="110"/>
      <c r="E33" s="111"/>
      <c r="F33" s="112"/>
      <c r="G33" s="114"/>
      <c r="H33" s="113"/>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6.5" customHeight="1">
      <c r="A37" s="108"/>
      <c r="B37" s="142" t="s">
        <v>64</v>
      </c>
      <c r="C37" s="424"/>
      <c r="D37" s="424"/>
      <c r="E37" s="424"/>
      <c r="F37" s="424" t="s">
        <v>1745</v>
      </c>
      <c r="G37" s="424"/>
      <c r="H37" s="424"/>
    </row>
    <row r="38" spans="1:8" s="109" customFormat="1" ht="15.6">
      <c r="A38" s="108"/>
      <c r="B38" s="142"/>
      <c r="C38" s="143"/>
      <c r="D38" s="143"/>
      <c r="E38" s="143"/>
      <c r="F38" s="143"/>
      <c r="G38" s="143"/>
      <c r="H38" s="143"/>
    </row>
    <row r="39" spans="1:8" s="109" customFormat="1" ht="15" customHeight="1">
      <c r="A39" s="424" t="s">
        <v>1746</v>
      </c>
      <c r="B39" s="424"/>
      <c r="C39" s="424"/>
      <c r="D39" s="424"/>
      <c r="E39" s="424" t="s">
        <v>1747</v>
      </c>
      <c r="F39" s="424"/>
      <c r="G39" s="424"/>
      <c r="H39" s="424"/>
    </row>
    <row r="40" spans="1:8" s="109" customFormat="1" ht="33.6" customHeight="1">
      <c r="A40" s="424" t="s">
        <v>1748</v>
      </c>
      <c r="B40" s="424"/>
      <c r="C40" s="424"/>
      <c r="D40" s="424"/>
      <c r="E40" s="424" t="s">
        <v>65</v>
      </c>
      <c r="F40" s="424"/>
      <c r="G40" s="424"/>
      <c r="H40" s="424"/>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 r="A43" s="108"/>
      <c r="B43" s="108"/>
      <c r="C43" s="108"/>
      <c r="D43" s="110"/>
      <c r="E43" s="111"/>
      <c r="F43" s="112"/>
      <c r="G43" s="111"/>
      <c r="H43" s="113"/>
    </row>
    <row r="44" spans="1:8" s="109" customFormat="1" ht="15.6">
      <c r="A44" s="108"/>
      <c r="B44" s="108"/>
      <c r="C44" s="108"/>
      <c r="D44" s="110"/>
      <c r="E44" s="111"/>
      <c r="F44" s="112"/>
      <c r="G44" s="111"/>
      <c r="H44" s="113"/>
    </row>
    <row r="45" spans="1:8" s="109" customFormat="1" ht="15.6">
      <c r="A45" s="108"/>
      <c r="B45" s="108"/>
      <c r="C45" s="108"/>
      <c r="D45" s="110"/>
      <c r="E45" s="111"/>
      <c r="F45" s="112"/>
      <c r="G45" s="111"/>
      <c r="H45" s="113"/>
    </row>
    <row r="46" spans="1:8" s="109" customFormat="1" ht="15.6" customHeight="1">
      <c r="A46" s="108"/>
      <c r="B46" s="108"/>
      <c r="C46" s="108"/>
      <c r="D46" s="115"/>
      <c r="E46" s="439" t="s">
        <v>1749</v>
      </c>
      <c r="F46" s="439"/>
      <c r="G46" s="439"/>
      <c r="H46" s="439"/>
    </row>
    <row r="47" spans="1:8" s="109" customFormat="1" ht="16.5" customHeight="1">
      <c r="A47" s="424" t="s">
        <v>1751</v>
      </c>
      <c r="B47" s="424"/>
      <c r="C47" s="424"/>
      <c r="D47" s="424"/>
      <c r="E47" s="424" t="s">
        <v>1750</v>
      </c>
      <c r="F47" s="424"/>
      <c r="G47" s="424"/>
      <c r="H47" s="424"/>
    </row>
    <row r="48" spans="1:8" s="118" customFormat="1" ht="16.2" customHeight="1">
      <c r="A48" s="440"/>
      <c r="B48" s="440"/>
      <c r="C48" s="116"/>
      <c r="D48" s="117"/>
      <c r="E48" s="440"/>
      <c r="F48" s="440"/>
      <c r="G48" s="440"/>
      <c r="H48" s="440"/>
    </row>
    <row r="49" spans="1:8" s="118" customFormat="1" ht="15.75" customHeight="1">
      <c r="A49" s="440"/>
      <c r="B49" s="440"/>
      <c r="C49" s="440"/>
      <c r="D49" s="440"/>
      <c r="E49" s="440"/>
      <c r="F49" s="440"/>
      <c r="G49" s="440"/>
      <c r="H49" s="440"/>
    </row>
    <row r="50" spans="1:8" s="98" customFormat="1" ht="16.2" customHeight="1">
      <c r="A50" s="436"/>
      <c r="B50" s="436"/>
      <c r="C50" s="436"/>
      <c r="D50" s="436"/>
      <c r="E50" s="119"/>
      <c r="F50" s="120"/>
      <c r="G50" s="119"/>
      <c r="H50" s="121"/>
    </row>
    <row r="51" spans="1:8" s="98" customFormat="1" ht="16.2" customHeight="1">
      <c r="A51" s="436"/>
      <c r="B51" s="436"/>
      <c r="C51" s="436"/>
      <c r="D51" s="436"/>
      <c r="E51" s="119"/>
      <c r="F51" s="120"/>
      <c r="G51" s="119"/>
      <c r="H51" s="121"/>
    </row>
    <row r="52" spans="1:8" s="98" customFormat="1" ht="16.2" customHeight="1">
      <c r="A52" s="121"/>
      <c r="B52" s="121"/>
      <c r="C52" s="121"/>
      <c r="D52" s="122"/>
      <c r="E52" s="119"/>
      <c r="F52" s="120"/>
      <c r="G52" s="119"/>
      <c r="H52" s="121"/>
    </row>
    <row r="53" spans="1:8" ht="16.2" customHeight="1">
      <c r="A53" s="83"/>
      <c r="B53" s="83"/>
      <c r="C53" s="83"/>
      <c r="D53" s="84"/>
      <c r="E53" s="85"/>
      <c r="F53" s="86"/>
      <c r="G53" s="85"/>
      <c r="H53" s="83"/>
    </row>
    <row r="54" spans="1:8" ht="16.2" customHeight="1">
      <c r="A54" s="83"/>
      <c r="B54" s="83"/>
      <c r="C54" s="83"/>
      <c r="D54" s="84"/>
      <c r="E54" s="85"/>
      <c r="F54" s="86"/>
      <c r="G54" s="85"/>
      <c r="H54" s="83"/>
    </row>
    <row r="55" spans="1:8" ht="16.2" customHeight="1">
      <c r="A55" s="83"/>
      <c r="B55" s="83"/>
      <c r="C55" s="83"/>
      <c r="D55" s="84"/>
      <c r="E55" s="85"/>
      <c r="F55" s="86"/>
      <c r="G55" s="85"/>
      <c r="H55" s="83"/>
    </row>
    <row r="56" spans="1:8" ht="16.2" customHeight="1">
      <c r="A56" s="83"/>
      <c r="B56" s="83"/>
      <c r="C56" s="83"/>
      <c r="D56" s="84"/>
      <c r="E56" s="437"/>
      <c r="F56" s="437"/>
      <c r="G56" s="437"/>
      <c r="H56" s="437"/>
    </row>
    <row r="57" spans="1:8" ht="20.25" customHeight="1">
      <c r="A57" s="438"/>
      <c r="B57" s="438"/>
      <c r="C57" s="438"/>
      <c r="D57" s="438"/>
      <c r="E57" s="438"/>
      <c r="F57" s="438"/>
      <c r="G57" s="438"/>
      <c r="H57" s="438"/>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D73" s="18"/>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row r="233"/>
    <row r="234"/>
    <row r="235"/>
    <row r="236"/>
    <row r="237"/>
    <row r="238"/>
    <row r="239"/>
    <row r="240"/>
    <row r="241"/>
    <row r="242"/>
    <row r="243"/>
    <row r="244"/>
    <row r="245"/>
    <row r="246"/>
    <row r="247"/>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sheetData>
  <mergeCells count="40">
    <mergeCell ref="A4:B4"/>
    <mergeCell ref="C4:H4"/>
    <mergeCell ref="A1:B1"/>
    <mergeCell ref="C1:H1"/>
    <mergeCell ref="A2:B2"/>
    <mergeCell ref="C2:H2"/>
    <mergeCell ref="A3:B3"/>
    <mergeCell ref="A28:H28"/>
    <mergeCell ref="A6:H6"/>
    <mergeCell ref="A7:H7"/>
    <mergeCell ref="A8:H8"/>
    <mergeCell ref="A9:H9"/>
    <mergeCell ref="A10:H10"/>
    <mergeCell ref="A11:H11"/>
    <mergeCell ref="B13:F13"/>
    <mergeCell ref="B15:F15"/>
    <mergeCell ref="B24:F24"/>
    <mergeCell ref="B26:F26"/>
    <mergeCell ref="B27:F27"/>
    <mergeCell ref="A47:D47"/>
    <mergeCell ref="E47:H47"/>
    <mergeCell ref="C30:H30"/>
    <mergeCell ref="A31:B31"/>
    <mergeCell ref="C31:E31"/>
    <mergeCell ref="F31:H31"/>
    <mergeCell ref="C37:E37"/>
    <mergeCell ref="F37:H37"/>
    <mergeCell ref="A39:D39"/>
    <mergeCell ref="E39:H39"/>
    <mergeCell ref="A40:D40"/>
    <mergeCell ref="E40:H40"/>
    <mergeCell ref="E46:H46"/>
    <mergeCell ref="E56:H56"/>
    <mergeCell ref="A57:H57"/>
    <mergeCell ref="A48:B48"/>
    <mergeCell ref="E48:H48"/>
    <mergeCell ref="A49:D49"/>
    <mergeCell ref="E49:H49"/>
    <mergeCell ref="A50:D50"/>
    <mergeCell ref="A51:D51"/>
  </mergeCells>
  <dataValidations count="1">
    <dataValidation type="list" allowBlank="1" showInputMessage="1" showErrorMessage="1" sqref="WVJ983049:WVJ983066 B983049:B983066 IX983049:IX983066 ST983049:ST983066 ACP983049:ACP983066 AML983049:AML983066 AWH983049:AWH983066 BGD983049:BGD983066 BPZ983049:BPZ983066 BZV983049:BZV983066 CJR983049:CJR983066 CTN983049:CTN983066 DDJ983049:DDJ983066 DNF983049:DNF983066 DXB983049:DXB983066 EGX983049:EGX983066 EQT983049:EQT983066 FAP983049:FAP983066 FKL983049:FKL983066 FUH983049:FUH983066 GED983049:GED983066 GNZ983049:GNZ983066 GXV983049:GXV983066 HHR983049:HHR983066 HRN983049:HRN983066 IBJ983049:IBJ983066 ILF983049:ILF983066 IVB983049:IVB983066 JEX983049:JEX983066 JOT983049:JOT983066 JYP983049:JYP983066 KIL983049:KIL983066 KSH983049:KSH983066 LCD983049:LCD983066 LLZ983049:LLZ983066 LVV983049:LVV983066 MFR983049:MFR983066 MPN983049:MPN983066 MZJ983049:MZJ983066 NJF983049:NJF983066 NTB983049:NTB983066 OCX983049:OCX983066 OMT983049:OMT983066 OWP983049:OWP983066 PGL983049:PGL983066 PQH983049:PQH983066 QAD983049:QAD983066 QJZ983049:QJZ983066 QTV983049:QTV983066 RDR983049:RDR983066 RNN983049:RNN983066 RXJ983049:RXJ983066 SHF983049:SHF983066 SRB983049:SRB983066 TAX983049:TAX983066 TKT983049:TKT983066 TUP983049:TUP983066 UEL983049:UEL983066 UOH983049:UOH983066 UYD983049:UYD983066 VHZ983049:VHZ983066 VRV983049:VRV983066 WBR983049:WBR983066 WLN983049:WLN983066 B65545:B65562 IX65545:IX65562 ST65545:ST65562 ACP65545:ACP65562 AML65545:AML65562 AWH65545:AWH65562 BGD65545:BGD65562 BPZ65545:BPZ65562 BZV65545:BZV65562 CJR65545:CJR65562 CTN65545:CTN65562 DDJ65545:DDJ65562 DNF65545:DNF65562 DXB65545:DXB65562 EGX65545:EGX65562 EQT65545:EQT65562 FAP65545:FAP65562 FKL65545:FKL65562 FUH65545:FUH65562 GED65545:GED65562 GNZ65545:GNZ65562 GXV65545:GXV65562 HHR65545:HHR65562 HRN65545:HRN65562 IBJ65545:IBJ65562 ILF65545:ILF65562 IVB65545:IVB65562 JEX65545:JEX65562 JOT65545:JOT65562 JYP65545:JYP65562 KIL65545:KIL65562 KSH65545:KSH65562 LCD65545:LCD65562 LLZ65545:LLZ65562 LVV65545:LVV65562 MFR65545:MFR65562 MPN65545:MPN65562 MZJ65545:MZJ65562 NJF65545:NJF65562 NTB65545:NTB65562 OCX65545:OCX65562 OMT65545:OMT65562 OWP65545:OWP65562 PGL65545:PGL65562 PQH65545:PQH65562 QAD65545:QAD65562 QJZ65545:QJZ65562 QTV65545:QTV65562 RDR65545:RDR65562 RNN65545:RNN65562 RXJ65545:RXJ65562 SHF65545:SHF65562 SRB65545:SRB65562 TAX65545:TAX65562 TKT65545:TKT65562 TUP65545:TUP65562 UEL65545:UEL65562 UOH65545:UOH65562 UYD65545:UYD65562 VHZ65545:VHZ65562 VRV65545:VRV65562 WBR65545:WBR65562 WLN65545:WLN65562 WVJ65545:WVJ65562 B131081:B131098 IX131081:IX131098 ST131081:ST131098 ACP131081:ACP131098 AML131081:AML131098 AWH131081:AWH131098 BGD131081:BGD131098 BPZ131081:BPZ131098 BZV131081:BZV131098 CJR131081:CJR131098 CTN131081:CTN131098 DDJ131081:DDJ131098 DNF131081:DNF131098 DXB131081:DXB131098 EGX131081:EGX131098 EQT131081:EQT131098 FAP131081:FAP131098 FKL131081:FKL131098 FUH131081:FUH131098 GED131081:GED131098 GNZ131081:GNZ131098 GXV131081:GXV131098 HHR131081:HHR131098 HRN131081:HRN131098 IBJ131081:IBJ131098 ILF131081:ILF131098 IVB131081:IVB131098 JEX131081:JEX131098 JOT131081:JOT131098 JYP131081:JYP131098 KIL131081:KIL131098 KSH131081:KSH131098 LCD131081:LCD131098 LLZ131081:LLZ131098 LVV131081:LVV131098 MFR131081:MFR131098 MPN131081:MPN131098 MZJ131081:MZJ131098 NJF131081:NJF131098 NTB131081:NTB131098 OCX131081:OCX131098 OMT131081:OMT131098 OWP131081:OWP131098 PGL131081:PGL131098 PQH131081:PQH131098 QAD131081:QAD131098 QJZ131081:QJZ131098 QTV131081:QTV131098 RDR131081:RDR131098 RNN131081:RNN131098 RXJ131081:RXJ131098 SHF131081:SHF131098 SRB131081:SRB131098 TAX131081:TAX131098 TKT131081:TKT131098 TUP131081:TUP131098 UEL131081:UEL131098 UOH131081:UOH131098 UYD131081:UYD131098 VHZ131081:VHZ131098 VRV131081:VRV131098 WBR131081:WBR131098 WLN131081:WLN131098 WVJ131081:WVJ131098 B196617:B196634 IX196617:IX196634 ST196617:ST196634 ACP196617:ACP196634 AML196617:AML196634 AWH196617:AWH196634 BGD196617:BGD196634 BPZ196617:BPZ196634 BZV196617:BZV196634 CJR196617:CJR196634 CTN196617:CTN196634 DDJ196617:DDJ196634 DNF196617:DNF196634 DXB196617:DXB196634 EGX196617:EGX196634 EQT196617:EQT196634 FAP196617:FAP196634 FKL196617:FKL196634 FUH196617:FUH196634 GED196617:GED196634 GNZ196617:GNZ196634 GXV196617:GXV196634 HHR196617:HHR196634 HRN196617:HRN196634 IBJ196617:IBJ196634 ILF196617:ILF196634 IVB196617:IVB196634 JEX196617:JEX196634 JOT196617:JOT196634 JYP196617:JYP196634 KIL196617:KIL196634 KSH196617:KSH196634 LCD196617:LCD196634 LLZ196617:LLZ196634 LVV196617:LVV196634 MFR196617:MFR196634 MPN196617:MPN196634 MZJ196617:MZJ196634 NJF196617:NJF196634 NTB196617:NTB196634 OCX196617:OCX196634 OMT196617:OMT196634 OWP196617:OWP196634 PGL196617:PGL196634 PQH196617:PQH196634 QAD196617:QAD196634 QJZ196617:QJZ196634 QTV196617:QTV196634 RDR196617:RDR196634 RNN196617:RNN196634 RXJ196617:RXJ196634 SHF196617:SHF196634 SRB196617:SRB196634 TAX196617:TAX196634 TKT196617:TKT196634 TUP196617:TUP196634 UEL196617:UEL196634 UOH196617:UOH196634 UYD196617:UYD196634 VHZ196617:VHZ196634 VRV196617:VRV196634 WBR196617:WBR196634 WLN196617:WLN196634 WVJ196617:WVJ196634 B262153:B262170 IX262153:IX262170 ST262153:ST262170 ACP262153:ACP262170 AML262153:AML262170 AWH262153:AWH262170 BGD262153:BGD262170 BPZ262153:BPZ262170 BZV262153:BZV262170 CJR262153:CJR262170 CTN262153:CTN262170 DDJ262153:DDJ262170 DNF262153:DNF262170 DXB262153:DXB262170 EGX262153:EGX262170 EQT262153:EQT262170 FAP262153:FAP262170 FKL262153:FKL262170 FUH262153:FUH262170 GED262153:GED262170 GNZ262153:GNZ262170 GXV262153:GXV262170 HHR262153:HHR262170 HRN262153:HRN262170 IBJ262153:IBJ262170 ILF262153:ILF262170 IVB262153:IVB262170 JEX262153:JEX262170 JOT262153:JOT262170 JYP262153:JYP262170 KIL262153:KIL262170 KSH262153:KSH262170 LCD262153:LCD262170 LLZ262153:LLZ262170 LVV262153:LVV262170 MFR262153:MFR262170 MPN262153:MPN262170 MZJ262153:MZJ262170 NJF262153:NJF262170 NTB262153:NTB262170 OCX262153:OCX262170 OMT262153:OMT262170 OWP262153:OWP262170 PGL262153:PGL262170 PQH262153:PQH262170 QAD262153:QAD262170 QJZ262153:QJZ262170 QTV262153:QTV262170 RDR262153:RDR262170 RNN262153:RNN262170 RXJ262153:RXJ262170 SHF262153:SHF262170 SRB262153:SRB262170 TAX262153:TAX262170 TKT262153:TKT262170 TUP262153:TUP262170 UEL262153:UEL262170 UOH262153:UOH262170 UYD262153:UYD262170 VHZ262153:VHZ262170 VRV262153:VRV262170 WBR262153:WBR262170 WLN262153:WLN262170 WVJ262153:WVJ262170 B327689:B327706 IX327689:IX327706 ST327689:ST327706 ACP327689:ACP327706 AML327689:AML327706 AWH327689:AWH327706 BGD327689:BGD327706 BPZ327689:BPZ327706 BZV327689:BZV327706 CJR327689:CJR327706 CTN327689:CTN327706 DDJ327689:DDJ327706 DNF327689:DNF327706 DXB327689:DXB327706 EGX327689:EGX327706 EQT327689:EQT327706 FAP327689:FAP327706 FKL327689:FKL327706 FUH327689:FUH327706 GED327689:GED327706 GNZ327689:GNZ327706 GXV327689:GXV327706 HHR327689:HHR327706 HRN327689:HRN327706 IBJ327689:IBJ327706 ILF327689:ILF327706 IVB327689:IVB327706 JEX327689:JEX327706 JOT327689:JOT327706 JYP327689:JYP327706 KIL327689:KIL327706 KSH327689:KSH327706 LCD327689:LCD327706 LLZ327689:LLZ327706 LVV327689:LVV327706 MFR327689:MFR327706 MPN327689:MPN327706 MZJ327689:MZJ327706 NJF327689:NJF327706 NTB327689:NTB327706 OCX327689:OCX327706 OMT327689:OMT327706 OWP327689:OWP327706 PGL327689:PGL327706 PQH327689:PQH327706 QAD327689:QAD327706 QJZ327689:QJZ327706 QTV327689:QTV327706 RDR327689:RDR327706 RNN327689:RNN327706 RXJ327689:RXJ327706 SHF327689:SHF327706 SRB327689:SRB327706 TAX327689:TAX327706 TKT327689:TKT327706 TUP327689:TUP327706 UEL327689:UEL327706 UOH327689:UOH327706 UYD327689:UYD327706 VHZ327689:VHZ327706 VRV327689:VRV327706 WBR327689:WBR327706 WLN327689:WLN327706 WVJ327689:WVJ327706 B393225:B393242 IX393225:IX393242 ST393225:ST393242 ACP393225:ACP393242 AML393225:AML393242 AWH393225:AWH393242 BGD393225:BGD393242 BPZ393225:BPZ393242 BZV393225:BZV393242 CJR393225:CJR393242 CTN393225:CTN393242 DDJ393225:DDJ393242 DNF393225:DNF393242 DXB393225:DXB393242 EGX393225:EGX393242 EQT393225:EQT393242 FAP393225:FAP393242 FKL393225:FKL393242 FUH393225:FUH393242 GED393225:GED393242 GNZ393225:GNZ393242 GXV393225:GXV393242 HHR393225:HHR393242 HRN393225:HRN393242 IBJ393225:IBJ393242 ILF393225:ILF393242 IVB393225:IVB393242 JEX393225:JEX393242 JOT393225:JOT393242 JYP393225:JYP393242 KIL393225:KIL393242 KSH393225:KSH393242 LCD393225:LCD393242 LLZ393225:LLZ393242 LVV393225:LVV393242 MFR393225:MFR393242 MPN393225:MPN393242 MZJ393225:MZJ393242 NJF393225:NJF393242 NTB393225:NTB393242 OCX393225:OCX393242 OMT393225:OMT393242 OWP393225:OWP393242 PGL393225:PGL393242 PQH393225:PQH393242 QAD393225:QAD393242 QJZ393225:QJZ393242 QTV393225:QTV393242 RDR393225:RDR393242 RNN393225:RNN393242 RXJ393225:RXJ393242 SHF393225:SHF393242 SRB393225:SRB393242 TAX393225:TAX393242 TKT393225:TKT393242 TUP393225:TUP393242 UEL393225:UEL393242 UOH393225:UOH393242 UYD393225:UYD393242 VHZ393225:VHZ393242 VRV393225:VRV393242 WBR393225:WBR393242 WLN393225:WLN393242 WVJ393225:WVJ393242 B458761:B458778 IX458761:IX458778 ST458761:ST458778 ACP458761:ACP458778 AML458761:AML458778 AWH458761:AWH458778 BGD458761:BGD458778 BPZ458761:BPZ458778 BZV458761:BZV458778 CJR458761:CJR458778 CTN458761:CTN458778 DDJ458761:DDJ458778 DNF458761:DNF458778 DXB458761:DXB458778 EGX458761:EGX458778 EQT458761:EQT458778 FAP458761:FAP458778 FKL458761:FKL458778 FUH458761:FUH458778 GED458761:GED458778 GNZ458761:GNZ458778 GXV458761:GXV458778 HHR458761:HHR458778 HRN458761:HRN458778 IBJ458761:IBJ458778 ILF458761:ILF458778 IVB458761:IVB458778 JEX458761:JEX458778 JOT458761:JOT458778 JYP458761:JYP458778 KIL458761:KIL458778 KSH458761:KSH458778 LCD458761:LCD458778 LLZ458761:LLZ458778 LVV458761:LVV458778 MFR458761:MFR458778 MPN458761:MPN458778 MZJ458761:MZJ458778 NJF458761:NJF458778 NTB458761:NTB458778 OCX458761:OCX458778 OMT458761:OMT458778 OWP458761:OWP458778 PGL458761:PGL458778 PQH458761:PQH458778 QAD458761:QAD458778 QJZ458761:QJZ458778 QTV458761:QTV458778 RDR458761:RDR458778 RNN458761:RNN458778 RXJ458761:RXJ458778 SHF458761:SHF458778 SRB458761:SRB458778 TAX458761:TAX458778 TKT458761:TKT458778 TUP458761:TUP458778 UEL458761:UEL458778 UOH458761:UOH458778 UYD458761:UYD458778 VHZ458761:VHZ458778 VRV458761:VRV458778 WBR458761:WBR458778 WLN458761:WLN458778 WVJ458761:WVJ458778 B524297:B524314 IX524297:IX524314 ST524297:ST524314 ACP524297:ACP524314 AML524297:AML524314 AWH524297:AWH524314 BGD524297:BGD524314 BPZ524297:BPZ524314 BZV524297:BZV524314 CJR524297:CJR524314 CTN524297:CTN524314 DDJ524297:DDJ524314 DNF524297:DNF524314 DXB524297:DXB524314 EGX524297:EGX524314 EQT524297:EQT524314 FAP524297:FAP524314 FKL524297:FKL524314 FUH524297:FUH524314 GED524297:GED524314 GNZ524297:GNZ524314 GXV524297:GXV524314 HHR524297:HHR524314 HRN524297:HRN524314 IBJ524297:IBJ524314 ILF524297:ILF524314 IVB524297:IVB524314 JEX524297:JEX524314 JOT524297:JOT524314 JYP524297:JYP524314 KIL524297:KIL524314 KSH524297:KSH524314 LCD524297:LCD524314 LLZ524297:LLZ524314 LVV524297:LVV524314 MFR524297:MFR524314 MPN524297:MPN524314 MZJ524297:MZJ524314 NJF524297:NJF524314 NTB524297:NTB524314 OCX524297:OCX524314 OMT524297:OMT524314 OWP524297:OWP524314 PGL524297:PGL524314 PQH524297:PQH524314 QAD524297:QAD524314 QJZ524297:QJZ524314 QTV524297:QTV524314 RDR524297:RDR524314 RNN524297:RNN524314 RXJ524297:RXJ524314 SHF524297:SHF524314 SRB524297:SRB524314 TAX524297:TAX524314 TKT524297:TKT524314 TUP524297:TUP524314 UEL524297:UEL524314 UOH524297:UOH524314 UYD524297:UYD524314 VHZ524297:VHZ524314 VRV524297:VRV524314 WBR524297:WBR524314 WLN524297:WLN524314 WVJ524297:WVJ524314 B589833:B589850 IX589833:IX589850 ST589833:ST589850 ACP589833:ACP589850 AML589833:AML589850 AWH589833:AWH589850 BGD589833:BGD589850 BPZ589833:BPZ589850 BZV589833:BZV589850 CJR589833:CJR589850 CTN589833:CTN589850 DDJ589833:DDJ589850 DNF589833:DNF589850 DXB589833:DXB589850 EGX589833:EGX589850 EQT589833:EQT589850 FAP589833:FAP589850 FKL589833:FKL589850 FUH589833:FUH589850 GED589833:GED589850 GNZ589833:GNZ589850 GXV589833:GXV589850 HHR589833:HHR589850 HRN589833:HRN589850 IBJ589833:IBJ589850 ILF589833:ILF589850 IVB589833:IVB589850 JEX589833:JEX589850 JOT589833:JOT589850 JYP589833:JYP589850 KIL589833:KIL589850 KSH589833:KSH589850 LCD589833:LCD589850 LLZ589833:LLZ589850 LVV589833:LVV589850 MFR589833:MFR589850 MPN589833:MPN589850 MZJ589833:MZJ589850 NJF589833:NJF589850 NTB589833:NTB589850 OCX589833:OCX589850 OMT589833:OMT589850 OWP589833:OWP589850 PGL589833:PGL589850 PQH589833:PQH589850 QAD589833:QAD589850 QJZ589833:QJZ589850 QTV589833:QTV589850 RDR589833:RDR589850 RNN589833:RNN589850 RXJ589833:RXJ589850 SHF589833:SHF589850 SRB589833:SRB589850 TAX589833:TAX589850 TKT589833:TKT589850 TUP589833:TUP589850 UEL589833:UEL589850 UOH589833:UOH589850 UYD589833:UYD589850 VHZ589833:VHZ589850 VRV589833:VRV589850 WBR589833:WBR589850 WLN589833:WLN589850 WVJ589833:WVJ589850 B655369:B655386 IX655369:IX655386 ST655369:ST655386 ACP655369:ACP655386 AML655369:AML655386 AWH655369:AWH655386 BGD655369:BGD655386 BPZ655369:BPZ655386 BZV655369:BZV655386 CJR655369:CJR655386 CTN655369:CTN655386 DDJ655369:DDJ655386 DNF655369:DNF655386 DXB655369:DXB655386 EGX655369:EGX655386 EQT655369:EQT655386 FAP655369:FAP655386 FKL655369:FKL655386 FUH655369:FUH655386 GED655369:GED655386 GNZ655369:GNZ655386 GXV655369:GXV655386 HHR655369:HHR655386 HRN655369:HRN655386 IBJ655369:IBJ655386 ILF655369:ILF655386 IVB655369:IVB655386 JEX655369:JEX655386 JOT655369:JOT655386 JYP655369:JYP655386 KIL655369:KIL655386 KSH655369:KSH655386 LCD655369:LCD655386 LLZ655369:LLZ655386 LVV655369:LVV655386 MFR655369:MFR655386 MPN655369:MPN655386 MZJ655369:MZJ655386 NJF655369:NJF655386 NTB655369:NTB655386 OCX655369:OCX655386 OMT655369:OMT655386 OWP655369:OWP655386 PGL655369:PGL655386 PQH655369:PQH655386 QAD655369:QAD655386 QJZ655369:QJZ655386 QTV655369:QTV655386 RDR655369:RDR655386 RNN655369:RNN655386 RXJ655369:RXJ655386 SHF655369:SHF655386 SRB655369:SRB655386 TAX655369:TAX655386 TKT655369:TKT655386 TUP655369:TUP655386 UEL655369:UEL655386 UOH655369:UOH655386 UYD655369:UYD655386 VHZ655369:VHZ655386 VRV655369:VRV655386 WBR655369:WBR655386 WLN655369:WLN655386 WVJ655369:WVJ655386 B720905:B720922 IX720905:IX720922 ST720905:ST720922 ACP720905:ACP720922 AML720905:AML720922 AWH720905:AWH720922 BGD720905:BGD720922 BPZ720905:BPZ720922 BZV720905:BZV720922 CJR720905:CJR720922 CTN720905:CTN720922 DDJ720905:DDJ720922 DNF720905:DNF720922 DXB720905:DXB720922 EGX720905:EGX720922 EQT720905:EQT720922 FAP720905:FAP720922 FKL720905:FKL720922 FUH720905:FUH720922 GED720905:GED720922 GNZ720905:GNZ720922 GXV720905:GXV720922 HHR720905:HHR720922 HRN720905:HRN720922 IBJ720905:IBJ720922 ILF720905:ILF720922 IVB720905:IVB720922 JEX720905:JEX720922 JOT720905:JOT720922 JYP720905:JYP720922 KIL720905:KIL720922 KSH720905:KSH720922 LCD720905:LCD720922 LLZ720905:LLZ720922 LVV720905:LVV720922 MFR720905:MFR720922 MPN720905:MPN720922 MZJ720905:MZJ720922 NJF720905:NJF720922 NTB720905:NTB720922 OCX720905:OCX720922 OMT720905:OMT720922 OWP720905:OWP720922 PGL720905:PGL720922 PQH720905:PQH720922 QAD720905:QAD720922 QJZ720905:QJZ720922 QTV720905:QTV720922 RDR720905:RDR720922 RNN720905:RNN720922 RXJ720905:RXJ720922 SHF720905:SHF720922 SRB720905:SRB720922 TAX720905:TAX720922 TKT720905:TKT720922 TUP720905:TUP720922 UEL720905:UEL720922 UOH720905:UOH720922 UYD720905:UYD720922 VHZ720905:VHZ720922 VRV720905:VRV720922 WBR720905:WBR720922 WLN720905:WLN720922 WVJ720905:WVJ720922 B786441:B786458 IX786441:IX786458 ST786441:ST786458 ACP786441:ACP786458 AML786441:AML786458 AWH786441:AWH786458 BGD786441:BGD786458 BPZ786441:BPZ786458 BZV786441:BZV786458 CJR786441:CJR786458 CTN786441:CTN786458 DDJ786441:DDJ786458 DNF786441:DNF786458 DXB786441:DXB786458 EGX786441:EGX786458 EQT786441:EQT786458 FAP786441:FAP786458 FKL786441:FKL786458 FUH786441:FUH786458 GED786441:GED786458 GNZ786441:GNZ786458 GXV786441:GXV786458 HHR786441:HHR786458 HRN786441:HRN786458 IBJ786441:IBJ786458 ILF786441:ILF786458 IVB786441:IVB786458 JEX786441:JEX786458 JOT786441:JOT786458 JYP786441:JYP786458 KIL786441:KIL786458 KSH786441:KSH786458 LCD786441:LCD786458 LLZ786441:LLZ786458 LVV786441:LVV786458 MFR786441:MFR786458 MPN786441:MPN786458 MZJ786441:MZJ786458 NJF786441:NJF786458 NTB786441:NTB786458 OCX786441:OCX786458 OMT786441:OMT786458 OWP786441:OWP786458 PGL786441:PGL786458 PQH786441:PQH786458 QAD786441:QAD786458 QJZ786441:QJZ786458 QTV786441:QTV786458 RDR786441:RDR786458 RNN786441:RNN786458 RXJ786441:RXJ786458 SHF786441:SHF786458 SRB786441:SRB786458 TAX786441:TAX786458 TKT786441:TKT786458 TUP786441:TUP786458 UEL786441:UEL786458 UOH786441:UOH786458 UYD786441:UYD786458 VHZ786441:VHZ786458 VRV786441:VRV786458 WBR786441:WBR786458 WLN786441:WLN786458 WVJ786441:WVJ786458 B851977:B851994 IX851977:IX851994 ST851977:ST851994 ACP851977:ACP851994 AML851977:AML851994 AWH851977:AWH851994 BGD851977:BGD851994 BPZ851977:BPZ851994 BZV851977:BZV851994 CJR851977:CJR851994 CTN851977:CTN851994 DDJ851977:DDJ851994 DNF851977:DNF851994 DXB851977:DXB851994 EGX851977:EGX851994 EQT851977:EQT851994 FAP851977:FAP851994 FKL851977:FKL851994 FUH851977:FUH851994 GED851977:GED851994 GNZ851977:GNZ851994 GXV851977:GXV851994 HHR851977:HHR851994 HRN851977:HRN851994 IBJ851977:IBJ851994 ILF851977:ILF851994 IVB851977:IVB851994 JEX851977:JEX851994 JOT851977:JOT851994 JYP851977:JYP851994 KIL851977:KIL851994 KSH851977:KSH851994 LCD851977:LCD851994 LLZ851977:LLZ851994 LVV851977:LVV851994 MFR851977:MFR851994 MPN851977:MPN851994 MZJ851977:MZJ851994 NJF851977:NJF851994 NTB851977:NTB851994 OCX851977:OCX851994 OMT851977:OMT851994 OWP851977:OWP851994 PGL851977:PGL851994 PQH851977:PQH851994 QAD851977:QAD851994 QJZ851977:QJZ851994 QTV851977:QTV851994 RDR851977:RDR851994 RNN851977:RNN851994 RXJ851977:RXJ851994 SHF851977:SHF851994 SRB851977:SRB851994 TAX851977:TAX851994 TKT851977:TKT851994 TUP851977:TUP851994 UEL851977:UEL851994 UOH851977:UOH851994 UYD851977:UYD851994 VHZ851977:VHZ851994 VRV851977:VRV851994 WBR851977:WBR851994 WLN851977:WLN851994 WVJ851977:WVJ851994 B917513:B917530 IX917513:IX917530 ST917513:ST917530 ACP917513:ACP917530 AML917513:AML917530 AWH917513:AWH917530 BGD917513:BGD917530 BPZ917513:BPZ917530 BZV917513:BZV917530 CJR917513:CJR917530 CTN917513:CTN917530 DDJ917513:DDJ917530 DNF917513:DNF917530 DXB917513:DXB917530 EGX917513:EGX917530 EQT917513:EQT917530 FAP917513:FAP917530 FKL917513:FKL917530 FUH917513:FUH917530 GED917513:GED917530 GNZ917513:GNZ917530 GXV917513:GXV917530 HHR917513:HHR917530 HRN917513:HRN917530 IBJ917513:IBJ917530 ILF917513:ILF917530 IVB917513:IVB917530 JEX917513:JEX917530 JOT917513:JOT917530 JYP917513:JYP917530 KIL917513:KIL917530 KSH917513:KSH917530 LCD917513:LCD917530 LLZ917513:LLZ917530 LVV917513:LVV917530 MFR917513:MFR917530 MPN917513:MPN917530 MZJ917513:MZJ917530 NJF917513:NJF917530 NTB917513:NTB917530 OCX917513:OCX917530 OMT917513:OMT917530 OWP917513:OWP917530 PGL917513:PGL917530 PQH917513:PQH917530 QAD917513:QAD917530 QJZ917513:QJZ917530 QTV917513:QTV917530 RDR917513:RDR917530 RNN917513:RNN917530 RXJ917513:RXJ917530 SHF917513:SHF917530 SRB917513:SRB917530 TAX917513:TAX917530 TKT917513:TKT917530 TUP917513:TUP917530 UEL917513:UEL917530 UOH917513:UOH917530 UYD917513:UYD917530 VHZ917513:VHZ917530 VRV917513:VRV917530 WBR917513:WBR917530 WLN917513:WLN917530 WVJ917513:WVJ917530" xr:uid="{00000000-0002-0000-0B00-000000000000}">
      <formula1>trung</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334"/>
  <sheetViews>
    <sheetView topLeftCell="A9" workbookViewId="0">
      <selection activeCell="C35" sqref="C35:E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45"/>
      <c r="G3" s="102"/>
      <c r="H3" s="103"/>
    </row>
    <row r="4" spans="1:8" s="98" customFormat="1" ht="18" customHeight="1">
      <c r="A4" s="414"/>
      <c r="B4" s="414"/>
      <c r="C4" s="415" t="s">
        <v>1740</v>
      </c>
      <c r="D4" s="416"/>
      <c r="E4" s="416"/>
      <c r="F4" s="416"/>
      <c r="G4" s="416"/>
      <c r="H4" s="416"/>
    </row>
    <row r="5" spans="1:8" s="98" customFormat="1" ht="15.6">
      <c r="A5" s="104"/>
      <c r="B5" s="104"/>
      <c r="C5" s="144"/>
      <c r="D5" s="105"/>
      <c r="E5" s="106"/>
      <c r="F5" s="144"/>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19" t="s">
        <v>1791</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1792</v>
      </c>
      <c r="C13" s="425"/>
      <c r="D13" s="425"/>
      <c r="E13" s="425"/>
      <c r="F13" s="425"/>
      <c r="G13" s="73">
        <f>G14</f>
        <v>261960000</v>
      </c>
      <c r="H13" s="74"/>
    </row>
    <row r="14" spans="1:8" s="131" customFormat="1" ht="40.5" customHeight="1">
      <c r="A14" s="123"/>
      <c r="B14" s="124" t="s">
        <v>1757</v>
      </c>
      <c r="C14" s="125" t="s">
        <v>1753</v>
      </c>
      <c r="D14" s="126">
        <v>22.2</v>
      </c>
      <c r="E14" s="127">
        <v>11800000</v>
      </c>
      <c r="F14" s="128">
        <v>1</v>
      </c>
      <c r="G14" s="129">
        <f>D14*E14*F14</f>
        <v>261960000</v>
      </c>
      <c r="H14" s="130"/>
    </row>
    <row r="15" spans="1:8" ht="27" customHeight="1">
      <c r="A15" s="75" t="s">
        <v>18</v>
      </c>
      <c r="B15" s="426" t="s">
        <v>1725</v>
      </c>
      <c r="C15" s="426"/>
      <c r="D15" s="426"/>
      <c r="E15" s="426"/>
      <c r="F15" s="426"/>
      <c r="G15" s="76">
        <f>SUM(G16:G24)</f>
        <v>25786615.673433334</v>
      </c>
      <c r="H15" s="11"/>
    </row>
    <row r="16" spans="1:8" ht="46.8">
      <c r="A16" s="77">
        <v>1</v>
      </c>
      <c r="B16" s="78" t="s">
        <v>1793</v>
      </c>
      <c r="C16" s="14" t="s">
        <v>1754</v>
      </c>
      <c r="D16" s="132">
        <f>(9*1.5*0.11)+(1.1*0.9*0.11)+(1.2*0.8*0.11)</f>
        <v>1.6995</v>
      </c>
      <c r="E16" s="15">
        <v>2126713</v>
      </c>
      <c r="F16" s="14">
        <v>1</v>
      </c>
      <c r="G16" s="79">
        <f t="shared" ref="G16:G24" si="0">D16*E16*F16</f>
        <v>3614348.7434999999</v>
      </c>
      <c r="H16" s="15"/>
    </row>
    <row r="17" spans="1:8" ht="31.2">
      <c r="A17" s="77">
        <v>2</v>
      </c>
      <c r="B17" s="78" t="s">
        <v>1794</v>
      </c>
      <c r="C17" s="14" t="s">
        <v>1754</v>
      </c>
      <c r="D17" s="132">
        <f>2.3*2.7*0.22</f>
        <v>1.3662000000000001</v>
      </c>
      <c r="E17" s="15">
        <v>1919493</v>
      </c>
      <c r="F17" s="14">
        <v>1</v>
      </c>
      <c r="G17" s="79">
        <f t="shared" si="0"/>
        <v>2622411.3366</v>
      </c>
      <c r="H17" s="15"/>
    </row>
    <row r="18" spans="1:8" ht="15.6">
      <c r="A18" s="77"/>
      <c r="B18" s="78" t="s">
        <v>1961</v>
      </c>
      <c r="C18" s="14" t="s">
        <v>66</v>
      </c>
      <c r="D18" s="132">
        <f>2.3*2.7*2</f>
        <v>12.42</v>
      </c>
      <c r="E18" s="15">
        <v>141099</v>
      </c>
      <c r="F18" s="14">
        <v>1</v>
      </c>
      <c r="G18" s="79">
        <f t="shared" si="0"/>
        <v>1752449.58</v>
      </c>
      <c r="H18" s="15"/>
    </row>
    <row r="19" spans="1:8" ht="31.2">
      <c r="A19" s="77">
        <v>3</v>
      </c>
      <c r="B19" s="78" t="s">
        <v>1795</v>
      </c>
      <c r="C19" s="14" t="s">
        <v>66</v>
      </c>
      <c r="D19" s="132">
        <f>2*5.8</f>
        <v>11.6</v>
      </c>
      <c r="E19" s="15">
        <v>664028</v>
      </c>
      <c r="F19" s="14">
        <v>1</v>
      </c>
      <c r="G19" s="79">
        <f t="shared" si="0"/>
        <v>7702724.7999999998</v>
      </c>
      <c r="H19" s="15"/>
    </row>
    <row r="20" spans="1:8" ht="15.6">
      <c r="A20" s="77">
        <v>4</v>
      </c>
      <c r="B20" s="78" t="s">
        <v>1796</v>
      </c>
      <c r="C20" s="14" t="s">
        <v>1754</v>
      </c>
      <c r="D20" s="132">
        <f>2*5.8*0.1</f>
        <v>1.1599999999999999</v>
      </c>
      <c r="E20" s="15">
        <v>1629758</v>
      </c>
      <c r="F20" s="14">
        <v>1</v>
      </c>
      <c r="G20" s="79">
        <f t="shared" si="0"/>
        <v>1890519.2799999998</v>
      </c>
      <c r="H20" s="15"/>
    </row>
    <row r="21" spans="1:8" ht="15.6">
      <c r="A21" s="77">
        <v>5</v>
      </c>
      <c r="B21" s="78" t="s">
        <v>1797</v>
      </c>
      <c r="C21" s="14" t="s">
        <v>66</v>
      </c>
      <c r="D21" s="132">
        <f>2.2*3.9</f>
        <v>8.58</v>
      </c>
      <c r="E21" s="15">
        <v>550000</v>
      </c>
      <c r="F21" s="14">
        <v>1</v>
      </c>
      <c r="G21" s="79">
        <f t="shared" si="0"/>
        <v>4719000</v>
      </c>
      <c r="H21" s="15"/>
    </row>
    <row r="22" spans="1:8" ht="31.2">
      <c r="A22" s="77">
        <v>6</v>
      </c>
      <c r="B22" s="78" t="s">
        <v>1798</v>
      </c>
      <c r="C22" s="14" t="s">
        <v>66</v>
      </c>
      <c r="D22" s="132">
        <f>(0.5*6)+(1.1*1.2)</f>
        <v>4.32</v>
      </c>
      <c r="E22" s="15">
        <v>550000</v>
      </c>
      <c r="F22" s="14">
        <v>1</v>
      </c>
      <c r="G22" s="79">
        <f t="shared" si="0"/>
        <v>2376000</v>
      </c>
      <c r="H22" s="15"/>
    </row>
    <row r="23" spans="1:8" ht="46.8">
      <c r="A23" s="77">
        <v>7</v>
      </c>
      <c r="B23" s="78" t="s">
        <v>2051</v>
      </c>
      <c r="C23" s="14" t="s">
        <v>1755</v>
      </c>
      <c r="D23" s="132">
        <f>(8.44/6)*1*2</f>
        <v>2.813333333333333</v>
      </c>
      <c r="E23" s="15">
        <v>19900</v>
      </c>
      <c r="F23" s="14">
        <v>1</v>
      </c>
      <c r="G23" s="79">
        <f t="shared" si="0"/>
        <v>55985.333333333328</v>
      </c>
      <c r="H23" s="15"/>
    </row>
    <row r="24" spans="1:8" ht="15.6">
      <c r="A24" s="77">
        <v>8</v>
      </c>
      <c r="B24" s="78" t="s">
        <v>1799</v>
      </c>
      <c r="C24" s="14" t="s">
        <v>66</v>
      </c>
      <c r="D24" s="132">
        <f>(2*2+5.8)*0.5</f>
        <v>4.9000000000000004</v>
      </c>
      <c r="E24" s="15">
        <v>214934</v>
      </c>
      <c r="F24" s="14">
        <v>1</v>
      </c>
      <c r="G24" s="79">
        <f t="shared" si="0"/>
        <v>1053176.6000000001</v>
      </c>
      <c r="H24" s="15"/>
    </row>
    <row r="25" spans="1:8" ht="24" customHeight="1">
      <c r="A25" s="75" t="s">
        <v>19</v>
      </c>
      <c r="B25" s="426" t="s">
        <v>1727</v>
      </c>
      <c r="C25" s="426"/>
      <c r="D25" s="426"/>
      <c r="E25" s="426"/>
      <c r="F25" s="426"/>
      <c r="G25" s="76">
        <f>SUM(G26:G29)</f>
        <v>4031000</v>
      </c>
      <c r="H25" s="11"/>
    </row>
    <row r="26" spans="1:8" s="12" customFormat="1" ht="34.200000000000003" customHeight="1">
      <c r="A26" s="94">
        <v>1</v>
      </c>
      <c r="B26" s="13" t="s">
        <v>816</v>
      </c>
      <c r="C26" s="14" t="s">
        <v>1724</v>
      </c>
      <c r="D26" s="14">
        <v>1</v>
      </c>
      <c r="E26" s="79" t="str">
        <f>VLOOKUP(B26,'[20]Đơn giá cây cối'!$A$2:$C$1361,3,0)</f>
        <v>2.737.000</v>
      </c>
      <c r="F26" s="137">
        <v>1</v>
      </c>
      <c r="G26" s="79">
        <f>D26*E26*F26</f>
        <v>2737000</v>
      </c>
      <c r="H26" s="95"/>
    </row>
    <row r="27" spans="1:8" s="12" customFormat="1" ht="34.200000000000003" customHeight="1">
      <c r="A27" s="94">
        <v>2</v>
      </c>
      <c r="B27" s="13" t="s">
        <v>793</v>
      </c>
      <c r="C27" s="14" t="s">
        <v>1724</v>
      </c>
      <c r="D27" s="14">
        <v>1</v>
      </c>
      <c r="E27" s="79" t="str">
        <f>VLOOKUP(B27,'[20]Đơn giá cây cối'!$A$2:$C$1361,3,0)</f>
        <v>547.000</v>
      </c>
      <c r="F27" s="137">
        <v>1</v>
      </c>
      <c r="G27" s="79">
        <f t="shared" ref="G27:G29" si="1">D27*E27*F27</f>
        <v>547000</v>
      </c>
      <c r="H27" s="95"/>
    </row>
    <row r="28" spans="1:8" s="12" customFormat="1" ht="34.200000000000003" customHeight="1">
      <c r="A28" s="94">
        <v>3</v>
      </c>
      <c r="B28" s="13" t="s">
        <v>815</v>
      </c>
      <c r="C28" s="14" t="s">
        <v>1724</v>
      </c>
      <c r="D28" s="14">
        <v>1</v>
      </c>
      <c r="E28" s="79" t="str">
        <f>VLOOKUP(B28,'[20]Đơn giá cây cối'!$A$2:$C$1361,3,0)</f>
        <v>249.000</v>
      </c>
      <c r="F28" s="137">
        <v>1</v>
      </c>
      <c r="G28" s="79">
        <f t="shared" si="1"/>
        <v>249000</v>
      </c>
      <c r="H28" s="95"/>
    </row>
    <row r="29" spans="1:8" s="12" customFormat="1" ht="34.200000000000003" customHeight="1">
      <c r="A29" s="94">
        <v>4</v>
      </c>
      <c r="B29" s="13" t="s">
        <v>815</v>
      </c>
      <c r="C29" s="14" t="s">
        <v>1724</v>
      </c>
      <c r="D29" s="14">
        <v>2</v>
      </c>
      <c r="E29" s="79" t="str">
        <f>VLOOKUP(B29,'[20]Đơn giá cây cối'!$A$2:$C$1361,3,0)</f>
        <v>249.000</v>
      </c>
      <c r="F29" s="137">
        <v>1</v>
      </c>
      <c r="G29" s="79">
        <f t="shared" si="1"/>
        <v>498000</v>
      </c>
      <c r="H29" s="95"/>
    </row>
    <row r="30" spans="1:8" ht="15.6">
      <c r="A30" s="80"/>
      <c r="B30" s="427" t="s">
        <v>62</v>
      </c>
      <c r="C30" s="428"/>
      <c r="D30" s="428"/>
      <c r="E30" s="428"/>
      <c r="F30" s="429"/>
      <c r="G30" s="81">
        <f>G13+G15+G25</f>
        <v>291777615.6734333</v>
      </c>
      <c r="H30" s="82"/>
    </row>
    <row r="31" spans="1:8" ht="15.6">
      <c r="A31" s="80"/>
      <c r="B31" s="427" t="s">
        <v>1726</v>
      </c>
      <c r="C31" s="428"/>
      <c r="D31" s="428"/>
      <c r="E31" s="428"/>
      <c r="F31" s="429"/>
      <c r="G31" s="81">
        <f>ROUND(G30,-3)</f>
        <v>291778000</v>
      </c>
      <c r="H31" s="82"/>
    </row>
    <row r="32" spans="1:8" ht="15.6">
      <c r="A32" s="430" t="e">
        <f ca="1">[19]!vnd(G31)</f>
        <v>#NAME?</v>
      </c>
      <c r="B32" s="431"/>
      <c r="C32" s="431"/>
      <c r="D32" s="431"/>
      <c r="E32" s="431"/>
      <c r="F32" s="431"/>
      <c r="G32" s="431"/>
      <c r="H32" s="432"/>
    </row>
    <row r="33" spans="1:8">
      <c r="A33" s="17"/>
      <c r="B33" s="17"/>
      <c r="C33" s="97"/>
      <c r="D33" s="20"/>
      <c r="E33" s="19"/>
      <c r="F33" s="97"/>
      <c r="G33" s="19"/>
      <c r="H33" s="17"/>
    </row>
    <row r="34" spans="1:8" s="109" customFormat="1" ht="16.5" customHeight="1">
      <c r="A34" s="108"/>
      <c r="B34" s="108"/>
      <c r="C34" s="424" t="s">
        <v>1742</v>
      </c>
      <c r="D34" s="424"/>
      <c r="E34" s="424"/>
      <c r="F34" s="424"/>
      <c r="G34" s="424"/>
      <c r="H34" s="424"/>
    </row>
    <row r="35" spans="1:8" s="109" customFormat="1" ht="16.5" customHeight="1">
      <c r="A35" s="423" t="s">
        <v>63</v>
      </c>
      <c r="B35" s="423"/>
      <c r="C35" s="424" t="s">
        <v>1743</v>
      </c>
      <c r="D35" s="424"/>
      <c r="E35" s="424"/>
      <c r="F35" s="424" t="s">
        <v>1744</v>
      </c>
      <c r="G35" s="424"/>
      <c r="H35" s="424"/>
    </row>
    <row r="36" spans="1:8" s="109" customFormat="1" ht="15.6">
      <c r="A36" s="108"/>
      <c r="B36" s="108"/>
      <c r="C36" s="108"/>
      <c r="D36" s="110"/>
      <c r="E36" s="111"/>
      <c r="F36" s="112"/>
      <c r="G36" s="111"/>
      <c r="H36" s="113"/>
    </row>
    <row r="37" spans="1:8" s="109" customFormat="1" ht="15.6">
      <c r="A37" s="108"/>
      <c r="B37" s="108"/>
      <c r="C37" s="108"/>
      <c r="D37" s="110"/>
      <c r="E37" s="111"/>
      <c r="F37" s="112"/>
      <c r="G37" s="114"/>
      <c r="H37" s="113"/>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6.5" customHeight="1">
      <c r="A41" s="108"/>
      <c r="B41" s="142" t="s">
        <v>64</v>
      </c>
      <c r="C41" s="424"/>
      <c r="D41" s="424"/>
      <c r="E41" s="424"/>
      <c r="F41" s="424" t="s">
        <v>1745</v>
      </c>
      <c r="G41" s="424"/>
      <c r="H41" s="424"/>
    </row>
    <row r="42" spans="1:8" s="109" customFormat="1" ht="15.6">
      <c r="A42" s="108"/>
      <c r="B42" s="142"/>
      <c r="C42" s="143"/>
      <c r="D42" s="143"/>
      <c r="E42" s="143"/>
      <c r="F42" s="143"/>
      <c r="G42" s="143"/>
      <c r="H42" s="143"/>
    </row>
    <row r="43" spans="1:8" s="109" customFormat="1" ht="15" customHeight="1">
      <c r="A43" s="424" t="s">
        <v>1746</v>
      </c>
      <c r="B43" s="424"/>
      <c r="C43" s="424"/>
      <c r="D43" s="424"/>
      <c r="E43" s="424" t="s">
        <v>1747</v>
      </c>
      <c r="F43" s="424"/>
      <c r="G43" s="424"/>
      <c r="H43" s="424"/>
    </row>
    <row r="44" spans="1:8" s="109" customFormat="1" ht="33.6" customHeight="1">
      <c r="A44" s="424" t="s">
        <v>1748</v>
      </c>
      <c r="B44" s="424"/>
      <c r="C44" s="424"/>
      <c r="D44" s="424"/>
      <c r="E44" s="424" t="s">
        <v>65</v>
      </c>
      <c r="F44" s="424"/>
      <c r="G44" s="424"/>
      <c r="H44" s="424"/>
    </row>
    <row r="45" spans="1:8" s="109" customFormat="1" ht="15.6">
      <c r="A45" s="108"/>
      <c r="B45" s="108"/>
      <c r="C45" s="108"/>
      <c r="D45" s="110"/>
      <c r="E45" s="111"/>
      <c r="F45" s="112"/>
      <c r="G45" s="111"/>
      <c r="H45" s="113"/>
    </row>
    <row r="46" spans="1:8" s="109" customFormat="1" ht="15.6">
      <c r="A46" s="108"/>
      <c r="B46" s="108"/>
      <c r="C46" s="108"/>
      <c r="D46" s="110"/>
      <c r="E46" s="111"/>
      <c r="F46" s="112"/>
      <c r="G46" s="111"/>
      <c r="H46" s="113"/>
    </row>
    <row r="47" spans="1:8" s="109" customFormat="1" ht="15.6">
      <c r="A47" s="108"/>
      <c r="B47" s="108"/>
      <c r="C47" s="108"/>
      <c r="D47" s="110"/>
      <c r="E47" s="111"/>
      <c r="F47" s="112"/>
      <c r="G47" s="111"/>
      <c r="H47" s="113"/>
    </row>
    <row r="48" spans="1:8" s="109" customFormat="1" ht="15.6">
      <c r="A48" s="108"/>
      <c r="B48" s="108"/>
      <c r="C48" s="108"/>
      <c r="D48" s="110"/>
      <c r="E48" s="111"/>
      <c r="F48" s="112"/>
      <c r="G48" s="111"/>
      <c r="H48" s="113"/>
    </row>
    <row r="49" spans="1:8" s="109" customFormat="1" ht="15.6">
      <c r="A49" s="108"/>
      <c r="B49" s="108"/>
      <c r="C49" s="108"/>
      <c r="D49" s="110"/>
      <c r="E49" s="111"/>
      <c r="F49" s="112"/>
      <c r="G49" s="111"/>
      <c r="H49" s="113"/>
    </row>
    <row r="50" spans="1:8" s="109" customFormat="1" ht="15.6" customHeight="1">
      <c r="A50" s="108"/>
      <c r="B50" s="108"/>
      <c r="C50" s="108"/>
      <c r="D50" s="115"/>
      <c r="E50" s="439" t="s">
        <v>1749</v>
      </c>
      <c r="F50" s="439"/>
      <c r="G50" s="439"/>
      <c r="H50" s="439"/>
    </row>
    <row r="51" spans="1:8" s="109" customFormat="1" ht="16.5" customHeight="1">
      <c r="A51" s="424" t="s">
        <v>1751</v>
      </c>
      <c r="B51" s="424"/>
      <c r="C51" s="424"/>
      <c r="D51" s="424"/>
      <c r="E51" s="424" t="s">
        <v>1750</v>
      </c>
      <c r="F51" s="424"/>
      <c r="G51" s="424"/>
      <c r="H51" s="424"/>
    </row>
    <row r="52" spans="1:8" s="118" customFormat="1" ht="16.2" customHeight="1">
      <c r="A52" s="440"/>
      <c r="B52" s="440"/>
      <c r="C52" s="116"/>
      <c r="D52" s="117"/>
      <c r="E52" s="440"/>
      <c r="F52" s="440"/>
      <c r="G52" s="440"/>
      <c r="H52" s="440"/>
    </row>
    <row r="53" spans="1:8" s="118" customFormat="1" ht="15.75" customHeight="1">
      <c r="A53" s="440"/>
      <c r="B53" s="440"/>
      <c r="C53" s="440"/>
      <c r="D53" s="440"/>
      <c r="E53" s="440"/>
      <c r="F53" s="440"/>
      <c r="G53" s="440"/>
      <c r="H53" s="440"/>
    </row>
    <row r="54" spans="1:8" s="98" customFormat="1" ht="16.2" customHeight="1">
      <c r="A54" s="436"/>
      <c r="B54" s="436"/>
      <c r="C54" s="436"/>
      <c r="D54" s="436"/>
      <c r="E54" s="119"/>
      <c r="F54" s="120"/>
      <c r="G54" s="119"/>
      <c r="H54" s="121"/>
    </row>
    <row r="55" spans="1:8" s="98" customFormat="1" ht="16.2" customHeight="1">
      <c r="A55" s="436"/>
      <c r="B55" s="436"/>
      <c r="C55" s="436"/>
      <c r="D55" s="436"/>
      <c r="E55" s="119"/>
      <c r="F55" s="120"/>
      <c r="G55" s="119"/>
      <c r="H55" s="121"/>
    </row>
    <row r="56" spans="1:8" s="98" customFormat="1" ht="16.2" customHeight="1">
      <c r="A56" s="121"/>
      <c r="B56" s="121"/>
      <c r="C56" s="121"/>
      <c r="D56" s="122"/>
      <c r="E56" s="119"/>
      <c r="F56" s="120"/>
      <c r="G56" s="119"/>
      <c r="H56" s="121"/>
    </row>
    <row r="57" spans="1:8" ht="16.2" customHeight="1">
      <c r="A57" s="83"/>
      <c r="B57" s="83"/>
      <c r="C57" s="83"/>
      <c r="D57" s="84"/>
      <c r="E57" s="85"/>
      <c r="F57" s="86"/>
      <c r="G57" s="85"/>
      <c r="H57" s="83"/>
    </row>
    <row r="58" spans="1:8" ht="16.2" customHeight="1">
      <c r="A58" s="83"/>
      <c r="B58" s="83"/>
      <c r="C58" s="83"/>
      <c r="D58" s="84"/>
      <c r="E58" s="85"/>
      <c r="F58" s="86"/>
      <c r="G58" s="85"/>
      <c r="H58" s="83"/>
    </row>
    <row r="59" spans="1:8" ht="16.2" customHeight="1">
      <c r="A59" s="83"/>
      <c r="B59" s="83"/>
      <c r="C59" s="83"/>
      <c r="D59" s="84"/>
      <c r="E59" s="85"/>
      <c r="F59" s="86"/>
      <c r="G59" s="85"/>
      <c r="H59" s="83"/>
    </row>
    <row r="60" spans="1:8" ht="16.2" customHeight="1">
      <c r="A60" s="83"/>
      <c r="B60" s="83"/>
      <c r="C60" s="83"/>
      <c r="D60" s="84"/>
      <c r="E60" s="437"/>
      <c r="F60" s="437"/>
      <c r="G60" s="437"/>
      <c r="H60" s="437"/>
    </row>
    <row r="61" spans="1:8" ht="20.25" customHeight="1">
      <c r="A61" s="438"/>
      <c r="B61" s="438"/>
      <c r="C61" s="438"/>
      <c r="D61" s="438"/>
      <c r="E61" s="438"/>
      <c r="F61" s="438"/>
      <c r="G61" s="438"/>
      <c r="H61" s="438"/>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D73" s="18"/>
      <c r="E73" s="19"/>
      <c r="F73" s="97"/>
      <c r="G73" s="19"/>
    </row>
    <row r="74" spans="3:7" s="17" customFormat="1" ht="16.2" customHeight="1">
      <c r="D74" s="18"/>
      <c r="E74" s="19"/>
      <c r="F74" s="97"/>
      <c r="G74" s="19"/>
    </row>
    <row r="75" spans="3:7" s="17" customFormat="1" ht="16.2" customHeight="1">
      <c r="D75" s="18"/>
      <c r="E75" s="19"/>
      <c r="F75" s="97"/>
      <c r="G75" s="19"/>
    </row>
    <row r="76" spans="3:7" s="17" customFormat="1" ht="16.2" customHeight="1">
      <c r="D76" s="18"/>
      <c r="E76" s="19"/>
      <c r="F76" s="97"/>
      <c r="G76" s="19"/>
    </row>
    <row r="77" spans="3:7" s="17" customFormat="1" ht="16.2" customHeight="1">
      <c r="D77" s="18"/>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s="17" customFormat="1" ht="16.2" customHeight="1">
      <c r="C87" s="97"/>
      <c r="D87" s="20"/>
      <c r="E87" s="19"/>
      <c r="F87" s="97"/>
      <c r="G87" s="19"/>
    </row>
    <row r="88" spans="3:7" s="17" customFormat="1" ht="16.2" customHeight="1">
      <c r="C88" s="97"/>
      <c r="D88" s="20"/>
      <c r="E88" s="19"/>
      <c r="F88" s="97"/>
      <c r="G88" s="19"/>
    </row>
    <row r="89" spans="3:7" s="17" customFormat="1" ht="16.2" customHeight="1">
      <c r="C89" s="97"/>
      <c r="D89" s="20"/>
      <c r="E89" s="19"/>
      <c r="F89" s="97"/>
      <c r="G89" s="19"/>
    </row>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ht="16.2" customHeight="1"/>
    <row r="235" ht="16.2" customHeight="1"/>
    <row r="236"/>
    <row r="237"/>
    <row r="238"/>
    <row r="239"/>
    <row r="240"/>
    <row r="241"/>
    <row r="242"/>
    <row r="243"/>
    <row r="244"/>
    <row r="245"/>
    <row r="246"/>
    <row r="247"/>
    <row r="248"/>
    <row r="249"/>
    <row r="250"/>
    <row r="25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sheetData>
  <mergeCells count="40">
    <mergeCell ref="A4:B4"/>
    <mergeCell ref="C4:H4"/>
    <mergeCell ref="A1:B1"/>
    <mergeCell ref="C1:H1"/>
    <mergeCell ref="A2:B2"/>
    <mergeCell ref="C2:H2"/>
    <mergeCell ref="A3:B3"/>
    <mergeCell ref="A32:H32"/>
    <mergeCell ref="A6:H6"/>
    <mergeCell ref="A7:H7"/>
    <mergeCell ref="A8:H8"/>
    <mergeCell ref="A9:H9"/>
    <mergeCell ref="A10:H10"/>
    <mergeCell ref="A11:H11"/>
    <mergeCell ref="B13:F13"/>
    <mergeCell ref="B15:F15"/>
    <mergeCell ref="B25:F25"/>
    <mergeCell ref="B30:F30"/>
    <mergeCell ref="B31:F31"/>
    <mergeCell ref="A51:D51"/>
    <mergeCell ref="E51:H51"/>
    <mergeCell ref="C34:H34"/>
    <mergeCell ref="A35:B35"/>
    <mergeCell ref="C35:E35"/>
    <mergeCell ref="F35:H35"/>
    <mergeCell ref="C41:E41"/>
    <mergeCell ref="F41:H41"/>
    <mergeCell ref="A43:D43"/>
    <mergeCell ref="E43:H43"/>
    <mergeCell ref="A44:D44"/>
    <mergeCell ref="E44:H44"/>
    <mergeCell ref="E50:H50"/>
    <mergeCell ref="E60:H60"/>
    <mergeCell ref="A61:H61"/>
    <mergeCell ref="A52:B52"/>
    <mergeCell ref="E52:H52"/>
    <mergeCell ref="A53:D53"/>
    <mergeCell ref="E53:H53"/>
    <mergeCell ref="A54:D54"/>
    <mergeCell ref="A55:D55"/>
  </mergeCells>
  <dataValidations count="2">
    <dataValidation type="list" allowBlank="1" showInputMessage="1" showErrorMessage="1" sqref="B26:B29" xr:uid="{00000000-0002-0000-0C00-000000000000}">
      <formula1>bichphuong</formula1>
    </dataValidation>
    <dataValidation type="list" allowBlank="1" showInputMessage="1" showErrorMessage="1" sqref="WVJ983053:WVJ983070 B983053:B983070 IX983053:IX983070 ST983053:ST983070 ACP983053:ACP983070 AML983053:AML983070 AWH983053:AWH983070 BGD983053:BGD983070 BPZ983053:BPZ983070 BZV983053:BZV983070 CJR983053:CJR983070 CTN983053:CTN983070 DDJ983053:DDJ983070 DNF983053:DNF983070 DXB983053:DXB983070 EGX983053:EGX983070 EQT983053:EQT983070 FAP983053:FAP983070 FKL983053:FKL983070 FUH983053:FUH983070 GED983053:GED983070 GNZ983053:GNZ983070 GXV983053:GXV983070 HHR983053:HHR983070 HRN983053:HRN983070 IBJ983053:IBJ983070 ILF983053:ILF983070 IVB983053:IVB983070 JEX983053:JEX983070 JOT983053:JOT983070 JYP983053:JYP983070 KIL983053:KIL983070 KSH983053:KSH983070 LCD983053:LCD983070 LLZ983053:LLZ983070 LVV983053:LVV983070 MFR983053:MFR983070 MPN983053:MPN983070 MZJ983053:MZJ983070 NJF983053:NJF983070 NTB983053:NTB983070 OCX983053:OCX983070 OMT983053:OMT983070 OWP983053:OWP983070 PGL983053:PGL983070 PQH983053:PQH983070 QAD983053:QAD983070 QJZ983053:QJZ983070 QTV983053:QTV983070 RDR983053:RDR983070 RNN983053:RNN983070 RXJ983053:RXJ983070 SHF983053:SHF983070 SRB983053:SRB983070 TAX983053:TAX983070 TKT983053:TKT983070 TUP983053:TUP983070 UEL983053:UEL983070 UOH983053:UOH983070 UYD983053:UYD983070 VHZ983053:VHZ983070 VRV983053:VRV983070 WBR983053:WBR983070 WLN983053:WLN983070 B65549:B65566 IX65549:IX65566 ST65549:ST65566 ACP65549:ACP65566 AML65549:AML65566 AWH65549:AWH65566 BGD65549:BGD65566 BPZ65549:BPZ65566 BZV65549:BZV65566 CJR65549:CJR65566 CTN65549:CTN65566 DDJ65549:DDJ65566 DNF65549:DNF65566 DXB65549:DXB65566 EGX65549:EGX65566 EQT65549:EQT65566 FAP65549:FAP65566 FKL65549:FKL65566 FUH65549:FUH65566 GED65549:GED65566 GNZ65549:GNZ65566 GXV65549:GXV65566 HHR65549:HHR65566 HRN65549:HRN65566 IBJ65549:IBJ65566 ILF65549:ILF65566 IVB65549:IVB65566 JEX65549:JEX65566 JOT65549:JOT65566 JYP65549:JYP65566 KIL65549:KIL65566 KSH65549:KSH65566 LCD65549:LCD65566 LLZ65549:LLZ65566 LVV65549:LVV65566 MFR65549:MFR65566 MPN65549:MPN65566 MZJ65549:MZJ65566 NJF65549:NJF65566 NTB65549:NTB65566 OCX65549:OCX65566 OMT65549:OMT65566 OWP65549:OWP65566 PGL65549:PGL65566 PQH65549:PQH65566 QAD65549:QAD65566 QJZ65549:QJZ65566 QTV65549:QTV65566 RDR65549:RDR65566 RNN65549:RNN65566 RXJ65549:RXJ65566 SHF65549:SHF65566 SRB65549:SRB65566 TAX65549:TAX65566 TKT65549:TKT65566 TUP65549:TUP65566 UEL65549:UEL65566 UOH65549:UOH65566 UYD65549:UYD65566 VHZ65549:VHZ65566 VRV65549:VRV65566 WBR65549:WBR65566 WLN65549:WLN65566 WVJ65549:WVJ65566 B131085:B131102 IX131085:IX131102 ST131085:ST131102 ACP131085:ACP131102 AML131085:AML131102 AWH131085:AWH131102 BGD131085:BGD131102 BPZ131085:BPZ131102 BZV131085:BZV131102 CJR131085:CJR131102 CTN131085:CTN131102 DDJ131085:DDJ131102 DNF131085:DNF131102 DXB131085:DXB131102 EGX131085:EGX131102 EQT131085:EQT131102 FAP131085:FAP131102 FKL131085:FKL131102 FUH131085:FUH131102 GED131085:GED131102 GNZ131085:GNZ131102 GXV131085:GXV131102 HHR131085:HHR131102 HRN131085:HRN131102 IBJ131085:IBJ131102 ILF131085:ILF131102 IVB131085:IVB131102 JEX131085:JEX131102 JOT131085:JOT131102 JYP131085:JYP131102 KIL131085:KIL131102 KSH131085:KSH131102 LCD131085:LCD131102 LLZ131085:LLZ131102 LVV131085:LVV131102 MFR131085:MFR131102 MPN131085:MPN131102 MZJ131085:MZJ131102 NJF131085:NJF131102 NTB131085:NTB131102 OCX131085:OCX131102 OMT131085:OMT131102 OWP131085:OWP131102 PGL131085:PGL131102 PQH131085:PQH131102 QAD131085:QAD131102 QJZ131085:QJZ131102 QTV131085:QTV131102 RDR131085:RDR131102 RNN131085:RNN131102 RXJ131085:RXJ131102 SHF131085:SHF131102 SRB131085:SRB131102 TAX131085:TAX131102 TKT131085:TKT131102 TUP131085:TUP131102 UEL131085:UEL131102 UOH131085:UOH131102 UYD131085:UYD131102 VHZ131085:VHZ131102 VRV131085:VRV131102 WBR131085:WBR131102 WLN131085:WLN131102 WVJ131085:WVJ131102 B196621:B196638 IX196621:IX196638 ST196621:ST196638 ACP196621:ACP196638 AML196621:AML196638 AWH196621:AWH196638 BGD196621:BGD196638 BPZ196621:BPZ196638 BZV196621:BZV196638 CJR196621:CJR196638 CTN196621:CTN196638 DDJ196621:DDJ196638 DNF196621:DNF196638 DXB196621:DXB196638 EGX196621:EGX196638 EQT196621:EQT196638 FAP196621:FAP196638 FKL196621:FKL196638 FUH196621:FUH196638 GED196621:GED196638 GNZ196621:GNZ196638 GXV196621:GXV196638 HHR196621:HHR196638 HRN196621:HRN196638 IBJ196621:IBJ196638 ILF196621:ILF196638 IVB196621:IVB196638 JEX196621:JEX196638 JOT196621:JOT196638 JYP196621:JYP196638 KIL196621:KIL196638 KSH196621:KSH196638 LCD196621:LCD196638 LLZ196621:LLZ196638 LVV196621:LVV196638 MFR196621:MFR196638 MPN196621:MPN196638 MZJ196621:MZJ196638 NJF196621:NJF196638 NTB196621:NTB196638 OCX196621:OCX196638 OMT196621:OMT196638 OWP196621:OWP196638 PGL196621:PGL196638 PQH196621:PQH196638 QAD196621:QAD196638 QJZ196621:QJZ196638 QTV196621:QTV196638 RDR196621:RDR196638 RNN196621:RNN196638 RXJ196621:RXJ196638 SHF196621:SHF196638 SRB196621:SRB196638 TAX196621:TAX196638 TKT196621:TKT196638 TUP196621:TUP196638 UEL196621:UEL196638 UOH196621:UOH196638 UYD196621:UYD196638 VHZ196621:VHZ196638 VRV196621:VRV196638 WBR196621:WBR196638 WLN196621:WLN196638 WVJ196621:WVJ196638 B262157:B262174 IX262157:IX262174 ST262157:ST262174 ACP262157:ACP262174 AML262157:AML262174 AWH262157:AWH262174 BGD262157:BGD262174 BPZ262157:BPZ262174 BZV262157:BZV262174 CJR262157:CJR262174 CTN262157:CTN262174 DDJ262157:DDJ262174 DNF262157:DNF262174 DXB262157:DXB262174 EGX262157:EGX262174 EQT262157:EQT262174 FAP262157:FAP262174 FKL262157:FKL262174 FUH262157:FUH262174 GED262157:GED262174 GNZ262157:GNZ262174 GXV262157:GXV262174 HHR262157:HHR262174 HRN262157:HRN262174 IBJ262157:IBJ262174 ILF262157:ILF262174 IVB262157:IVB262174 JEX262157:JEX262174 JOT262157:JOT262174 JYP262157:JYP262174 KIL262157:KIL262174 KSH262157:KSH262174 LCD262157:LCD262174 LLZ262157:LLZ262174 LVV262157:LVV262174 MFR262157:MFR262174 MPN262157:MPN262174 MZJ262157:MZJ262174 NJF262157:NJF262174 NTB262157:NTB262174 OCX262157:OCX262174 OMT262157:OMT262174 OWP262157:OWP262174 PGL262157:PGL262174 PQH262157:PQH262174 QAD262157:QAD262174 QJZ262157:QJZ262174 QTV262157:QTV262174 RDR262157:RDR262174 RNN262157:RNN262174 RXJ262157:RXJ262174 SHF262157:SHF262174 SRB262157:SRB262174 TAX262157:TAX262174 TKT262157:TKT262174 TUP262157:TUP262174 UEL262157:UEL262174 UOH262157:UOH262174 UYD262157:UYD262174 VHZ262157:VHZ262174 VRV262157:VRV262174 WBR262157:WBR262174 WLN262157:WLN262174 WVJ262157:WVJ262174 B327693:B327710 IX327693:IX327710 ST327693:ST327710 ACP327693:ACP327710 AML327693:AML327710 AWH327693:AWH327710 BGD327693:BGD327710 BPZ327693:BPZ327710 BZV327693:BZV327710 CJR327693:CJR327710 CTN327693:CTN327710 DDJ327693:DDJ327710 DNF327693:DNF327710 DXB327693:DXB327710 EGX327693:EGX327710 EQT327693:EQT327710 FAP327693:FAP327710 FKL327693:FKL327710 FUH327693:FUH327710 GED327693:GED327710 GNZ327693:GNZ327710 GXV327693:GXV327710 HHR327693:HHR327710 HRN327693:HRN327710 IBJ327693:IBJ327710 ILF327693:ILF327710 IVB327693:IVB327710 JEX327693:JEX327710 JOT327693:JOT327710 JYP327693:JYP327710 KIL327693:KIL327710 KSH327693:KSH327710 LCD327693:LCD327710 LLZ327693:LLZ327710 LVV327693:LVV327710 MFR327693:MFR327710 MPN327693:MPN327710 MZJ327693:MZJ327710 NJF327693:NJF327710 NTB327693:NTB327710 OCX327693:OCX327710 OMT327693:OMT327710 OWP327693:OWP327710 PGL327693:PGL327710 PQH327693:PQH327710 QAD327693:QAD327710 QJZ327693:QJZ327710 QTV327693:QTV327710 RDR327693:RDR327710 RNN327693:RNN327710 RXJ327693:RXJ327710 SHF327693:SHF327710 SRB327693:SRB327710 TAX327693:TAX327710 TKT327693:TKT327710 TUP327693:TUP327710 UEL327693:UEL327710 UOH327693:UOH327710 UYD327693:UYD327710 VHZ327693:VHZ327710 VRV327693:VRV327710 WBR327693:WBR327710 WLN327693:WLN327710 WVJ327693:WVJ327710 B393229:B393246 IX393229:IX393246 ST393229:ST393246 ACP393229:ACP393246 AML393229:AML393246 AWH393229:AWH393246 BGD393229:BGD393246 BPZ393229:BPZ393246 BZV393229:BZV393246 CJR393229:CJR393246 CTN393229:CTN393246 DDJ393229:DDJ393246 DNF393229:DNF393246 DXB393229:DXB393246 EGX393229:EGX393246 EQT393229:EQT393246 FAP393229:FAP393246 FKL393229:FKL393246 FUH393229:FUH393246 GED393229:GED393246 GNZ393229:GNZ393246 GXV393229:GXV393246 HHR393229:HHR393246 HRN393229:HRN393246 IBJ393229:IBJ393246 ILF393229:ILF393246 IVB393229:IVB393246 JEX393229:JEX393246 JOT393229:JOT393246 JYP393229:JYP393246 KIL393229:KIL393246 KSH393229:KSH393246 LCD393229:LCD393246 LLZ393229:LLZ393246 LVV393229:LVV393246 MFR393229:MFR393246 MPN393229:MPN393246 MZJ393229:MZJ393246 NJF393229:NJF393246 NTB393229:NTB393246 OCX393229:OCX393246 OMT393229:OMT393246 OWP393229:OWP393246 PGL393229:PGL393246 PQH393229:PQH393246 QAD393229:QAD393246 QJZ393229:QJZ393246 QTV393229:QTV393246 RDR393229:RDR393246 RNN393229:RNN393246 RXJ393229:RXJ393246 SHF393229:SHF393246 SRB393229:SRB393246 TAX393229:TAX393246 TKT393229:TKT393246 TUP393229:TUP393246 UEL393229:UEL393246 UOH393229:UOH393246 UYD393229:UYD393246 VHZ393229:VHZ393246 VRV393229:VRV393246 WBR393229:WBR393246 WLN393229:WLN393246 WVJ393229:WVJ393246 B458765:B458782 IX458765:IX458782 ST458765:ST458782 ACP458765:ACP458782 AML458765:AML458782 AWH458765:AWH458782 BGD458765:BGD458782 BPZ458765:BPZ458782 BZV458765:BZV458782 CJR458765:CJR458782 CTN458765:CTN458782 DDJ458765:DDJ458782 DNF458765:DNF458782 DXB458765:DXB458782 EGX458765:EGX458782 EQT458765:EQT458782 FAP458765:FAP458782 FKL458765:FKL458782 FUH458765:FUH458782 GED458765:GED458782 GNZ458765:GNZ458782 GXV458765:GXV458782 HHR458765:HHR458782 HRN458765:HRN458782 IBJ458765:IBJ458782 ILF458765:ILF458782 IVB458765:IVB458782 JEX458765:JEX458782 JOT458765:JOT458782 JYP458765:JYP458782 KIL458765:KIL458782 KSH458765:KSH458782 LCD458765:LCD458782 LLZ458765:LLZ458782 LVV458765:LVV458782 MFR458765:MFR458782 MPN458765:MPN458782 MZJ458765:MZJ458782 NJF458765:NJF458782 NTB458765:NTB458782 OCX458765:OCX458782 OMT458765:OMT458782 OWP458765:OWP458782 PGL458765:PGL458782 PQH458765:PQH458782 QAD458765:QAD458782 QJZ458765:QJZ458782 QTV458765:QTV458782 RDR458765:RDR458782 RNN458765:RNN458782 RXJ458765:RXJ458782 SHF458765:SHF458782 SRB458765:SRB458782 TAX458765:TAX458782 TKT458765:TKT458782 TUP458765:TUP458782 UEL458765:UEL458782 UOH458765:UOH458782 UYD458765:UYD458782 VHZ458765:VHZ458782 VRV458765:VRV458782 WBR458765:WBR458782 WLN458765:WLN458782 WVJ458765:WVJ458782 B524301:B524318 IX524301:IX524318 ST524301:ST524318 ACP524301:ACP524318 AML524301:AML524318 AWH524301:AWH524318 BGD524301:BGD524318 BPZ524301:BPZ524318 BZV524301:BZV524318 CJR524301:CJR524318 CTN524301:CTN524318 DDJ524301:DDJ524318 DNF524301:DNF524318 DXB524301:DXB524318 EGX524301:EGX524318 EQT524301:EQT524318 FAP524301:FAP524318 FKL524301:FKL524318 FUH524301:FUH524318 GED524301:GED524318 GNZ524301:GNZ524318 GXV524301:GXV524318 HHR524301:HHR524318 HRN524301:HRN524318 IBJ524301:IBJ524318 ILF524301:ILF524318 IVB524301:IVB524318 JEX524301:JEX524318 JOT524301:JOT524318 JYP524301:JYP524318 KIL524301:KIL524318 KSH524301:KSH524318 LCD524301:LCD524318 LLZ524301:LLZ524318 LVV524301:LVV524318 MFR524301:MFR524318 MPN524301:MPN524318 MZJ524301:MZJ524318 NJF524301:NJF524318 NTB524301:NTB524318 OCX524301:OCX524318 OMT524301:OMT524318 OWP524301:OWP524318 PGL524301:PGL524318 PQH524301:PQH524318 QAD524301:QAD524318 QJZ524301:QJZ524318 QTV524301:QTV524318 RDR524301:RDR524318 RNN524301:RNN524318 RXJ524301:RXJ524318 SHF524301:SHF524318 SRB524301:SRB524318 TAX524301:TAX524318 TKT524301:TKT524318 TUP524301:TUP524318 UEL524301:UEL524318 UOH524301:UOH524318 UYD524301:UYD524318 VHZ524301:VHZ524318 VRV524301:VRV524318 WBR524301:WBR524318 WLN524301:WLN524318 WVJ524301:WVJ524318 B589837:B589854 IX589837:IX589854 ST589837:ST589854 ACP589837:ACP589854 AML589837:AML589854 AWH589837:AWH589854 BGD589837:BGD589854 BPZ589837:BPZ589854 BZV589837:BZV589854 CJR589837:CJR589854 CTN589837:CTN589854 DDJ589837:DDJ589854 DNF589837:DNF589854 DXB589837:DXB589854 EGX589837:EGX589854 EQT589837:EQT589854 FAP589837:FAP589854 FKL589837:FKL589854 FUH589837:FUH589854 GED589837:GED589854 GNZ589837:GNZ589854 GXV589837:GXV589854 HHR589837:HHR589854 HRN589837:HRN589854 IBJ589837:IBJ589854 ILF589837:ILF589854 IVB589837:IVB589854 JEX589837:JEX589854 JOT589837:JOT589854 JYP589837:JYP589854 KIL589837:KIL589854 KSH589837:KSH589854 LCD589837:LCD589854 LLZ589837:LLZ589854 LVV589837:LVV589854 MFR589837:MFR589854 MPN589837:MPN589854 MZJ589837:MZJ589854 NJF589837:NJF589854 NTB589837:NTB589854 OCX589837:OCX589854 OMT589837:OMT589854 OWP589837:OWP589854 PGL589837:PGL589854 PQH589837:PQH589854 QAD589837:QAD589854 QJZ589837:QJZ589854 QTV589837:QTV589854 RDR589837:RDR589854 RNN589837:RNN589854 RXJ589837:RXJ589854 SHF589837:SHF589854 SRB589837:SRB589854 TAX589837:TAX589854 TKT589837:TKT589854 TUP589837:TUP589854 UEL589837:UEL589854 UOH589837:UOH589854 UYD589837:UYD589854 VHZ589837:VHZ589854 VRV589837:VRV589854 WBR589837:WBR589854 WLN589837:WLN589854 WVJ589837:WVJ589854 B655373:B655390 IX655373:IX655390 ST655373:ST655390 ACP655373:ACP655390 AML655373:AML655390 AWH655373:AWH655390 BGD655373:BGD655390 BPZ655373:BPZ655390 BZV655373:BZV655390 CJR655373:CJR655390 CTN655373:CTN655390 DDJ655373:DDJ655390 DNF655373:DNF655390 DXB655373:DXB655390 EGX655373:EGX655390 EQT655373:EQT655390 FAP655373:FAP655390 FKL655373:FKL655390 FUH655373:FUH655390 GED655373:GED655390 GNZ655373:GNZ655390 GXV655373:GXV655390 HHR655373:HHR655390 HRN655373:HRN655390 IBJ655373:IBJ655390 ILF655373:ILF655390 IVB655373:IVB655390 JEX655373:JEX655390 JOT655373:JOT655390 JYP655373:JYP655390 KIL655373:KIL655390 KSH655373:KSH655390 LCD655373:LCD655390 LLZ655373:LLZ655390 LVV655373:LVV655390 MFR655373:MFR655390 MPN655373:MPN655390 MZJ655373:MZJ655390 NJF655373:NJF655390 NTB655373:NTB655390 OCX655373:OCX655390 OMT655373:OMT655390 OWP655373:OWP655390 PGL655373:PGL655390 PQH655373:PQH655390 QAD655373:QAD655390 QJZ655373:QJZ655390 QTV655373:QTV655390 RDR655373:RDR655390 RNN655373:RNN655390 RXJ655373:RXJ655390 SHF655373:SHF655390 SRB655373:SRB655390 TAX655373:TAX655390 TKT655373:TKT655390 TUP655373:TUP655390 UEL655373:UEL655390 UOH655373:UOH655390 UYD655373:UYD655390 VHZ655373:VHZ655390 VRV655373:VRV655390 WBR655373:WBR655390 WLN655373:WLN655390 WVJ655373:WVJ655390 B720909:B720926 IX720909:IX720926 ST720909:ST720926 ACP720909:ACP720926 AML720909:AML720926 AWH720909:AWH720926 BGD720909:BGD720926 BPZ720909:BPZ720926 BZV720909:BZV720926 CJR720909:CJR720926 CTN720909:CTN720926 DDJ720909:DDJ720926 DNF720909:DNF720926 DXB720909:DXB720926 EGX720909:EGX720926 EQT720909:EQT720926 FAP720909:FAP720926 FKL720909:FKL720926 FUH720909:FUH720926 GED720909:GED720926 GNZ720909:GNZ720926 GXV720909:GXV720926 HHR720909:HHR720926 HRN720909:HRN720926 IBJ720909:IBJ720926 ILF720909:ILF720926 IVB720909:IVB720926 JEX720909:JEX720926 JOT720909:JOT720926 JYP720909:JYP720926 KIL720909:KIL720926 KSH720909:KSH720926 LCD720909:LCD720926 LLZ720909:LLZ720926 LVV720909:LVV720926 MFR720909:MFR720926 MPN720909:MPN720926 MZJ720909:MZJ720926 NJF720909:NJF720926 NTB720909:NTB720926 OCX720909:OCX720926 OMT720909:OMT720926 OWP720909:OWP720926 PGL720909:PGL720926 PQH720909:PQH720926 QAD720909:QAD720926 QJZ720909:QJZ720926 QTV720909:QTV720926 RDR720909:RDR720926 RNN720909:RNN720926 RXJ720909:RXJ720926 SHF720909:SHF720926 SRB720909:SRB720926 TAX720909:TAX720926 TKT720909:TKT720926 TUP720909:TUP720926 UEL720909:UEL720926 UOH720909:UOH720926 UYD720909:UYD720926 VHZ720909:VHZ720926 VRV720909:VRV720926 WBR720909:WBR720926 WLN720909:WLN720926 WVJ720909:WVJ720926 B786445:B786462 IX786445:IX786462 ST786445:ST786462 ACP786445:ACP786462 AML786445:AML786462 AWH786445:AWH786462 BGD786445:BGD786462 BPZ786445:BPZ786462 BZV786445:BZV786462 CJR786445:CJR786462 CTN786445:CTN786462 DDJ786445:DDJ786462 DNF786445:DNF786462 DXB786445:DXB786462 EGX786445:EGX786462 EQT786445:EQT786462 FAP786445:FAP786462 FKL786445:FKL786462 FUH786445:FUH786462 GED786445:GED786462 GNZ786445:GNZ786462 GXV786445:GXV786462 HHR786445:HHR786462 HRN786445:HRN786462 IBJ786445:IBJ786462 ILF786445:ILF786462 IVB786445:IVB786462 JEX786445:JEX786462 JOT786445:JOT786462 JYP786445:JYP786462 KIL786445:KIL786462 KSH786445:KSH786462 LCD786445:LCD786462 LLZ786445:LLZ786462 LVV786445:LVV786462 MFR786445:MFR786462 MPN786445:MPN786462 MZJ786445:MZJ786462 NJF786445:NJF786462 NTB786445:NTB786462 OCX786445:OCX786462 OMT786445:OMT786462 OWP786445:OWP786462 PGL786445:PGL786462 PQH786445:PQH786462 QAD786445:QAD786462 QJZ786445:QJZ786462 QTV786445:QTV786462 RDR786445:RDR786462 RNN786445:RNN786462 RXJ786445:RXJ786462 SHF786445:SHF786462 SRB786445:SRB786462 TAX786445:TAX786462 TKT786445:TKT786462 TUP786445:TUP786462 UEL786445:UEL786462 UOH786445:UOH786462 UYD786445:UYD786462 VHZ786445:VHZ786462 VRV786445:VRV786462 WBR786445:WBR786462 WLN786445:WLN786462 WVJ786445:WVJ786462 B851981:B851998 IX851981:IX851998 ST851981:ST851998 ACP851981:ACP851998 AML851981:AML851998 AWH851981:AWH851998 BGD851981:BGD851998 BPZ851981:BPZ851998 BZV851981:BZV851998 CJR851981:CJR851998 CTN851981:CTN851998 DDJ851981:DDJ851998 DNF851981:DNF851998 DXB851981:DXB851998 EGX851981:EGX851998 EQT851981:EQT851998 FAP851981:FAP851998 FKL851981:FKL851998 FUH851981:FUH851998 GED851981:GED851998 GNZ851981:GNZ851998 GXV851981:GXV851998 HHR851981:HHR851998 HRN851981:HRN851998 IBJ851981:IBJ851998 ILF851981:ILF851998 IVB851981:IVB851998 JEX851981:JEX851998 JOT851981:JOT851998 JYP851981:JYP851998 KIL851981:KIL851998 KSH851981:KSH851998 LCD851981:LCD851998 LLZ851981:LLZ851998 LVV851981:LVV851998 MFR851981:MFR851998 MPN851981:MPN851998 MZJ851981:MZJ851998 NJF851981:NJF851998 NTB851981:NTB851998 OCX851981:OCX851998 OMT851981:OMT851998 OWP851981:OWP851998 PGL851981:PGL851998 PQH851981:PQH851998 QAD851981:QAD851998 QJZ851981:QJZ851998 QTV851981:QTV851998 RDR851981:RDR851998 RNN851981:RNN851998 RXJ851981:RXJ851998 SHF851981:SHF851998 SRB851981:SRB851998 TAX851981:TAX851998 TKT851981:TKT851998 TUP851981:TUP851998 UEL851981:UEL851998 UOH851981:UOH851998 UYD851981:UYD851998 VHZ851981:VHZ851998 VRV851981:VRV851998 WBR851981:WBR851998 WLN851981:WLN851998 WVJ851981:WVJ851998 B917517:B917534 IX917517:IX917534 ST917517:ST917534 ACP917517:ACP917534 AML917517:AML917534 AWH917517:AWH917534 BGD917517:BGD917534 BPZ917517:BPZ917534 BZV917517:BZV917534 CJR917517:CJR917534 CTN917517:CTN917534 DDJ917517:DDJ917534 DNF917517:DNF917534 DXB917517:DXB917534 EGX917517:EGX917534 EQT917517:EQT917534 FAP917517:FAP917534 FKL917517:FKL917534 FUH917517:FUH917534 GED917517:GED917534 GNZ917517:GNZ917534 GXV917517:GXV917534 HHR917517:HHR917534 HRN917517:HRN917534 IBJ917517:IBJ917534 ILF917517:ILF917534 IVB917517:IVB917534 JEX917517:JEX917534 JOT917517:JOT917534 JYP917517:JYP917534 KIL917517:KIL917534 KSH917517:KSH917534 LCD917517:LCD917534 LLZ917517:LLZ917534 LVV917517:LVV917534 MFR917517:MFR917534 MPN917517:MPN917534 MZJ917517:MZJ917534 NJF917517:NJF917534 NTB917517:NTB917534 OCX917517:OCX917534 OMT917517:OMT917534 OWP917517:OWP917534 PGL917517:PGL917534 PQH917517:PQH917534 QAD917517:QAD917534 QJZ917517:QJZ917534 QTV917517:QTV917534 RDR917517:RDR917534 RNN917517:RNN917534 RXJ917517:RXJ917534 SHF917517:SHF917534 SRB917517:SRB917534 TAX917517:TAX917534 TKT917517:TKT917534 TUP917517:TUP917534 UEL917517:UEL917534 UOH917517:UOH917534 UYD917517:UYD917534 VHZ917517:VHZ917534 VRV917517:VRV917534 WBR917517:WBR917534 WLN917517:WLN917534 WVJ917517:WVJ917534" xr:uid="{00000000-0002-0000-0C00-000001000000}">
      <formula1>trung</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334"/>
  <sheetViews>
    <sheetView topLeftCell="A9"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48"/>
      <c r="G3" s="102"/>
      <c r="H3" s="103"/>
    </row>
    <row r="4" spans="1:8" s="98" customFormat="1" ht="18" customHeight="1">
      <c r="A4" s="414"/>
      <c r="B4" s="414"/>
      <c r="C4" s="415" t="s">
        <v>1740</v>
      </c>
      <c r="D4" s="416"/>
      <c r="E4" s="416"/>
      <c r="F4" s="416"/>
      <c r="G4" s="416"/>
      <c r="H4" s="416"/>
    </row>
    <row r="5" spans="1:8" s="98" customFormat="1" ht="15.6">
      <c r="A5" s="104"/>
      <c r="B5" s="104"/>
      <c r="C5" s="147"/>
      <c r="D5" s="105"/>
      <c r="E5" s="106"/>
      <c r="F5" s="147"/>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1806</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1800</v>
      </c>
      <c r="C13" s="425"/>
      <c r="D13" s="425"/>
      <c r="E13" s="425"/>
      <c r="F13" s="425"/>
      <c r="G13" s="73">
        <f>G14</f>
        <v>164020000</v>
      </c>
      <c r="H13" s="74"/>
    </row>
    <row r="14" spans="1:8" s="131" customFormat="1" ht="40.5" customHeight="1">
      <c r="A14" s="123"/>
      <c r="B14" s="124" t="s">
        <v>1757</v>
      </c>
      <c r="C14" s="125" t="s">
        <v>1753</v>
      </c>
      <c r="D14" s="126">
        <v>13.9</v>
      </c>
      <c r="E14" s="127">
        <v>11800000</v>
      </c>
      <c r="F14" s="128">
        <v>1</v>
      </c>
      <c r="G14" s="129">
        <f>D14*E14*F14</f>
        <v>164020000</v>
      </c>
      <c r="H14" s="130"/>
    </row>
    <row r="15" spans="1:8" ht="27" customHeight="1">
      <c r="A15" s="75" t="s">
        <v>18</v>
      </c>
      <c r="B15" s="426" t="s">
        <v>1725</v>
      </c>
      <c r="C15" s="426"/>
      <c r="D15" s="426"/>
      <c r="E15" s="426"/>
      <c r="F15" s="426"/>
      <c r="G15" s="76">
        <f>SUM(G17:G20)</f>
        <v>4561040.4173999997</v>
      </c>
      <c r="H15" s="11"/>
    </row>
    <row r="16" spans="1:8" ht="31.2">
      <c r="A16" s="77">
        <v>1</v>
      </c>
      <c r="B16" s="78" t="s">
        <v>1801</v>
      </c>
      <c r="C16" s="14" t="s">
        <v>1754</v>
      </c>
      <c r="D16" s="132">
        <f>1.7*1.7*0.11</f>
        <v>0.31789999999999996</v>
      </c>
      <c r="E16" s="15">
        <v>2126713</v>
      </c>
      <c r="F16" s="14">
        <v>1</v>
      </c>
      <c r="G16" s="79">
        <f t="shared" ref="G16:G20" si="0">D16*E16*F16</f>
        <v>676082.06269999989</v>
      </c>
      <c r="H16" s="15"/>
    </row>
    <row r="17" spans="1:8" ht="31.2">
      <c r="A17" s="77">
        <v>2</v>
      </c>
      <c r="B17" s="78" t="s">
        <v>1802</v>
      </c>
      <c r="C17" s="14" t="s">
        <v>1754</v>
      </c>
      <c r="D17" s="132">
        <f>3.7*1.7*0.22</f>
        <v>1.3837999999999999</v>
      </c>
      <c r="E17" s="15">
        <v>1919493</v>
      </c>
      <c r="F17" s="14">
        <v>1</v>
      </c>
      <c r="G17" s="79">
        <f t="shared" si="0"/>
        <v>2656194.4134</v>
      </c>
      <c r="H17" s="15"/>
    </row>
    <row r="18" spans="1:8" ht="31.2">
      <c r="A18" s="77">
        <v>3</v>
      </c>
      <c r="B18" s="78" t="s">
        <v>1803</v>
      </c>
      <c r="C18" s="14" t="s">
        <v>1754</v>
      </c>
      <c r="D18" s="132">
        <f>0.2*0.2*1.7</f>
        <v>6.8000000000000005E-2</v>
      </c>
      <c r="E18" s="15">
        <v>2623803</v>
      </c>
      <c r="F18" s="14">
        <v>1</v>
      </c>
      <c r="G18" s="79">
        <f t="shared" si="0"/>
        <v>178418.60400000002</v>
      </c>
      <c r="H18" s="15"/>
    </row>
    <row r="19" spans="1:8" ht="15.6">
      <c r="A19" s="77">
        <v>4</v>
      </c>
      <c r="B19" s="78" t="s">
        <v>1804</v>
      </c>
      <c r="C19" s="14" t="s">
        <v>66</v>
      </c>
      <c r="D19" s="132">
        <f>1.5*1.5</f>
        <v>2.25</v>
      </c>
      <c r="E19" s="15">
        <v>550000</v>
      </c>
      <c r="F19" s="14">
        <v>1</v>
      </c>
      <c r="G19" s="79">
        <f t="shared" si="0"/>
        <v>1237500</v>
      </c>
      <c r="H19" s="15"/>
    </row>
    <row r="20" spans="1:8" ht="15.6">
      <c r="A20" s="77">
        <v>5</v>
      </c>
      <c r="B20" s="78" t="s">
        <v>1805</v>
      </c>
      <c r="C20" s="14" t="s">
        <v>1754</v>
      </c>
      <c r="D20" s="132">
        <f>3*0.1</f>
        <v>0.30000000000000004</v>
      </c>
      <c r="E20" s="15">
        <v>1629758</v>
      </c>
      <c r="F20" s="14">
        <v>1</v>
      </c>
      <c r="G20" s="79">
        <f t="shared" si="0"/>
        <v>488927.40000000008</v>
      </c>
      <c r="H20" s="15"/>
    </row>
    <row r="21" spans="1:8" ht="24" customHeight="1">
      <c r="A21" s="75" t="s">
        <v>19</v>
      </c>
      <c r="B21" s="426" t="s">
        <v>1727</v>
      </c>
      <c r="C21" s="426"/>
      <c r="D21" s="426"/>
      <c r="E21" s="426"/>
      <c r="F21" s="426"/>
      <c r="G21" s="76">
        <f>SUM(G22:G22)</f>
        <v>933000</v>
      </c>
      <c r="H21" s="11"/>
    </row>
    <row r="22" spans="1:8" s="12" customFormat="1" ht="34.200000000000003" customHeight="1">
      <c r="A22" s="94">
        <v>1</v>
      </c>
      <c r="B22" s="154" t="s">
        <v>819</v>
      </c>
      <c r="C22" s="14" t="s">
        <v>1724</v>
      </c>
      <c r="D22" s="14">
        <v>1</v>
      </c>
      <c r="E22" s="79" t="str">
        <f>VLOOKUP(B22,'[20]Đơn giá cây cối'!$A$2:$C$1361,3,0)</f>
        <v>933.000</v>
      </c>
      <c r="F22" s="137">
        <v>1</v>
      </c>
      <c r="G22" s="79">
        <f>D22*E22*F22</f>
        <v>933000</v>
      </c>
      <c r="H22" s="95"/>
    </row>
    <row r="23" spans="1:8" ht="15.6">
      <c r="A23" s="80"/>
      <c r="B23" s="427" t="s">
        <v>62</v>
      </c>
      <c r="C23" s="428"/>
      <c r="D23" s="428"/>
      <c r="E23" s="428"/>
      <c r="F23" s="429"/>
      <c r="G23" s="81">
        <f>G13+G15+G21</f>
        <v>169514040.4174</v>
      </c>
      <c r="H23" s="82"/>
    </row>
    <row r="24" spans="1:8" ht="15.6">
      <c r="A24" s="80"/>
      <c r="B24" s="427" t="s">
        <v>1726</v>
      </c>
      <c r="C24" s="428"/>
      <c r="D24" s="428"/>
      <c r="E24" s="428"/>
      <c r="F24" s="429"/>
      <c r="G24" s="81">
        <f>ROUND(G23,-3)</f>
        <v>169514000</v>
      </c>
      <c r="H24" s="82"/>
    </row>
    <row r="25" spans="1:8" ht="15.6">
      <c r="A25" s="430" t="e">
        <f ca="1">[19]!vnd(G24)</f>
        <v>#NAME?</v>
      </c>
      <c r="B25" s="431"/>
      <c r="C25" s="431"/>
      <c r="D25" s="431"/>
      <c r="E25" s="431"/>
      <c r="F25" s="431"/>
      <c r="G25" s="431"/>
      <c r="H25" s="432"/>
    </row>
    <row r="26" spans="1:8">
      <c r="A26" s="17"/>
      <c r="B26" s="17"/>
      <c r="C26" s="97"/>
      <c r="D26" s="20"/>
      <c r="E26" s="19"/>
      <c r="F26" s="97"/>
      <c r="G26" s="19"/>
      <c r="H26" s="17"/>
    </row>
    <row r="27" spans="1:8" s="109" customFormat="1" ht="16.5" customHeight="1">
      <c r="A27" s="108"/>
      <c r="B27" s="108"/>
      <c r="C27" s="424" t="s">
        <v>1742</v>
      </c>
      <c r="D27" s="424"/>
      <c r="E27" s="424"/>
      <c r="F27" s="424"/>
      <c r="G27" s="424"/>
      <c r="H27" s="424"/>
    </row>
    <row r="28" spans="1:8" s="109" customFormat="1" ht="16.5" customHeight="1">
      <c r="A28" s="423" t="s">
        <v>63</v>
      </c>
      <c r="B28" s="423"/>
      <c r="C28" s="424" t="s">
        <v>1743</v>
      </c>
      <c r="D28" s="424"/>
      <c r="E28" s="424"/>
      <c r="F28" s="424" t="s">
        <v>1744</v>
      </c>
      <c r="G28" s="424"/>
      <c r="H28" s="424"/>
    </row>
    <row r="29" spans="1:8" s="109" customFormat="1" ht="15.6">
      <c r="A29" s="108"/>
      <c r="B29" s="108"/>
      <c r="C29" s="108"/>
      <c r="D29" s="110"/>
      <c r="E29" s="111"/>
      <c r="F29" s="112"/>
      <c r="G29" s="111"/>
      <c r="H29" s="113"/>
    </row>
    <row r="30" spans="1:8" s="109" customFormat="1" ht="15.6">
      <c r="A30" s="108"/>
      <c r="B30" s="108"/>
      <c r="C30" s="108"/>
      <c r="D30" s="110"/>
      <c r="E30" s="111"/>
      <c r="F30" s="112"/>
      <c r="G30" s="114"/>
      <c r="H30" s="113"/>
    </row>
    <row r="31" spans="1:8" s="109" customFormat="1" ht="15.6">
      <c r="A31" s="108"/>
      <c r="B31" s="108"/>
      <c r="C31" s="108"/>
      <c r="D31" s="110"/>
      <c r="E31" s="111"/>
      <c r="F31" s="112"/>
      <c r="G31" s="111"/>
      <c r="H31" s="113"/>
    </row>
    <row r="32" spans="1:8" s="109" customFormat="1" ht="15.6">
      <c r="A32" s="108"/>
      <c r="B32" s="108"/>
      <c r="C32" s="108"/>
      <c r="D32" s="110"/>
      <c r="E32" s="111"/>
      <c r="F32" s="112"/>
      <c r="G32" s="111"/>
      <c r="H32" s="113"/>
    </row>
    <row r="33" spans="1:8" s="109" customFormat="1" ht="15.6">
      <c r="A33" s="108"/>
      <c r="B33" s="108"/>
      <c r="C33" s="108"/>
      <c r="D33" s="110"/>
      <c r="E33" s="111"/>
      <c r="F33" s="112"/>
      <c r="G33" s="111"/>
      <c r="H33" s="113"/>
    </row>
    <row r="34" spans="1:8" s="109" customFormat="1" ht="16.5" customHeight="1">
      <c r="A34" s="108"/>
      <c r="B34" s="149" t="s">
        <v>64</v>
      </c>
      <c r="C34" s="424"/>
      <c r="D34" s="424"/>
      <c r="E34" s="424"/>
      <c r="F34" s="424" t="s">
        <v>1745</v>
      </c>
      <c r="G34" s="424"/>
      <c r="H34" s="424"/>
    </row>
    <row r="35" spans="1:8" s="109" customFormat="1" ht="15.6">
      <c r="A35" s="108"/>
      <c r="B35" s="149"/>
      <c r="C35" s="146"/>
      <c r="D35" s="146"/>
      <c r="E35" s="146"/>
      <c r="F35" s="146"/>
      <c r="G35" s="146"/>
      <c r="H35" s="146"/>
    </row>
    <row r="36" spans="1:8" s="109" customFormat="1" ht="15" customHeight="1">
      <c r="A36" s="424" t="s">
        <v>1746</v>
      </c>
      <c r="B36" s="424"/>
      <c r="C36" s="424"/>
      <c r="D36" s="424"/>
      <c r="E36" s="424" t="s">
        <v>1747</v>
      </c>
      <c r="F36" s="424"/>
      <c r="G36" s="424"/>
      <c r="H36" s="424"/>
    </row>
    <row r="37" spans="1:8" s="109" customFormat="1" ht="33.6" customHeight="1">
      <c r="A37" s="424" t="s">
        <v>1748</v>
      </c>
      <c r="B37" s="424"/>
      <c r="C37" s="424"/>
      <c r="D37" s="424"/>
      <c r="E37" s="424" t="s">
        <v>65</v>
      </c>
      <c r="F37" s="424"/>
      <c r="G37" s="424"/>
      <c r="H37" s="424"/>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ustomHeight="1">
      <c r="A43" s="108"/>
      <c r="B43" s="108"/>
      <c r="C43" s="108"/>
      <c r="D43" s="115"/>
      <c r="E43" s="439" t="s">
        <v>1749</v>
      </c>
      <c r="F43" s="439"/>
      <c r="G43" s="439"/>
      <c r="H43" s="439"/>
    </row>
    <row r="44" spans="1:8" s="109" customFormat="1" ht="16.5" customHeight="1">
      <c r="A44" s="424" t="s">
        <v>1751</v>
      </c>
      <c r="B44" s="424"/>
      <c r="C44" s="424"/>
      <c r="D44" s="424"/>
      <c r="E44" s="424" t="s">
        <v>1750</v>
      </c>
      <c r="F44" s="424"/>
      <c r="G44" s="424"/>
      <c r="H44" s="424"/>
    </row>
    <row r="45" spans="1:8" s="118" customFormat="1" ht="16.2" customHeight="1">
      <c r="A45" s="440"/>
      <c r="B45" s="440"/>
      <c r="C45" s="116"/>
      <c r="D45" s="117"/>
      <c r="E45" s="440"/>
      <c r="F45" s="440"/>
      <c r="G45" s="440"/>
      <c r="H45" s="440"/>
    </row>
    <row r="46" spans="1:8" s="118" customFormat="1" ht="15.75" customHeight="1">
      <c r="A46" s="440"/>
      <c r="B46" s="440"/>
      <c r="C46" s="440"/>
      <c r="D46" s="440"/>
      <c r="E46" s="440"/>
      <c r="F46" s="440"/>
      <c r="G46" s="440"/>
      <c r="H46" s="440"/>
    </row>
    <row r="47" spans="1:8" s="98" customFormat="1" ht="16.2" customHeight="1">
      <c r="A47" s="436"/>
      <c r="B47" s="436"/>
      <c r="C47" s="436"/>
      <c r="D47" s="436"/>
      <c r="E47" s="119"/>
      <c r="F47" s="120"/>
      <c r="G47" s="119"/>
      <c r="H47" s="121"/>
    </row>
    <row r="48" spans="1:8" s="98" customFormat="1" ht="16.2" customHeight="1">
      <c r="A48" s="436"/>
      <c r="B48" s="436"/>
      <c r="C48" s="436"/>
      <c r="D48" s="436"/>
      <c r="E48" s="119"/>
      <c r="F48" s="120"/>
      <c r="G48" s="119"/>
      <c r="H48" s="121"/>
    </row>
    <row r="49" spans="1:8" s="98" customFormat="1" ht="16.2" customHeight="1">
      <c r="A49" s="121"/>
      <c r="B49" s="121"/>
      <c r="C49" s="121"/>
      <c r="D49" s="122"/>
      <c r="E49" s="119"/>
      <c r="F49" s="120"/>
      <c r="G49" s="119"/>
      <c r="H49" s="121"/>
    </row>
    <row r="50" spans="1:8" ht="16.2" customHeight="1">
      <c r="A50" s="83"/>
      <c r="B50" s="83"/>
      <c r="C50" s="83"/>
      <c r="D50" s="84"/>
      <c r="E50" s="85"/>
      <c r="F50" s="86"/>
      <c r="G50" s="85"/>
      <c r="H50" s="83"/>
    </row>
    <row r="51" spans="1:8" ht="16.2" customHeight="1">
      <c r="A51" s="83"/>
      <c r="B51" s="83"/>
      <c r="C51" s="83"/>
      <c r="D51" s="84"/>
      <c r="E51" s="85"/>
      <c r="F51" s="86"/>
      <c r="G51" s="85"/>
      <c r="H51" s="83"/>
    </row>
    <row r="52" spans="1:8" ht="16.2" customHeight="1">
      <c r="A52" s="83"/>
      <c r="B52" s="83"/>
      <c r="C52" s="83"/>
      <c r="D52" s="84"/>
      <c r="E52" s="85"/>
      <c r="F52" s="86"/>
      <c r="G52" s="85"/>
      <c r="H52" s="83"/>
    </row>
    <row r="53" spans="1:8" ht="16.2" customHeight="1">
      <c r="A53" s="83"/>
      <c r="B53" s="83"/>
      <c r="C53" s="83"/>
      <c r="D53" s="84"/>
      <c r="E53" s="437"/>
      <c r="F53" s="437"/>
      <c r="G53" s="437"/>
      <c r="H53" s="437"/>
    </row>
    <row r="54" spans="1:8" ht="20.25" customHeight="1">
      <c r="A54" s="438"/>
      <c r="B54" s="438"/>
      <c r="C54" s="438"/>
      <c r="D54" s="438"/>
      <c r="E54" s="438"/>
      <c r="F54" s="438"/>
      <c r="G54" s="438"/>
      <c r="H54" s="438"/>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ht="16.2" customHeight="1"/>
    <row r="84" spans="3:7" ht="16.2" customHeight="1"/>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row r="230"/>
    <row r="231"/>
    <row r="232"/>
    <row r="233"/>
    <row r="234"/>
    <row r="235"/>
    <row r="236"/>
    <row r="237"/>
    <row r="238"/>
    <row r="239"/>
    <row r="240"/>
    <row r="241"/>
    <row r="242"/>
    <row r="243"/>
    <row r="244"/>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sheetData>
  <mergeCells count="40">
    <mergeCell ref="E53:H53"/>
    <mergeCell ref="A54:H54"/>
    <mergeCell ref="A45:B45"/>
    <mergeCell ref="E45:H45"/>
    <mergeCell ref="A46:D46"/>
    <mergeCell ref="E46:H46"/>
    <mergeCell ref="A47:D47"/>
    <mergeCell ref="A48:D48"/>
    <mergeCell ref="A44:D44"/>
    <mergeCell ref="E44:H44"/>
    <mergeCell ref="C27:H27"/>
    <mergeCell ref="A28:B28"/>
    <mergeCell ref="C28:E28"/>
    <mergeCell ref="F28:H28"/>
    <mergeCell ref="C34:E34"/>
    <mergeCell ref="F34:H34"/>
    <mergeCell ref="A36:D36"/>
    <mergeCell ref="E36:H36"/>
    <mergeCell ref="A37:D37"/>
    <mergeCell ref="E37:H37"/>
    <mergeCell ref="E43:H43"/>
    <mergeCell ref="A25:H25"/>
    <mergeCell ref="A6:H6"/>
    <mergeCell ref="A7:H7"/>
    <mergeCell ref="A8:H8"/>
    <mergeCell ref="A9:H9"/>
    <mergeCell ref="A10:H10"/>
    <mergeCell ref="A11:H11"/>
    <mergeCell ref="B13:F13"/>
    <mergeCell ref="B15:F15"/>
    <mergeCell ref="B21:F21"/>
    <mergeCell ref="B23:F23"/>
    <mergeCell ref="B24:F24"/>
    <mergeCell ref="A4:B4"/>
    <mergeCell ref="C4:H4"/>
    <mergeCell ref="A1:B1"/>
    <mergeCell ref="C1:H1"/>
    <mergeCell ref="A2:B2"/>
    <mergeCell ref="C2:H2"/>
    <mergeCell ref="A3:B3"/>
  </mergeCells>
  <dataValidations disablePrompts="1" count="2">
    <dataValidation type="list" allowBlank="1" showInputMessage="1" showErrorMessage="1" sqref="B22" xr:uid="{00000000-0002-0000-0D00-000000000000}">
      <formula1>bichphuong</formula1>
    </dataValidation>
    <dataValidation type="list" allowBlank="1" showInputMessage="1" showErrorMessage="1" sqref="WVJ983046:WVJ983063 B983046:B983063 IX983046:IX983063 ST983046:ST983063 ACP983046:ACP983063 AML983046:AML983063 AWH983046:AWH983063 BGD983046:BGD983063 BPZ983046:BPZ983063 BZV983046:BZV983063 CJR983046:CJR983063 CTN983046:CTN983063 DDJ983046:DDJ983063 DNF983046:DNF983063 DXB983046:DXB983063 EGX983046:EGX983063 EQT983046:EQT983063 FAP983046:FAP983063 FKL983046:FKL983063 FUH983046:FUH983063 GED983046:GED983063 GNZ983046:GNZ983063 GXV983046:GXV983063 HHR983046:HHR983063 HRN983046:HRN983063 IBJ983046:IBJ983063 ILF983046:ILF983063 IVB983046:IVB983063 JEX983046:JEX983063 JOT983046:JOT983063 JYP983046:JYP983063 KIL983046:KIL983063 KSH983046:KSH983063 LCD983046:LCD983063 LLZ983046:LLZ983063 LVV983046:LVV983063 MFR983046:MFR983063 MPN983046:MPN983063 MZJ983046:MZJ983063 NJF983046:NJF983063 NTB983046:NTB983063 OCX983046:OCX983063 OMT983046:OMT983063 OWP983046:OWP983063 PGL983046:PGL983063 PQH983046:PQH983063 QAD983046:QAD983063 QJZ983046:QJZ983063 QTV983046:QTV983063 RDR983046:RDR983063 RNN983046:RNN983063 RXJ983046:RXJ983063 SHF983046:SHF983063 SRB983046:SRB983063 TAX983046:TAX983063 TKT983046:TKT983063 TUP983046:TUP983063 UEL983046:UEL983063 UOH983046:UOH983063 UYD983046:UYD983063 VHZ983046:VHZ983063 VRV983046:VRV983063 WBR983046:WBR983063 WLN983046:WLN983063 B65542:B65559 IX65542:IX65559 ST65542:ST65559 ACP65542:ACP65559 AML65542:AML65559 AWH65542:AWH65559 BGD65542:BGD65559 BPZ65542:BPZ65559 BZV65542:BZV65559 CJR65542:CJR65559 CTN65542:CTN65559 DDJ65542:DDJ65559 DNF65542:DNF65559 DXB65542:DXB65559 EGX65542:EGX65559 EQT65542:EQT65559 FAP65542:FAP65559 FKL65542:FKL65559 FUH65542:FUH65559 GED65542:GED65559 GNZ65542:GNZ65559 GXV65542:GXV65559 HHR65542:HHR65559 HRN65542:HRN65559 IBJ65542:IBJ65559 ILF65542:ILF65559 IVB65542:IVB65559 JEX65542:JEX65559 JOT65542:JOT65559 JYP65542:JYP65559 KIL65542:KIL65559 KSH65542:KSH65559 LCD65542:LCD65559 LLZ65542:LLZ65559 LVV65542:LVV65559 MFR65542:MFR65559 MPN65542:MPN65559 MZJ65542:MZJ65559 NJF65542:NJF65559 NTB65542:NTB65559 OCX65542:OCX65559 OMT65542:OMT65559 OWP65542:OWP65559 PGL65542:PGL65559 PQH65542:PQH65559 QAD65542:QAD65559 QJZ65542:QJZ65559 QTV65542:QTV65559 RDR65542:RDR65559 RNN65542:RNN65559 RXJ65542:RXJ65559 SHF65542:SHF65559 SRB65542:SRB65559 TAX65542:TAX65559 TKT65542:TKT65559 TUP65542:TUP65559 UEL65542:UEL65559 UOH65542:UOH65559 UYD65542:UYD65559 VHZ65542:VHZ65559 VRV65542:VRV65559 WBR65542:WBR65559 WLN65542:WLN65559 WVJ65542:WVJ65559 B131078:B131095 IX131078:IX131095 ST131078:ST131095 ACP131078:ACP131095 AML131078:AML131095 AWH131078:AWH131095 BGD131078:BGD131095 BPZ131078:BPZ131095 BZV131078:BZV131095 CJR131078:CJR131095 CTN131078:CTN131095 DDJ131078:DDJ131095 DNF131078:DNF131095 DXB131078:DXB131095 EGX131078:EGX131095 EQT131078:EQT131095 FAP131078:FAP131095 FKL131078:FKL131095 FUH131078:FUH131095 GED131078:GED131095 GNZ131078:GNZ131095 GXV131078:GXV131095 HHR131078:HHR131095 HRN131078:HRN131095 IBJ131078:IBJ131095 ILF131078:ILF131095 IVB131078:IVB131095 JEX131078:JEX131095 JOT131078:JOT131095 JYP131078:JYP131095 KIL131078:KIL131095 KSH131078:KSH131095 LCD131078:LCD131095 LLZ131078:LLZ131095 LVV131078:LVV131095 MFR131078:MFR131095 MPN131078:MPN131095 MZJ131078:MZJ131095 NJF131078:NJF131095 NTB131078:NTB131095 OCX131078:OCX131095 OMT131078:OMT131095 OWP131078:OWP131095 PGL131078:PGL131095 PQH131078:PQH131095 QAD131078:QAD131095 QJZ131078:QJZ131095 QTV131078:QTV131095 RDR131078:RDR131095 RNN131078:RNN131095 RXJ131078:RXJ131095 SHF131078:SHF131095 SRB131078:SRB131095 TAX131078:TAX131095 TKT131078:TKT131095 TUP131078:TUP131095 UEL131078:UEL131095 UOH131078:UOH131095 UYD131078:UYD131095 VHZ131078:VHZ131095 VRV131078:VRV131095 WBR131078:WBR131095 WLN131078:WLN131095 WVJ131078:WVJ131095 B196614:B196631 IX196614:IX196631 ST196614:ST196631 ACP196614:ACP196631 AML196614:AML196631 AWH196614:AWH196631 BGD196614:BGD196631 BPZ196614:BPZ196631 BZV196614:BZV196631 CJR196614:CJR196631 CTN196614:CTN196631 DDJ196614:DDJ196631 DNF196614:DNF196631 DXB196614:DXB196631 EGX196614:EGX196631 EQT196614:EQT196631 FAP196614:FAP196631 FKL196614:FKL196631 FUH196614:FUH196631 GED196614:GED196631 GNZ196614:GNZ196631 GXV196614:GXV196631 HHR196614:HHR196631 HRN196614:HRN196631 IBJ196614:IBJ196631 ILF196614:ILF196631 IVB196614:IVB196631 JEX196614:JEX196631 JOT196614:JOT196631 JYP196614:JYP196631 KIL196614:KIL196631 KSH196614:KSH196631 LCD196614:LCD196631 LLZ196614:LLZ196631 LVV196614:LVV196631 MFR196614:MFR196631 MPN196614:MPN196631 MZJ196614:MZJ196631 NJF196614:NJF196631 NTB196614:NTB196631 OCX196614:OCX196631 OMT196614:OMT196631 OWP196614:OWP196631 PGL196614:PGL196631 PQH196614:PQH196631 QAD196614:QAD196631 QJZ196614:QJZ196631 QTV196614:QTV196631 RDR196614:RDR196631 RNN196614:RNN196631 RXJ196614:RXJ196631 SHF196614:SHF196631 SRB196614:SRB196631 TAX196614:TAX196631 TKT196614:TKT196631 TUP196614:TUP196631 UEL196614:UEL196631 UOH196614:UOH196631 UYD196614:UYD196631 VHZ196614:VHZ196631 VRV196614:VRV196631 WBR196614:WBR196631 WLN196614:WLN196631 WVJ196614:WVJ196631 B262150:B262167 IX262150:IX262167 ST262150:ST262167 ACP262150:ACP262167 AML262150:AML262167 AWH262150:AWH262167 BGD262150:BGD262167 BPZ262150:BPZ262167 BZV262150:BZV262167 CJR262150:CJR262167 CTN262150:CTN262167 DDJ262150:DDJ262167 DNF262150:DNF262167 DXB262150:DXB262167 EGX262150:EGX262167 EQT262150:EQT262167 FAP262150:FAP262167 FKL262150:FKL262167 FUH262150:FUH262167 GED262150:GED262167 GNZ262150:GNZ262167 GXV262150:GXV262167 HHR262150:HHR262167 HRN262150:HRN262167 IBJ262150:IBJ262167 ILF262150:ILF262167 IVB262150:IVB262167 JEX262150:JEX262167 JOT262150:JOT262167 JYP262150:JYP262167 KIL262150:KIL262167 KSH262150:KSH262167 LCD262150:LCD262167 LLZ262150:LLZ262167 LVV262150:LVV262167 MFR262150:MFR262167 MPN262150:MPN262167 MZJ262150:MZJ262167 NJF262150:NJF262167 NTB262150:NTB262167 OCX262150:OCX262167 OMT262150:OMT262167 OWP262150:OWP262167 PGL262150:PGL262167 PQH262150:PQH262167 QAD262150:QAD262167 QJZ262150:QJZ262167 QTV262150:QTV262167 RDR262150:RDR262167 RNN262150:RNN262167 RXJ262150:RXJ262167 SHF262150:SHF262167 SRB262150:SRB262167 TAX262150:TAX262167 TKT262150:TKT262167 TUP262150:TUP262167 UEL262150:UEL262167 UOH262150:UOH262167 UYD262150:UYD262167 VHZ262150:VHZ262167 VRV262150:VRV262167 WBR262150:WBR262167 WLN262150:WLN262167 WVJ262150:WVJ262167 B327686:B327703 IX327686:IX327703 ST327686:ST327703 ACP327686:ACP327703 AML327686:AML327703 AWH327686:AWH327703 BGD327686:BGD327703 BPZ327686:BPZ327703 BZV327686:BZV327703 CJR327686:CJR327703 CTN327686:CTN327703 DDJ327686:DDJ327703 DNF327686:DNF327703 DXB327686:DXB327703 EGX327686:EGX327703 EQT327686:EQT327703 FAP327686:FAP327703 FKL327686:FKL327703 FUH327686:FUH327703 GED327686:GED327703 GNZ327686:GNZ327703 GXV327686:GXV327703 HHR327686:HHR327703 HRN327686:HRN327703 IBJ327686:IBJ327703 ILF327686:ILF327703 IVB327686:IVB327703 JEX327686:JEX327703 JOT327686:JOT327703 JYP327686:JYP327703 KIL327686:KIL327703 KSH327686:KSH327703 LCD327686:LCD327703 LLZ327686:LLZ327703 LVV327686:LVV327703 MFR327686:MFR327703 MPN327686:MPN327703 MZJ327686:MZJ327703 NJF327686:NJF327703 NTB327686:NTB327703 OCX327686:OCX327703 OMT327686:OMT327703 OWP327686:OWP327703 PGL327686:PGL327703 PQH327686:PQH327703 QAD327686:QAD327703 QJZ327686:QJZ327703 QTV327686:QTV327703 RDR327686:RDR327703 RNN327686:RNN327703 RXJ327686:RXJ327703 SHF327686:SHF327703 SRB327686:SRB327703 TAX327686:TAX327703 TKT327686:TKT327703 TUP327686:TUP327703 UEL327686:UEL327703 UOH327686:UOH327703 UYD327686:UYD327703 VHZ327686:VHZ327703 VRV327686:VRV327703 WBR327686:WBR327703 WLN327686:WLN327703 WVJ327686:WVJ327703 B393222:B393239 IX393222:IX393239 ST393222:ST393239 ACP393222:ACP393239 AML393222:AML393239 AWH393222:AWH393239 BGD393222:BGD393239 BPZ393222:BPZ393239 BZV393222:BZV393239 CJR393222:CJR393239 CTN393222:CTN393239 DDJ393222:DDJ393239 DNF393222:DNF393239 DXB393222:DXB393239 EGX393222:EGX393239 EQT393222:EQT393239 FAP393222:FAP393239 FKL393222:FKL393239 FUH393222:FUH393239 GED393222:GED393239 GNZ393222:GNZ393239 GXV393222:GXV393239 HHR393222:HHR393239 HRN393222:HRN393239 IBJ393222:IBJ393239 ILF393222:ILF393239 IVB393222:IVB393239 JEX393222:JEX393239 JOT393222:JOT393239 JYP393222:JYP393239 KIL393222:KIL393239 KSH393222:KSH393239 LCD393222:LCD393239 LLZ393222:LLZ393239 LVV393222:LVV393239 MFR393222:MFR393239 MPN393222:MPN393239 MZJ393222:MZJ393239 NJF393222:NJF393239 NTB393222:NTB393239 OCX393222:OCX393239 OMT393222:OMT393239 OWP393222:OWP393239 PGL393222:PGL393239 PQH393222:PQH393239 QAD393222:QAD393239 QJZ393222:QJZ393239 QTV393222:QTV393239 RDR393222:RDR393239 RNN393222:RNN393239 RXJ393222:RXJ393239 SHF393222:SHF393239 SRB393222:SRB393239 TAX393222:TAX393239 TKT393222:TKT393239 TUP393222:TUP393239 UEL393222:UEL393239 UOH393222:UOH393239 UYD393222:UYD393239 VHZ393222:VHZ393239 VRV393222:VRV393239 WBR393222:WBR393239 WLN393222:WLN393239 WVJ393222:WVJ393239 B458758:B458775 IX458758:IX458775 ST458758:ST458775 ACP458758:ACP458775 AML458758:AML458775 AWH458758:AWH458775 BGD458758:BGD458775 BPZ458758:BPZ458775 BZV458758:BZV458775 CJR458758:CJR458775 CTN458758:CTN458775 DDJ458758:DDJ458775 DNF458758:DNF458775 DXB458758:DXB458775 EGX458758:EGX458775 EQT458758:EQT458775 FAP458758:FAP458775 FKL458758:FKL458775 FUH458758:FUH458775 GED458758:GED458775 GNZ458758:GNZ458775 GXV458758:GXV458775 HHR458758:HHR458775 HRN458758:HRN458775 IBJ458758:IBJ458775 ILF458758:ILF458775 IVB458758:IVB458775 JEX458758:JEX458775 JOT458758:JOT458775 JYP458758:JYP458775 KIL458758:KIL458775 KSH458758:KSH458775 LCD458758:LCD458775 LLZ458758:LLZ458775 LVV458758:LVV458775 MFR458758:MFR458775 MPN458758:MPN458775 MZJ458758:MZJ458775 NJF458758:NJF458775 NTB458758:NTB458775 OCX458758:OCX458775 OMT458758:OMT458775 OWP458758:OWP458775 PGL458758:PGL458775 PQH458758:PQH458775 QAD458758:QAD458775 QJZ458758:QJZ458775 QTV458758:QTV458775 RDR458758:RDR458775 RNN458758:RNN458775 RXJ458758:RXJ458775 SHF458758:SHF458775 SRB458758:SRB458775 TAX458758:TAX458775 TKT458758:TKT458775 TUP458758:TUP458775 UEL458758:UEL458775 UOH458758:UOH458775 UYD458758:UYD458775 VHZ458758:VHZ458775 VRV458758:VRV458775 WBR458758:WBR458775 WLN458758:WLN458775 WVJ458758:WVJ458775 B524294:B524311 IX524294:IX524311 ST524294:ST524311 ACP524294:ACP524311 AML524294:AML524311 AWH524294:AWH524311 BGD524294:BGD524311 BPZ524294:BPZ524311 BZV524294:BZV524311 CJR524294:CJR524311 CTN524294:CTN524311 DDJ524294:DDJ524311 DNF524294:DNF524311 DXB524294:DXB524311 EGX524294:EGX524311 EQT524294:EQT524311 FAP524294:FAP524311 FKL524294:FKL524311 FUH524294:FUH524311 GED524294:GED524311 GNZ524294:GNZ524311 GXV524294:GXV524311 HHR524294:HHR524311 HRN524294:HRN524311 IBJ524294:IBJ524311 ILF524294:ILF524311 IVB524294:IVB524311 JEX524294:JEX524311 JOT524294:JOT524311 JYP524294:JYP524311 KIL524294:KIL524311 KSH524294:KSH524311 LCD524294:LCD524311 LLZ524294:LLZ524311 LVV524294:LVV524311 MFR524294:MFR524311 MPN524294:MPN524311 MZJ524294:MZJ524311 NJF524294:NJF524311 NTB524294:NTB524311 OCX524294:OCX524311 OMT524294:OMT524311 OWP524294:OWP524311 PGL524294:PGL524311 PQH524294:PQH524311 QAD524294:QAD524311 QJZ524294:QJZ524311 QTV524294:QTV524311 RDR524294:RDR524311 RNN524294:RNN524311 RXJ524294:RXJ524311 SHF524294:SHF524311 SRB524294:SRB524311 TAX524294:TAX524311 TKT524294:TKT524311 TUP524294:TUP524311 UEL524294:UEL524311 UOH524294:UOH524311 UYD524294:UYD524311 VHZ524294:VHZ524311 VRV524294:VRV524311 WBR524294:WBR524311 WLN524294:WLN524311 WVJ524294:WVJ524311 B589830:B589847 IX589830:IX589847 ST589830:ST589847 ACP589830:ACP589847 AML589830:AML589847 AWH589830:AWH589847 BGD589830:BGD589847 BPZ589830:BPZ589847 BZV589830:BZV589847 CJR589830:CJR589847 CTN589830:CTN589847 DDJ589830:DDJ589847 DNF589830:DNF589847 DXB589830:DXB589847 EGX589830:EGX589847 EQT589830:EQT589847 FAP589830:FAP589847 FKL589830:FKL589847 FUH589830:FUH589847 GED589830:GED589847 GNZ589830:GNZ589847 GXV589830:GXV589847 HHR589830:HHR589847 HRN589830:HRN589847 IBJ589830:IBJ589847 ILF589830:ILF589847 IVB589830:IVB589847 JEX589830:JEX589847 JOT589830:JOT589847 JYP589830:JYP589847 KIL589830:KIL589847 KSH589830:KSH589847 LCD589830:LCD589847 LLZ589830:LLZ589847 LVV589830:LVV589847 MFR589830:MFR589847 MPN589830:MPN589847 MZJ589830:MZJ589847 NJF589830:NJF589847 NTB589830:NTB589847 OCX589830:OCX589847 OMT589830:OMT589847 OWP589830:OWP589847 PGL589830:PGL589847 PQH589830:PQH589847 QAD589830:QAD589847 QJZ589830:QJZ589847 QTV589830:QTV589847 RDR589830:RDR589847 RNN589830:RNN589847 RXJ589830:RXJ589847 SHF589830:SHF589847 SRB589830:SRB589847 TAX589830:TAX589847 TKT589830:TKT589847 TUP589830:TUP589847 UEL589830:UEL589847 UOH589830:UOH589847 UYD589830:UYD589847 VHZ589830:VHZ589847 VRV589830:VRV589847 WBR589830:WBR589847 WLN589830:WLN589847 WVJ589830:WVJ589847 B655366:B655383 IX655366:IX655383 ST655366:ST655383 ACP655366:ACP655383 AML655366:AML655383 AWH655366:AWH655383 BGD655366:BGD655383 BPZ655366:BPZ655383 BZV655366:BZV655383 CJR655366:CJR655383 CTN655366:CTN655383 DDJ655366:DDJ655383 DNF655366:DNF655383 DXB655366:DXB655383 EGX655366:EGX655383 EQT655366:EQT655383 FAP655366:FAP655383 FKL655366:FKL655383 FUH655366:FUH655383 GED655366:GED655383 GNZ655366:GNZ655383 GXV655366:GXV655383 HHR655366:HHR655383 HRN655366:HRN655383 IBJ655366:IBJ655383 ILF655366:ILF655383 IVB655366:IVB655383 JEX655366:JEX655383 JOT655366:JOT655383 JYP655366:JYP655383 KIL655366:KIL655383 KSH655366:KSH655383 LCD655366:LCD655383 LLZ655366:LLZ655383 LVV655366:LVV655383 MFR655366:MFR655383 MPN655366:MPN655383 MZJ655366:MZJ655383 NJF655366:NJF655383 NTB655366:NTB655383 OCX655366:OCX655383 OMT655366:OMT655383 OWP655366:OWP655383 PGL655366:PGL655383 PQH655366:PQH655383 QAD655366:QAD655383 QJZ655366:QJZ655383 QTV655366:QTV655383 RDR655366:RDR655383 RNN655366:RNN655383 RXJ655366:RXJ655383 SHF655366:SHF655383 SRB655366:SRB655383 TAX655366:TAX655383 TKT655366:TKT655383 TUP655366:TUP655383 UEL655366:UEL655383 UOH655366:UOH655383 UYD655366:UYD655383 VHZ655366:VHZ655383 VRV655366:VRV655383 WBR655366:WBR655383 WLN655366:WLN655383 WVJ655366:WVJ655383 B720902:B720919 IX720902:IX720919 ST720902:ST720919 ACP720902:ACP720919 AML720902:AML720919 AWH720902:AWH720919 BGD720902:BGD720919 BPZ720902:BPZ720919 BZV720902:BZV720919 CJR720902:CJR720919 CTN720902:CTN720919 DDJ720902:DDJ720919 DNF720902:DNF720919 DXB720902:DXB720919 EGX720902:EGX720919 EQT720902:EQT720919 FAP720902:FAP720919 FKL720902:FKL720919 FUH720902:FUH720919 GED720902:GED720919 GNZ720902:GNZ720919 GXV720902:GXV720919 HHR720902:HHR720919 HRN720902:HRN720919 IBJ720902:IBJ720919 ILF720902:ILF720919 IVB720902:IVB720919 JEX720902:JEX720919 JOT720902:JOT720919 JYP720902:JYP720919 KIL720902:KIL720919 KSH720902:KSH720919 LCD720902:LCD720919 LLZ720902:LLZ720919 LVV720902:LVV720919 MFR720902:MFR720919 MPN720902:MPN720919 MZJ720902:MZJ720919 NJF720902:NJF720919 NTB720902:NTB720919 OCX720902:OCX720919 OMT720902:OMT720919 OWP720902:OWP720919 PGL720902:PGL720919 PQH720902:PQH720919 QAD720902:QAD720919 QJZ720902:QJZ720919 QTV720902:QTV720919 RDR720902:RDR720919 RNN720902:RNN720919 RXJ720902:RXJ720919 SHF720902:SHF720919 SRB720902:SRB720919 TAX720902:TAX720919 TKT720902:TKT720919 TUP720902:TUP720919 UEL720902:UEL720919 UOH720902:UOH720919 UYD720902:UYD720919 VHZ720902:VHZ720919 VRV720902:VRV720919 WBR720902:WBR720919 WLN720902:WLN720919 WVJ720902:WVJ720919 B786438:B786455 IX786438:IX786455 ST786438:ST786455 ACP786438:ACP786455 AML786438:AML786455 AWH786438:AWH786455 BGD786438:BGD786455 BPZ786438:BPZ786455 BZV786438:BZV786455 CJR786438:CJR786455 CTN786438:CTN786455 DDJ786438:DDJ786455 DNF786438:DNF786455 DXB786438:DXB786455 EGX786438:EGX786455 EQT786438:EQT786455 FAP786438:FAP786455 FKL786438:FKL786455 FUH786438:FUH786455 GED786438:GED786455 GNZ786438:GNZ786455 GXV786438:GXV786455 HHR786438:HHR786455 HRN786438:HRN786455 IBJ786438:IBJ786455 ILF786438:ILF786455 IVB786438:IVB786455 JEX786438:JEX786455 JOT786438:JOT786455 JYP786438:JYP786455 KIL786438:KIL786455 KSH786438:KSH786455 LCD786438:LCD786455 LLZ786438:LLZ786455 LVV786438:LVV786455 MFR786438:MFR786455 MPN786438:MPN786455 MZJ786438:MZJ786455 NJF786438:NJF786455 NTB786438:NTB786455 OCX786438:OCX786455 OMT786438:OMT786455 OWP786438:OWP786455 PGL786438:PGL786455 PQH786438:PQH786455 QAD786438:QAD786455 QJZ786438:QJZ786455 QTV786438:QTV786455 RDR786438:RDR786455 RNN786438:RNN786455 RXJ786438:RXJ786455 SHF786438:SHF786455 SRB786438:SRB786455 TAX786438:TAX786455 TKT786438:TKT786455 TUP786438:TUP786455 UEL786438:UEL786455 UOH786438:UOH786455 UYD786438:UYD786455 VHZ786438:VHZ786455 VRV786438:VRV786455 WBR786438:WBR786455 WLN786438:WLN786455 WVJ786438:WVJ786455 B851974:B851991 IX851974:IX851991 ST851974:ST851991 ACP851974:ACP851991 AML851974:AML851991 AWH851974:AWH851991 BGD851974:BGD851991 BPZ851974:BPZ851991 BZV851974:BZV851991 CJR851974:CJR851991 CTN851974:CTN851991 DDJ851974:DDJ851991 DNF851974:DNF851991 DXB851974:DXB851991 EGX851974:EGX851991 EQT851974:EQT851991 FAP851974:FAP851991 FKL851974:FKL851991 FUH851974:FUH851991 GED851974:GED851991 GNZ851974:GNZ851991 GXV851974:GXV851991 HHR851974:HHR851991 HRN851974:HRN851991 IBJ851974:IBJ851991 ILF851974:ILF851991 IVB851974:IVB851991 JEX851974:JEX851991 JOT851974:JOT851991 JYP851974:JYP851991 KIL851974:KIL851991 KSH851974:KSH851991 LCD851974:LCD851991 LLZ851974:LLZ851991 LVV851974:LVV851991 MFR851974:MFR851991 MPN851974:MPN851991 MZJ851974:MZJ851991 NJF851974:NJF851991 NTB851974:NTB851991 OCX851974:OCX851991 OMT851974:OMT851991 OWP851974:OWP851991 PGL851974:PGL851991 PQH851974:PQH851991 QAD851974:QAD851991 QJZ851974:QJZ851991 QTV851974:QTV851991 RDR851974:RDR851991 RNN851974:RNN851991 RXJ851974:RXJ851991 SHF851974:SHF851991 SRB851974:SRB851991 TAX851974:TAX851991 TKT851974:TKT851991 TUP851974:TUP851991 UEL851974:UEL851991 UOH851974:UOH851991 UYD851974:UYD851991 VHZ851974:VHZ851991 VRV851974:VRV851991 WBR851974:WBR851991 WLN851974:WLN851991 WVJ851974:WVJ851991 B917510:B917527 IX917510:IX917527 ST917510:ST917527 ACP917510:ACP917527 AML917510:AML917527 AWH917510:AWH917527 BGD917510:BGD917527 BPZ917510:BPZ917527 BZV917510:BZV917527 CJR917510:CJR917527 CTN917510:CTN917527 DDJ917510:DDJ917527 DNF917510:DNF917527 DXB917510:DXB917527 EGX917510:EGX917527 EQT917510:EQT917527 FAP917510:FAP917527 FKL917510:FKL917527 FUH917510:FUH917527 GED917510:GED917527 GNZ917510:GNZ917527 GXV917510:GXV917527 HHR917510:HHR917527 HRN917510:HRN917527 IBJ917510:IBJ917527 ILF917510:ILF917527 IVB917510:IVB917527 JEX917510:JEX917527 JOT917510:JOT917527 JYP917510:JYP917527 KIL917510:KIL917527 KSH917510:KSH917527 LCD917510:LCD917527 LLZ917510:LLZ917527 LVV917510:LVV917527 MFR917510:MFR917527 MPN917510:MPN917527 MZJ917510:MZJ917527 NJF917510:NJF917527 NTB917510:NTB917527 OCX917510:OCX917527 OMT917510:OMT917527 OWP917510:OWP917527 PGL917510:PGL917527 PQH917510:PQH917527 QAD917510:QAD917527 QJZ917510:QJZ917527 QTV917510:QTV917527 RDR917510:RDR917527 RNN917510:RNN917527 RXJ917510:RXJ917527 SHF917510:SHF917527 SRB917510:SRB917527 TAX917510:TAX917527 TKT917510:TKT917527 TUP917510:TUP917527 UEL917510:UEL917527 UOH917510:UOH917527 UYD917510:UYD917527 VHZ917510:VHZ917527 VRV917510:VRV917527 WBR917510:WBR917527 WLN917510:WLN917527 WVJ917510:WVJ917527" xr:uid="{00000000-0002-0000-0D00-000001000000}">
      <formula1>trung</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337"/>
  <sheetViews>
    <sheetView topLeftCell="A9"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48"/>
      <c r="G3" s="102"/>
      <c r="H3" s="103"/>
    </row>
    <row r="4" spans="1:8" s="98" customFormat="1" ht="18" customHeight="1">
      <c r="A4" s="414"/>
      <c r="B4" s="414"/>
      <c r="C4" s="415" t="s">
        <v>1740</v>
      </c>
      <c r="D4" s="416"/>
      <c r="E4" s="416"/>
      <c r="F4" s="416"/>
      <c r="G4" s="416"/>
      <c r="H4" s="416"/>
    </row>
    <row r="5" spans="1:8" s="98" customFormat="1" ht="15.6">
      <c r="A5" s="104"/>
      <c r="B5" s="104"/>
      <c r="C5" s="147"/>
      <c r="D5" s="105"/>
      <c r="E5" s="106"/>
      <c r="F5" s="147"/>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42" customHeight="1">
      <c r="A8" s="420" t="s">
        <v>1807</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1800</v>
      </c>
      <c r="C13" s="425"/>
      <c r="D13" s="425"/>
      <c r="E13" s="425"/>
      <c r="F13" s="425"/>
      <c r="G13" s="73">
        <v>0</v>
      </c>
      <c r="H13" s="74"/>
    </row>
    <row r="14" spans="1:8" ht="27" customHeight="1">
      <c r="A14" s="75" t="s">
        <v>18</v>
      </c>
      <c r="B14" s="426" t="s">
        <v>1725</v>
      </c>
      <c r="C14" s="426"/>
      <c r="D14" s="426"/>
      <c r="E14" s="426"/>
      <c r="F14" s="426"/>
      <c r="G14" s="76">
        <f>SUM(G15:G20)</f>
        <v>8837637.6895000003</v>
      </c>
      <c r="H14" s="11"/>
    </row>
    <row r="15" spans="1:8" ht="31.2">
      <c r="A15" s="77">
        <v>1</v>
      </c>
      <c r="B15" s="78" t="s">
        <v>1808</v>
      </c>
      <c r="C15" s="14" t="s">
        <v>1754</v>
      </c>
      <c r="D15" s="132">
        <f>3.1*1.5*0.11</f>
        <v>0.51150000000000007</v>
      </c>
      <c r="E15" s="15">
        <v>2126713</v>
      </c>
      <c r="F15" s="14">
        <v>1</v>
      </c>
      <c r="G15" s="79">
        <f t="shared" ref="G15:G20" si="0">D15*E15*F15</f>
        <v>1087813.6995000001</v>
      </c>
      <c r="H15" s="15"/>
    </row>
    <row r="16" spans="1:8" ht="15.6">
      <c r="A16" s="77"/>
      <c r="B16" s="78" t="s">
        <v>1962</v>
      </c>
      <c r="C16" s="14" t="s">
        <v>66</v>
      </c>
      <c r="D16" s="132">
        <f>3.1*1.5*2</f>
        <v>9.3000000000000007</v>
      </c>
      <c r="E16" s="15">
        <v>141099</v>
      </c>
      <c r="F16" s="14">
        <v>1</v>
      </c>
      <c r="G16" s="79">
        <f t="shared" si="0"/>
        <v>1312220.7000000002</v>
      </c>
      <c r="H16" s="15"/>
    </row>
    <row r="17" spans="1:8" ht="31.2">
      <c r="A17" s="77">
        <v>2</v>
      </c>
      <c r="B17" s="78" t="s">
        <v>1809</v>
      </c>
      <c r="C17" s="14" t="s">
        <v>1754</v>
      </c>
      <c r="D17" s="132">
        <f>(0.4*0.5*1.8)*2</f>
        <v>0.72000000000000008</v>
      </c>
      <c r="E17" s="15">
        <v>2623803</v>
      </c>
      <c r="F17" s="14">
        <v>1</v>
      </c>
      <c r="G17" s="79">
        <f t="shared" si="0"/>
        <v>1889138.1600000001</v>
      </c>
      <c r="H17" s="15"/>
    </row>
    <row r="18" spans="1:8" ht="30.6" customHeight="1">
      <c r="A18" s="77"/>
      <c r="B18" s="78" t="s">
        <v>1963</v>
      </c>
      <c r="C18" s="14" t="s">
        <v>66</v>
      </c>
      <c r="D18" s="132">
        <f>(0.4+0.5)*1.8*2*2</f>
        <v>6.48</v>
      </c>
      <c r="E18" s="15">
        <v>250492</v>
      </c>
      <c r="F18" s="14">
        <v>1</v>
      </c>
      <c r="G18" s="79">
        <f t="shared" si="0"/>
        <v>1623188.1600000001</v>
      </c>
      <c r="H18" s="15"/>
    </row>
    <row r="19" spans="1:8" ht="15.6">
      <c r="A19" s="77">
        <v>3</v>
      </c>
      <c r="B19" s="78" t="s">
        <v>1810</v>
      </c>
      <c r="C19" s="14" t="s">
        <v>66</v>
      </c>
      <c r="D19" s="132">
        <f>2*1.6</f>
        <v>3.2</v>
      </c>
      <c r="E19" s="15">
        <v>550000</v>
      </c>
      <c r="F19" s="14">
        <v>1</v>
      </c>
      <c r="G19" s="79">
        <f t="shared" si="0"/>
        <v>1760000</v>
      </c>
      <c r="H19" s="15"/>
    </row>
    <row r="20" spans="1:8" ht="15.6">
      <c r="A20" s="77">
        <v>4</v>
      </c>
      <c r="B20" s="78" t="s">
        <v>1811</v>
      </c>
      <c r="C20" s="14" t="s">
        <v>1754</v>
      </c>
      <c r="D20" s="132">
        <f>1.3*5.5*0.1</f>
        <v>0.71500000000000008</v>
      </c>
      <c r="E20" s="15">
        <v>1629758</v>
      </c>
      <c r="F20" s="14">
        <v>1</v>
      </c>
      <c r="G20" s="79">
        <f t="shared" si="0"/>
        <v>1165276.9700000002</v>
      </c>
      <c r="H20" s="15"/>
    </row>
    <row r="21" spans="1:8" ht="24" customHeight="1">
      <c r="A21" s="75" t="s">
        <v>19</v>
      </c>
      <c r="B21" s="426" t="s">
        <v>1727</v>
      </c>
      <c r="C21" s="426"/>
      <c r="D21" s="426"/>
      <c r="E21" s="426"/>
      <c r="F21" s="426"/>
      <c r="G21" s="76">
        <f>SUM(G22:G22)</f>
        <v>0</v>
      </c>
      <c r="H21" s="11"/>
    </row>
    <row r="22" spans="1:8" ht="30.6" customHeight="1">
      <c r="A22" s="77"/>
      <c r="B22" s="78" t="s">
        <v>1728</v>
      </c>
      <c r="C22" s="13"/>
      <c r="D22" s="13"/>
      <c r="E22" s="13"/>
      <c r="F22" s="13"/>
      <c r="G22" s="79"/>
      <c r="H22" s="15"/>
    </row>
    <row r="23" spans="1:8" ht="15.6">
      <c r="A23" s="80"/>
      <c r="B23" s="427" t="s">
        <v>62</v>
      </c>
      <c r="C23" s="428"/>
      <c r="D23" s="428"/>
      <c r="E23" s="428"/>
      <c r="F23" s="429"/>
      <c r="G23" s="81">
        <f>G13+G14+G21</f>
        <v>8837637.6895000003</v>
      </c>
      <c r="H23" s="82"/>
    </row>
    <row r="24" spans="1:8" ht="15.6">
      <c r="A24" s="80"/>
      <c r="B24" s="427" t="s">
        <v>1726</v>
      </c>
      <c r="C24" s="428"/>
      <c r="D24" s="428"/>
      <c r="E24" s="428"/>
      <c r="F24" s="429"/>
      <c r="G24" s="81">
        <f>ROUND(G23,-3)</f>
        <v>8838000</v>
      </c>
      <c r="H24" s="82"/>
    </row>
    <row r="25" spans="1:8" ht="15.6">
      <c r="A25" s="430" t="e">
        <f ca="1">[19]!vnd(G24)</f>
        <v>#NAME?</v>
      </c>
      <c r="B25" s="431"/>
      <c r="C25" s="431"/>
      <c r="D25" s="431"/>
      <c r="E25" s="431"/>
      <c r="F25" s="431"/>
      <c r="G25" s="431"/>
      <c r="H25" s="432"/>
    </row>
    <row r="26" spans="1:8">
      <c r="A26" s="17"/>
      <c r="B26" s="17"/>
      <c r="C26" s="97"/>
      <c r="D26" s="20"/>
      <c r="E26" s="19"/>
      <c r="F26" s="97"/>
      <c r="G26" s="19"/>
      <c r="H26" s="17"/>
    </row>
    <row r="27" spans="1:8" s="109" customFormat="1" ht="16.5" customHeight="1">
      <c r="A27" s="108"/>
      <c r="B27" s="108"/>
      <c r="C27" s="424" t="s">
        <v>1742</v>
      </c>
      <c r="D27" s="424"/>
      <c r="E27" s="424"/>
      <c r="F27" s="424"/>
      <c r="G27" s="424"/>
      <c r="H27" s="424"/>
    </row>
    <row r="28" spans="1:8" s="109" customFormat="1" ht="16.5" customHeight="1">
      <c r="A28" s="423" t="s">
        <v>63</v>
      </c>
      <c r="B28" s="423"/>
      <c r="C28" s="424" t="s">
        <v>1743</v>
      </c>
      <c r="D28" s="424"/>
      <c r="E28" s="424"/>
      <c r="F28" s="424" t="s">
        <v>1744</v>
      </c>
      <c r="G28" s="424"/>
      <c r="H28" s="424"/>
    </row>
    <row r="29" spans="1:8" s="109" customFormat="1" ht="15.6">
      <c r="A29" s="108"/>
      <c r="B29" s="108"/>
      <c r="C29" s="108"/>
      <c r="D29" s="110"/>
      <c r="E29" s="111"/>
      <c r="F29" s="112"/>
      <c r="G29" s="111"/>
      <c r="H29" s="113"/>
    </row>
    <row r="30" spans="1:8" s="109" customFormat="1" ht="15.6">
      <c r="A30" s="108"/>
      <c r="B30" s="108"/>
      <c r="C30" s="108"/>
      <c r="D30" s="110"/>
      <c r="E30" s="111"/>
      <c r="F30" s="112"/>
      <c r="G30" s="114"/>
      <c r="H30" s="113"/>
    </row>
    <row r="31" spans="1:8" s="109" customFormat="1" ht="15.6">
      <c r="A31" s="108"/>
      <c r="B31" s="108"/>
      <c r="C31" s="108"/>
      <c r="D31" s="110"/>
      <c r="E31" s="111"/>
      <c r="F31" s="112"/>
      <c r="G31" s="111"/>
      <c r="H31" s="113"/>
    </row>
    <row r="32" spans="1:8" s="109" customFormat="1" ht="15.6">
      <c r="A32" s="108"/>
      <c r="B32" s="108"/>
      <c r="C32" s="108"/>
      <c r="D32" s="110"/>
      <c r="E32" s="111"/>
      <c r="F32" s="112"/>
      <c r="G32" s="111"/>
      <c r="H32" s="113"/>
    </row>
    <row r="33" spans="1:8" s="109" customFormat="1" ht="15.6">
      <c r="A33" s="108"/>
      <c r="B33" s="108"/>
      <c r="C33" s="108"/>
      <c r="D33" s="110"/>
      <c r="E33" s="111"/>
      <c r="F33" s="112"/>
      <c r="G33" s="111"/>
      <c r="H33" s="113"/>
    </row>
    <row r="34" spans="1:8" s="109" customFormat="1" ht="16.5" customHeight="1">
      <c r="A34" s="108"/>
      <c r="B34" s="149" t="s">
        <v>64</v>
      </c>
      <c r="C34" s="424"/>
      <c r="D34" s="424"/>
      <c r="E34" s="424"/>
      <c r="F34" s="424" t="s">
        <v>1745</v>
      </c>
      <c r="G34" s="424"/>
      <c r="H34" s="424"/>
    </row>
    <row r="35" spans="1:8" s="109" customFormat="1" ht="15.6">
      <c r="A35" s="108"/>
      <c r="B35" s="149"/>
      <c r="C35" s="146"/>
      <c r="D35" s="146"/>
      <c r="E35" s="146"/>
      <c r="F35" s="146"/>
      <c r="G35" s="146"/>
      <c r="H35" s="146"/>
    </row>
    <row r="36" spans="1:8" s="109" customFormat="1" ht="15" customHeight="1">
      <c r="A36" s="424" t="s">
        <v>1746</v>
      </c>
      <c r="B36" s="424"/>
      <c r="C36" s="424"/>
      <c r="D36" s="424"/>
      <c r="E36" s="424" t="s">
        <v>1747</v>
      </c>
      <c r="F36" s="424"/>
      <c r="G36" s="424"/>
      <c r="H36" s="424"/>
    </row>
    <row r="37" spans="1:8" s="109" customFormat="1" ht="33.6" customHeight="1">
      <c r="A37" s="424" t="s">
        <v>1748</v>
      </c>
      <c r="B37" s="424"/>
      <c r="C37" s="424"/>
      <c r="D37" s="424"/>
      <c r="E37" s="424" t="s">
        <v>65</v>
      </c>
      <c r="F37" s="424"/>
      <c r="G37" s="424"/>
      <c r="H37" s="424"/>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ustomHeight="1">
      <c r="A43" s="108"/>
      <c r="B43" s="108"/>
      <c r="C43" s="108"/>
      <c r="D43" s="115"/>
      <c r="E43" s="439" t="s">
        <v>1749</v>
      </c>
      <c r="F43" s="439"/>
      <c r="G43" s="439"/>
      <c r="H43" s="439"/>
    </row>
    <row r="44" spans="1:8" s="109" customFormat="1" ht="16.5" customHeight="1">
      <c r="A44" s="424" t="s">
        <v>1751</v>
      </c>
      <c r="B44" s="424"/>
      <c r="C44" s="424"/>
      <c r="D44" s="424"/>
      <c r="E44" s="424" t="s">
        <v>1750</v>
      </c>
      <c r="F44" s="424"/>
      <c r="G44" s="424"/>
      <c r="H44" s="424"/>
    </row>
    <row r="45" spans="1:8" s="118" customFormat="1" ht="16.2" customHeight="1">
      <c r="A45" s="440"/>
      <c r="B45" s="440"/>
      <c r="C45" s="116"/>
      <c r="D45" s="117"/>
      <c r="E45" s="440"/>
      <c r="F45" s="440"/>
      <c r="G45" s="440"/>
      <c r="H45" s="440"/>
    </row>
    <row r="46" spans="1:8" s="118" customFormat="1" ht="15.75" customHeight="1">
      <c r="A46" s="440"/>
      <c r="B46" s="440"/>
      <c r="C46" s="440"/>
      <c r="D46" s="440"/>
      <c r="E46" s="440"/>
      <c r="F46" s="440"/>
      <c r="G46" s="440"/>
      <c r="H46" s="440"/>
    </row>
    <row r="47" spans="1:8" s="98" customFormat="1" ht="16.2" customHeight="1">
      <c r="A47" s="436"/>
      <c r="B47" s="436"/>
      <c r="C47" s="436"/>
      <c r="D47" s="436"/>
      <c r="E47" s="119"/>
      <c r="F47" s="120"/>
      <c r="G47" s="119"/>
      <c r="H47" s="121"/>
    </row>
    <row r="48" spans="1:8" s="98" customFormat="1" ht="16.2" customHeight="1">
      <c r="A48" s="436"/>
      <c r="B48" s="436"/>
      <c r="C48" s="436"/>
      <c r="D48" s="436"/>
      <c r="E48" s="119"/>
      <c r="F48" s="120"/>
      <c r="G48" s="119"/>
      <c r="H48" s="121"/>
    </row>
    <row r="49" spans="1:8" s="98" customFormat="1" ht="16.2" customHeight="1">
      <c r="A49" s="121"/>
      <c r="B49" s="121"/>
      <c r="C49" s="121"/>
      <c r="D49" s="122"/>
      <c r="E49" s="119"/>
      <c r="F49" s="120"/>
      <c r="G49" s="119"/>
      <c r="H49" s="121"/>
    </row>
    <row r="50" spans="1:8" ht="16.2" customHeight="1">
      <c r="A50" s="83"/>
      <c r="B50" s="83"/>
      <c r="C50" s="83"/>
      <c r="D50" s="84"/>
      <c r="E50" s="85"/>
      <c r="F50" s="86"/>
      <c r="G50" s="85"/>
      <c r="H50" s="83"/>
    </row>
    <row r="51" spans="1:8" ht="16.2" customHeight="1">
      <c r="A51" s="83"/>
      <c r="B51" s="83"/>
      <c r="C51" s="83"/>
      <c r="D51" s="84"/>
      <c r="E51" s="85"/>
      <c r="F51" s="86"/>
      <c r="G51" s="85"/>
      <c r="H51" s="83"/>
    </row>
    <row r="52" spans="1:8" ht="16.2" customHeight="1">
      <c r="A52" s="83"/>
      <c r="B52" s="83"/>
      <c r="C52" s="83"/>
      <c r="D52" s="84"/>
      <c r="E52" s="85"/>
      <c r="F52" s="86"/>
      <c r="G52" s="85"/>
      <c r="H52" s="83"/>
    </row>
    <row r="53" spans="1:8" ht="16.2" customHeight="1">
      <c r="A53" s="83"/>
      <c r="B53" s="83"/>
      <c r="C53" s="83"/>
      <c r="D53" s="84"/>
      <c r="E53" s="437"/>
      <c r="F53" s="437"/>
      <c r="G53" s="437"/>
      <c r="H53" s="437"/>
    </row>
    <row r="54" spans="1:8" ht="20.25" customHeight="1">
      <c r="A54" s="438"/>
      <c r="B54" s="438"/>
      <c r="C54" s="438"/>
      <c r="D54" s="438"/>
      <c r="E54" s="438"/>
      <c r="F54" s="438"/>
      <c r="G54" s="438"/>
      <c r="H54" s="438"/>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ht="16.2" customHeight="1"/>
    <row r="84" spans="3:7" ht="16.2" customHeight="1"/>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row r="230"/>
    <row r="231"/>
    <row r="232"/>
    <row r="233"/>
    <row r="234"/>
    <row r="235"/>
    <row r="236"/>
    <row r="237"/>
    <row r="238"/>
    <row r="239"/>
    <row r="240"/>
    <row r="241"/>
    <row r="242"/>
    <row r="243"/>
    <row r="244"/>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sheetData>
  <mergeCells count="40">
    <mergeCell ref="E53:H53"/>
    <mergeCell ref="A54:H54"/>
    <mergeCell ref="A45:B45"/>
    <mergeCell ref="E45:H45"/>
    <mergeCell ref="A46:D46"/>
    <mergeCell ref="E46:H46"/>
    <mergeCell ref="A47:D47"/>
    <mergeCell ref="A48:D48"/>
    <mergeCell ref="A44:D44"/>
    <mergeCell ref="E44:H44"/>
    <mergeCell ref="C27:H27"/>
    <mergeCell ref="A28:B28"/>
    <mergeCell ref="C28:E28"/>
    <mergeCell ref="F28:H28"/>
    <mergeCell ref="C34:E34"/>
    <mergeCell ref="F34:H34"/>
    <mergeCell ref="A36:D36"/>
    <mergeCell ref="E36:H36"/>
    <mergeCell ref="A37:D37"/>
    <mergeCell ref="E37:H37"/>
    <mergeCell ref="E43:H43"/>
    <mergeCell ref="A25:H25"/>
    <mergeCell ref="A6:H6"/>
    <mergeCell ref="A7:H7"/>
    <mergeCell ref="A8:H8"/>
    <mergeCell ref="A9:H9"/>
    <mergeCell ref="A10:H10"/>
    <mergeCell ref="A11:H11"/>
    <mergeCell ref="B13:F13"/>
    <mergeCell ref="B14:F14"/>
    <mergeCell ref="B21:F21"/>
    <mergeCell ref="B23:F23"/>
    <mergeCell ref="B24:F24"/>
    <mergeCell ref="A4:B4"/>
    <mergeCell ref="C4:H4"/>
    <mergeCell ref="A1:B1"/>
    <mergeCell ref="C1:H1"/>
    <mergeCell ref="A2:B2"/>
    <mergeCell ref="C2:H2"/>
    <mergeCell ref="A3:B3"/>
  </mergeCells>
  <dataValidations disablePrompts="1" count="1">
    <dataValidation type="list" allowBlank="1" showInputMessage="1" showErrorMessage="1" sqref="WVJ983046:WVJ983063 B983046:B983063 IX983046:IX983063 ST983046:ST983063 ACP983046:ACP983063 AML983046:AML983063 AWH983046:AWH983063 BGD983046:BGD983063 BPZ983046:BPZ983063 BZV983046:BZV983063 CJR983046:CJR983063 CTN983046:CTN983063 DDJ983046:DDJ983063 DNF983046:DNF983063 DXB983046:DXB983063 EGX983046:EGX983063 EQT983046:EQT983063 FAP983046:FAP983063 FKL983046:FKL983063 FUH983046:FUH983063 GED983046:GED983063 GNZ983046:GNZ983063 GXV983046:GXV983063 HHR983046:HHR983063 HRN983046:HRN983063 IBJ983046:IBJ983063 ILF983046:ILF983063 IVB983046:IVB983063 JEX983046:JEX983063 JOT983046:JOT983063 JYP983046:JYP983063 KIL983046:KIL983063 KSH983046:KSH983063 LCD983046:LCD983063 LLZ983046:LLZ983063 LVV983046:LVV983063 MFR983046:MFR983063 MPN983046:MPN983063 MZJ983046:MZJ983063 NJF983046:NJF983063 NTB983046:NTB983063 OCX983046:OCX983063 OMT983046:OMT983063 OWP983046:OWP983063 PGL983046:PGL983063 PQH983046:PQH983063 QAD983046:QAD983063 QJZ983046:QJZ983063 QTV983046:QTV983063 RDR983046:RDR983063 RNN983046:RNN983063 RXJ983046:RXJ983063 SHF983046:SHF983063 SRB983046:SRB983063 TAX983046:TAX983063 TKT983046:TKT983063 TUP983046:TUP983063 UEL983046:UEL983063 UOH983046:UOH983063 UYD983046:UYD983063 VHZ983046:VHZ983063 VRV983046:VRV983063 WBR983046:WBR983063 WLN983046:WLN983063 B65542:B65559 IX65542:IX65559 ST65542:ST65559 ACP65542:ACP65559 AML65542:AML65559 AWH65542:AWH65559 BGD65542:BGD65559 BPZ65542:BPZ65559 BZV65542:BZV65559 CJR65542:CJR65559 CTN65542:CTN65559 DDJ65542:DDJ65559 DNF65542:DNF65559 DXB65542:DXB65559 EGX65542:EGX65559 EQT65542:EQT65559 FAP65542:FAP65559 FKL65542:FKL65559 FUH65542:FUH65559 GED65542:GED65559 GNZ65542:GNZ65559 GXV65542:GXV65559 HHR65542:HHR65559 HRN65542:HRN65559 IBJ65542:IBJ65559 ILF65542:ILF65559 IVB65542:IVB65559 JEX65542:JEX65559 JOT65542:JOT65559 JYP65542:JYP65559 KIL65542:KIL65559 KSH65542:KSH65559 LCD65542:LCD65559 LLZ65542:LLZ65559 LVV65542:LVV65559 MFR65542:MFR65559 MPN65542:MPN65559 MZJ65542:MZJ65559 NJF65542:NJF65559 NTB65542:NTB65559 OCX65542:OCX65559 OMT65542:OMT65559 OWP65542:OWP65559 PGL65542:PGL65559 PQH65542:PQH65559 QAD65542:QAD65559 QJZ65542:QJZ65559 QTV65542:QTV65559 RDR65542:RDR65559 RNN65542:RNN65559 RXJ65542:RXJ65559 SHF65542:SHF65559 SRB65542:SRB65559 TAX65542:TAX65559 TKT65542:TKT65559 TUP65542:TUP65559 UEL65542:UEL65559 UOH65542:UOH65559 UYD65542:UYD65559 VHZ65542:VHZ65559 VRV65542:VRV65559 WBR65542:WBR65559 WLN65542:WLN65559 WVJ65542:WVJ65559 B131078:B131095 IX131078:IX131095 ST131078:ST131095 ACP131078:ACP131095 AML131078:AML131095 AWH131078:AWH131095 BGD131078:BGD131095 BPZ131078:BPZ131095 BZV131078:BZV131095 CJR131078:CJR131095 CTN131078:CTN131095 DDJ131078:DDJ131095 DNF131078:DNF131095 DXB131078:DXB131095 EGX131078:EGX131095 EQT131078:EQT131095 FAP131078:FAP131095 FKL131078:FKL131095 FUH131078:FUH131095 GED131078:GED131095 GNZ131078:GNZ131095 GXV131078:GXV131095 HHR131078:HHR131095 HRN131078:HRN131095 IBJ131078:IBJ131095 ILF131078:ILF131095 IVB131078:IVB131095 JEX131078:JEX131095 JOT131078:JOT131095 JYP131078:JYP131095 KIL131078:KIL131095 KSH131078:KSH131095 LCD131078:LCD131095 LLZ131078:LLZ131095 LVV131078:LVV131095 MFR131078:MFR131095 MPN131078:MPN131095 MZJ131078:MZJ131095 NJF131078:NJF131095 NTB131078:NTB131095 OCX131078:OCX131095 OMT131078:OMT131095 OWP131078:OWP131095 PGL131078:PGL131095 PQH131078:PQH131095 QAD131078:QAD131095 QJZ131078:QJZ131095 QTV131078:QTV131095 RDR131078:RDR131095 RNN131078:RNN131095 RXJ131078:RXJ131095 SHF131078:SHF131095 SRB131078:SRB131095 TAX131078:TAX131095 TKT131078:TKT131095 TUP131078:TUP131095 UEL131078:UEL131095 UOH131078:UOH131095 UYD131078:UYD131095 VHZ131078:VHZ131095 VRV131078:VRV131095 WBR131078:WBR131095 WLN131078:WLN131095 WVJ131078:WVJ131095 B196614:B196631 IX196614:IX196631 ST196614:ST196631 ACP196614:ACP196631 AML196614:AML196631 AWH196614:AWH196631 BGD196614:BGD196631 BPZ196614:BPZ196631 BZV196614:BZV196631 CJR196614:CJR196631 CTN196614:CTN196631 DDJ196614:DDJ196631 DNF196614:DNF196631 DXB196614:DXB196631 EGX196614:EGX196631 EQT196614:EQT196631 FAP196614:FAP196631 FKL196614:FKL196631 FUH196614:FUH196631 GED196614:GED196631 GNZ196614:GNZ196631 GXV196614:GXV196631 HHR196614:HHR196631 HRN196614:HRN196631 IBJ196614:IBJ196631 ILF196614:ILF196631 IVB196614:IVB196631 JEX196614:JEX196631 JOT196614:JOT196631 JYP196614:JYP196631 KIL196614:KIL196631 KSH196614:KSH196631 LCD196614:LCD196631 LLZ196614:LLZ196631 LVV196614:LVV196631 MFR196614:MFR196631 MPN196614:MPN196631 MZJ196614:MZJ196631 NJF196614:NJF196631 NTB196614:NTB196631 OCX196614:OCX196631 OMT196614:OMT196631 OWP196614:OWP196631 PGL196614:PGL196631 PQH196614:PQH196631 QAD196614:QAD196631 QJZ196614:QJZ196631 QTV196614:QTV196631 RDR196614:RDR196631 RNN196614:RNN196631 RXJ196614:RXJ196631 SHF196614:SHF196631 SRB196614:SRB196631 TAX196614:TAX196631 TKT196614:TKT196631 TUP196614:TUP196631 UEL196614:UEL196631 UOH196614:UOH196631 UYD196614:UYD196631 VHZ196614:VHZ196631 VRV196614:VRV196631 WBR196614:WBR196631 WLN196614:WLN196631 WVJ196614:WVJ196631 B262150:B262167 IX262150:IX262167 ST262150:ST262167 ACP262150:ACP262167 AML262150:AML262167 AWH262150:AWH262167 BGD262150:BGD262167 BPZ262150:BPZ262167 BZV262150:BZV262167 CJR262150:CJR262167 CTN262150:CTN262167 DDJ262150:DDJ262167 DNF262150:DNF262167 DXB262150:DXB262167 EGX262150:EGX262167 EQT262150:EQT262167 FAP262150:FAP262167 FKL262150:FKL262167 FUH262150:FUH262167 GED262150:GED262167 GNZ262150:GNZ262167 GXV262150:GXV262167 HHR262150:HHR262167 HRN262150:HRN262167 IBJ262150:IBJ262167 ILF262150:ILF262167 IVB262150:IVB262167 JEX262150:JEX262167 JOT262150:JOT262167 JYP262150:JYP262167 KIL262150:KIL262167 KSH262150:KSH262167 LCD262150:LCD262167 LLZ262150:LLZ262167 LVV262150:LVV262167 MFR262150:MFR262167 MPN262150:MPN262167 MZJ262150:MZJ262167 NJF262150:NJF262167 NTB262150:NTB262167 OCX262150:OCX262167 OMT262150:OMT262167 OWP262150:OWP262167 PGL262150:PGL262167 PQH262150:PQH262167 QAD262150:QAD262167 QJZ262150:QJZ262167 QTV262150:QTV262167 RDR262150:RDR262167 RNN262150:RNN262167 RXJ262150:RXJ262167 SHF262150:SHF262167 SRB262150:SRB262167 TAX262150:TAX262167 TKT262150:TKT262167 TUP262150:TUP262167 UEL262150:UEL262167 UOH262150:UOH262167 UYD262150:UYD262167 VHZ262150:VHZ262167 VRV262150:VRV262167 WBR262150:WBR262167 WLN262150:WLN262167 WVJ262150:WVJ262167 B327686:B327703 IX327686:IX327703 ST327686:ST327703 ACP327686:ACP327703 AML327686:AML327703 AWH327686:AWH327703 BGD327686:BGD327703 BPZ327686:BPZ327703 BZV327686:BZV327703 CJR327686:CJR327703 CTN327686:CTN327703 DDJ327686:DDJ327703 DNF327686:DNF327703 DXB327686:DXB327703 EGX327686:EGX327703 EQT327686:EQT327703 FAP327686:FAP327703 FKL327686:FKL327703 FUH327686:FUH327703 GED327686:GED327703 GNZ327686:GNZ327703 GXV327686:GXV327703 HHR327686:HHR327703 HRN327686:HRN327703 IBJ327686:IBJ327703 ILF327686:ILF327703 IVB327686:IVB327703 JEX327686:JEX327703 JOT327686:JOT327703 JYP327686:JYP327703 KIL327686:KIL327703 KSH327686:KSH327703 LCD327686:LCD327703 LLZ327686:LLZ327703 LVV327686:LVV327703 MFR327686:MFR327703 MPN327686:MPN327703 MZJ327686:MZJ327703 NJF327686:NJF327703 NTB327686:NTB327703 OCX327686:OCX327703 OMT327686:OMT327703 OWP327686:OWP327703 PGL327686:PGL327703 PQH327686:PQH327703 QAD327686:QAD327703 QJZ327686:QJZ327703 QTV327686:QTV327703 RDR327686:RDR327703 RNN327686:RNN327703 RXJ327686:RXJ327703 SHF327686:SHF327703 SRB327686:SRB327703 TAX327686:TAX327703 TKT327686:TKT327703 TUP327686:TUP327703 UEL327686:UEL327703 UOH327686:UOH327703 UYD327686:UYD327703 VHZ327686:VHZ327703 VRV327686:VRV327703 WBR327686:WBR327703 WLN327686:WLN327703 WVJ327686:WVJ327703 B393222:B393239 IX393222:IX393239 ST393222:ST393239 ACP393222:ACP393239 AML393222:AML393239 AWH393222:AWH393239 BGD393222:BGD393239 BPZ393222:BPZ393239 BZV393222:BZV393239 CJR393222:CJR393239 CTN393222:CTN393239 DDJ393222:DDJ393239 DNF393222:DNF393239 DXB393222:DXB393239 EGX393222:EGX393239 EQT393222:EQT393239 FAP393222:FAP393239 FKL393222:FKL393239 FUH393222:FUH393239 GED393222:GED393239 GNZ393222:GNZ393239 GXV393222:GXV393239 HHR393222:HHR393239 HRN393222:HRN393239 IBJ393222:IBJ393239 ILF393222:ILF393239 IVB393222:IVB393239 JEX393222:JEX393239 JOT393222:JOT393239 JYP393222:JYP393239 KIL393222:KIL393239 KSH393222:KSH393239 LCD393222:LCD393239 LLZ393222:LLZ393239 LVV393222:LVV393239 MFR393222:MFR393239 MPN393222:MPN393239 MZJ393222:MZJ393239 NJF393222:NJF393239 NTB393222:NTB393239 OCX393222:OCX393239 OMT393222:OMT393239 OWP393222:OWP393239 PGL393222:PGL393239 PQH393222:PQH393239 QAD393222:QAD393239 QJZ393222:QJZ393239 QTV393222:QTV393239 RDR393222:RDR393239 RNN393222:RNN393239 RXJ393222:RXJ393239 SHF393222:SHF393239 SRB393222:SRB393239 TAX393222:TAX393239 TKT393222:TKT393239 TUP393222:TUP393239 UEL393222:UEL393239 UOH393222:UOH393239 UYD393222:UYD393239 VHZ393222:VHZ393239 VRV393222:VRV393239 WBR393222:WBR393239 WLN393222:WLN393239 WVJ393222:WVJ393239 B458758:B458775 IX458758:IX458775 ST458758:ST458775 ACP458758:ACP458775 AML458758:AML458775 AWH458758:AWH458775 BGD458758:BGD458775 BPZ458758:BPZ458775 BZV458758:BZV458775 CJR458758:CJR458775 CTN458758:CTN458775 DDJ458758:DDJ458775 DNF458758:DNF458775 DXB458758:DXB458775 EGX458758:EGX458775 EQT458758:EQT458775 FAP458758:FAP458775 FKL458758:FKL458775 FUH458758:FUH458775 GED458758:GED458775 GNZ458758:GNZ458775 GXV458758:GXV458775 HHR458758:HHR458775 HRN458758:HRN458775 IBJ458758:IBJ458775 ILF458758:ILF458775 IVB458758:IVB458775 JEX458758:JEX458775 JOT458758:JOT458775 JYP458758:JYP458775 KIL458758:KIL458775 KSH458758:KSH458775 LCD458758:LCD458775 LLZ458758:LLZ458775 LVV458758:LVV458775 MFR458758:MFR458775 MPN458758:MPN458775 MZJ458758:MZJ458775 NJF458758:NJF458775 NTB458758:NTB458775 OCX458758:OCX458775 OMT458758:OMT458775 OWP458758:OWP458775 PGL458758:PGL458775 PQH458758:PQH458775 QAD458758:QAD458775 QJZ458758:QJZ458775 QTV458758:QTV458775 RDR458758:RDR458775 RNN458758:RNN458775 RXJ458758:RXJ458775 SHF458758:SHF458775 SRB458758:SRB458775 TAX458758:TAX458775 TKT458758:TKT458775 TUP458758:TUP458775 UEL458758:UEL458775 UOH458758:UOH458775 UYD458758:UYD458775 VHZ458758:VHZ458775 VRV458758:VRV458775 WBR458758:WBR458775 WLN458758:WLN458775 WVJ458758:WVJ458775 B524294:B524311 IX524294:IX524311 ST524294:ST524311 ACP524294:ACP524311 AML524294:AML524311 AWH524294:AWH524311 BGD524294:BGD524311 BPZ524294:BPZ524311 BZV524294:BZV524311 CJR524294:CJR524311 CTN524294:CTN524311 DDJ524294:DDJ524311 DNF524294:DNF524311 DXB524294:DXB524311 EGX524294:EGX524311 EQT524294:EQT524311 FAP524294:FAP524311 FKL524294:FKL524311 FUH524294:FUH524311 GED524294:GED524311 GNZ524294:GNZ524311 GXV524294:GXV524311 HHR524294:HHR524311 HRN524294:HRN524311 IBJ524294:IBJ524311 ILF524294:ILF524311 IVB524294:IVB524311 JEX524294:JEX524311 JOT524294:JOT524311 JYP524294:JYP524311 KIL524294:KIL524311 KSH524294:KSH524311 LCD524294:LCD524311 LLZ524294:LLZ524311 LVV524294:LVV524311 MFR524294:MFR524311 MPN524294:MPN524311 MZJ524294:MZJ524311 NJF524294:NJF524311 NTB524294:NTB524311 OCX524294:OCX524311 OMT524294:OMT524311 OWP524294:OWP524311 PGL524294:PGL524311 PQH524294:PQH524311 QAD524294:QAD524311 QJZ524294:QJZ524311 QTV524294:QTV524311 RDR524294:RDR524311 RNN524294:RNN524311 RXJ524294:RXJ524311 SHF524294:SHF524311 SRB524294:SRB524311 TAX524294:TAX524311 TKT524294:TKT524311 TUP524294:TUP524311 UEL524294:UEL524311 UOH524294:UOH524311 UYD524294:UYD524311 VHZ524294:VHZ524311 VRV524294:VRV524311 WBR524294:WBR524311 WLN524294:WLN524311 WVJ524294:WVJ524311 B589830:B589847 IX589830:IX589847 ST589830:ST589847 ACP589830:ACP589847 AML589830:AML589847 AWH589830:AWH589847 BGD589830:BGD589847 BPZ589830:BPZ589847 BZV589830:BZV589847 CJR589830:CJR589847 CTN589830:CTN589847 DDJ589830:DDJ589847 DNF589830:DNF589847 DXB589830:DXB589847 EGX589830:EGX589847 EQT589830:EQT589847 FAP589830:FAP589847 FKL589830:FKL589847 FUH589830:FUH589847 GED589830:GED589847 GNZ589830:GNZ589847 GXV589830:GXV589847 HHR589830:HHR589847 HRN589830:HRN589847 IBJ589830:IBJ589847 ILF589830:ILF589847 IVB589830:IVB589847 JEX589830:JEX589847 JOT589830:JOT589847 JYP589830:JYP589847 KIL589830:KIL589847 KSH589830:KSH589847 LCD589830:LCD589847 LLZ589830:LLZ589847 LVV589830:LVV589847 MFR589830:MFR589847 MPN589830:MPN589847 MZJ589830:MZJ589847 NJF589830:NJF589847 NTB589830:NTB589847 OCX589830:OCX589847 OMT589830:OMT589847 OWP589830:OWP589847 PGL589830:PGL589847 PQH589830:PQH589847 QAD589830:QAD589847 QJZ589830:QJZ589847 QTV589830:QTV589847 RDR589830:RDR589847 RNN589830:RNN589847 RXJ589830:RXJ589847 SHF589830:SHF589847 SRB589830:SRB589847 TAX589830:TAX589847 TKT589830:TKT589847 TUP589830:TUP589847 UEL589830:UEL589847 UOH589830:UOH589847 UYD589830:UYD589847 VHZ589830:VHZ589847 VRV589830:VRV589847 WBR589830:WBR589847 WLN589830:WLN589847 WVJ589830:WVJ589847 B655366:B655383 IX655366:IX655383 ST655366:ST655383 ACP655366:ACP655383 AML655366:AML655383 AWH655366:AWH655383 BGD655366:BGD655383 BPZ655366:BPZ655383 BZV655366:BZV655383 CJR655366:CJR655383 CTN655366:CTN655383 DDJ655366:DDJ655383 DNF655366:DNF655383 DXB655366:DXB655383 EGX655366:EGX655383 EQT655366:EQT655383 FAP655366:FAP655383 FKL655366:FKL655383 FUH655366:FUH655383 GED655366:GED655383 GNZ655366:GNZ655383 GXV655366:GXV655383 HHR655366:HHR655383 HRN655366:HRN655383 IBJ655366:IBJ655383 ILF655366:ILF655383 IVB655366:IVB655383 JEX655366:JEX655383 JOT655366:JOT655383 JYP655366:JYP655383 KIL655366:KIL655383 KSH655366:KSH655383 LCD655366:LCD655383 LLZ655366:LLZ655383 LVV655366:LVV655383 MFR655366:MFR655383 MPN655366:MPN655383 MZJ655366:MZJ655383 NJF655366:NJF655383 NTB655366:NTB655383 OCX655366:OCX655383 OMT655366:OMT655383 OWP655366:OWP655383 PGL655366:PGL655383 PQH655366:PQH655383 QAD655366:QAD655383 QJZ655366:QJZ655383 QTV655366:QTV655383 RDR655366:RDR655383 RNN655366:RNN655383 RXJ655366:RXJ655383 SHF655366:SHF655383 SRB655366:SRB655383 TAX655366:TAX655383 TKT655366:TKT655383 TUP655366:TUP655383 UEL655366:UEL655383 UOH655366:UOH655383 UYD655366:UYD655383 VHZ655366:VHZ655383 VRV655366:VRV655383 WBR655366:WBR655383 WLN655366:WLN655383 WVJ655366:WVJ655383 B720902:B720919 IX720902:IX720919 ST720902:ST720919 ACP720902:ACP720919 AML720902:AML720919 AWH720902:AWH720919 BGD720902:BGD720919 BPZ720902:BPZ720919 BZV720902:BZV720919 CJR720902:CJR720919 CTN720902:CTN720919 DDJ720902:DDJ720919 DNF720902:DNF720919 DXB720902:DXB720919 EGX720902:EGX720919 EQT720902:EQT720919 FAP720902:FAP720919 FKL720902:FKL720919 FUH720902:FUH720919 GED720902:GED720919 GNZ720902:GNZ720919 GXV720902:GXV720919 HHR720902:HHR720919 HRN720902:HRN720919 IBJ720902:IBJ720919 ILF720902:ILF720919 IVB720902:IVB720919 JEX720902:JEX720919 JOT720902:JOT720919 JYP720902:JYP720919 KIL720902:KIL720919 KSH720902:KSH720919 LCD720902:LCD720919 LLZ720902:LLZ720919 LVV720902:LVV720919 MFR720902:MFR720919 MPN720902:MPN720919 MZJ720902:MZJ720919 NJF720902:NJF720919 NTB720902:NTB720919 OCX720902:OCX720919 OMT720902:OMT720919 OWP720902:OWP720919 PGL720902:PGL720919 PQH720902:PQH720919 QAD720902:QAD720919 QJZ720902:QJZ720919 QTV720902:QTV720919 RDR720902:RDR720919 RNN720902:RNN720919 RXJ720902:RXJ720919 SHF720902:SHF720919 SRB720902:SRB720919 TAX720902:TAX720919 TKT720902:TKT720919 TUP720902:TUP720919 UEL720902:UEL720919 UOH720902:UOH720919 UYD720902:UYD720919 VHZ720902:VHZ720919 VRV720902:VRV720919 WBR720902:WBR720919 WLN720902:WLN720919 WVJ720902:WVJ720919 B786438:B786455 IX786438:IX786455 ST786438:ST786455 ACP786438:ACP786455 AML786438:AML786455 AWH786438:AWH786455 BGD786438:BGD786455 BPZ786438:BPZ786455 BZV786438:BZV786455 CJR786438:CJR786455 CTN786438:CTN786455 DDJ786438:DDJ786455 DNF786438:DNF786455 DXB786438:DXB786455 EGX786438:EGX786455 EQT786438:EQT786455 FAP786438:FAP786455 FKL786438:FKL786455 FUH786438:FUH786455 GED786438:GED786455 GNZ786438:GNZ786455 GXV786438:GXV786455 HHR786438:HHR786455 HRN786438:HRN786455 IBJ786438:IBJ786455 ILF786438:ILF786455 IVB786438:IVB786455 JEX786438:JEX786455 JOT786438:JOT786455 JYP786438:JYP786455 KIL786438:KIL786455 KSH786438:KSH786455 LCD786438:LCD786455 LLZ786438:LLZ786455 LVV786438:LVV786455 MFR786438:MFR786455 MPN786438:MPN786455 MZJ786438:MZJ786455 NJF786438:NJF786455 NTB786438:NTB786455 OCX786438:OCX786455 OMT786438:OMT786455 OWP786438:OWP786455 PGL786438:PGL786455 PQH786438:PQH786455 QAD786438:QAD786455 QJZ786438:QJZ786455 QTV786438:QTV786455 RDR786438:RDR786455 RNN786438:RNN786455 RXJ786438:RXJ786455 SHF786438:SHF786455 SRB786438:SRB786455 TAX786438:TAX786455 TKT786438:TKT786455 TUP786438:TUP786455 UEL786438:UEL786455 UOH786438:UOH786455 UYD786438:UYD786455 VHZ786438:VHZ786455 VRV786438:VRV786455 WBR786438:WBR786455 WLN786438:WLN786455 WVJ786438:WVJ786455 B851974:B851991 IX851974:IX851991 ST851974:ST851991 ACP851974:ACP851991 AML851974:AML851991 AWH851974:AWH851991 BGD851974:BGD851991 BPZ851974:BPZ851991 BZV851974:BZV851991 CJR851974:CJR851991 CTN851974:CTN851991 DDJ851974:DDJ851991 DNF851974:DNF851991 DXB851974:DXB851991 EGX851974:EGX851991 EQT851974:EQT851991 FAP851974:FAP851991 FKL851974:FKL851991 FUH851974:FUH851991 GED851974:GED851991 GNZ851974:GNZ851991 GXV851974:GXV851991 HHR851974:HHR851991 HRN851974:HRN851991 IBJ851974:IBJ851991 ILF851974:ILF851991 IVB851974:IVB851991 JEX851974:JEX851991 JOT851974:JOT851991 JYP851974:JYP851991 KIL851974:KIL851991 KSH851974:KSH851991 LCD851974:LCD851991 LLZ851974:LLZ851991 LVV851974:LVV851991 MFR851974:MFR851991 MPN851974:MPN851991 MZJ851974:MZJ851991 NJF851974:NJF851991 NTB851974:NTB851991 OCX851974:OCX851991 OMT851974:OMT851991 OWP851974:OWP851991 PGL851974:PGL851991 PQH851974:PQH851991 QAD851974:QAD851991 QJZ851974:QJZ851991 QTV851974:QTV851991 RDR851974:RDR851991 RNN851974:RNN851991 RXJ851974:RXJ851991 SHF851974:SHF851991 SRB851974:SRB851991 TAX851974:TAX851991 TKT851974:TKT851991 TUP851974:TUP851991 UEL851974:UEL851991 UOH851974:UOH851991 UYD851974:UYD851991 VHZ851974:VHZ851991 VRV851974:VRV851991 WBR851974:WBR851991 WLN851974:WLN851991 WVJ851974:WVJ851991 B917510:B917527 IX917510:IX917527 ST917510:ST917527 ACP917510:ACP917527 AML917510:AML917527 AWH917510:AWH917527 BGD917510:BGD917527 BPZ917510:BPZ917527 BZV917510:BZV917527 CJR917510:CJR917527 CTN917510:CTN917527 DDJ917510:DDJ917527 DNF917510:DNF917527 DXB917510:DXB917527 EGX917510:EGX917527 EQT917510:EQT917527 FAP917510:FAP917527 FKL917510:FKL917527 FUH917510:FUH917527 GED917510:GED917527 GNZ917510:GNZ917527 GXV917510:GXV917527 HHR917510:HHR917527 HRN917510:HRN917527 IBJ917510:IBJ917527 ILF917510:ILF917527 IVB917510:IVB917527 JEX917510:JEX917527 JOT917510:JOT917527 JYP917510:JYP917527 KIL917510:KIL917527 KSH917510:KSH917527 LCD917510:LCD917527 LLZ917510:LLZ917527 LVV917510:LVV917527 MFR917510:MFR917527 MPN917510:MPN917527 MZJ917510:MZJ917527 NJF917510:NJF917527 NTB917510:NTB917527 OCX917510:OCX917527 OMT917510:OMT917527 OWP917510:OWP917527 PGL917510:PGL917527 PQH917510:PQH917527 QAD917510:QAD917527 QJZ917510:QJZ917527 QTV917510:QTV917527 RDR917510:RDR917527 RNN917510:RNN917527 RXJ917510:RXJ917527 SHF917510:SHF917527 SRB917510:SRB917527 TAX917510:TAX917527 TKT917510:TKT917527 TUP917510:TUP917527 UEL917510:UEL917527 UOH917510:UOH917527 UYD917510:UYD917527 VHZ917510:VHZ917527 VRV917510:VRV917527 WBR917510:WBR917527 WLN917510:WLN917527 WVJ917510:WVJ917527" xr:uid="{00000000-0002-0000-0E00-000000000000}">
      <formula1>trung</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333"/>
  <sheetViews>
    <sheetView topLeftCell="A8" workbookViewId="0">
      <selection activeCell="A35" sqref="A35:D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2254</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2255</v>
      </c>
      <c r="C13" s="425"/>
      <c r="D13" s="425"/>
      <c r="E13" s="425"/>
      <c r="F13" s="425"/>
      <c r="G13" s="73">
        <f>G14</f>
        <v>69620000</v>
      </c>
      <c r="H13" s="74"/>
    </row>
    <row r="14" spans="1:8" s="131" customFormat="1" ht="40.5" customHeight="1">
      <c r="A14" s="123"/>
      <c r="B14" s="124" t="s">
        <v>1757</v>
      </c>
      <c r="C14" s="125" t="s">
        <v>1753</v>
      </c>
      <c r="D14" s="126">
        <v>5.9</v>
      </c>
      <c r="E14" s="127">
        <v>11800000</v>
      </c>
      <c r="F14" s="128">
        <v>1</v>
      </c>
      <c r="G14" s="129">
        <f>D14*E14*F14</f>
        <v>69620000</v>
      </c>
      <c r="H14" s="130"/>
    </row>
    <row r="15" spans="1:8" ht="27" customHeight="1">
      <c r="A15" s="75" t="s">
        <v>18</v>
      </c>
      <c r="B15" s="426" t="s">
        <v>1725</v>
      </c>
      <c r="C15" s="426"/>
      <c r="D15" s="426"/>
      <c r="E15" s="426"/>
      <c r="F15" s="426"/>
      <c r="G15" s="76">
        <f>SUM(G16:G19)</f>
        <v>15119321.779550001</v>
      </c>
      <c r="H15" s="11"/>
    </row>
    <row r="16" spans="1:8" ht="46.8">
      <c r="A16" s="77">
        <v>1</v>
      </c>
      <c r="B16" s="78" t="s">
        <v>2256</v>
      </c>
      <c r="C16" s="14" t="s">
        <v>1754</v>
      </c>
      <c r="D16" s="132">
        <f>(1.55*1.35*0.22)+(3.3*1*0.22)</f>
        <v>1.18635</v>
      </c>
      <c r="E16" s="15">
        <v>1919493</v>
      </c>
      <c r="F16" s="14">
        <v>1</v>
      </c>
      <c r="G16" s="79">
        <f>D16*E16*F16</f>
        <v>2277190.52055</v>
      </c>
      <c r="H16" s="15"/>
    </row>
    <row r="17" spans="1:8" ht="31.2">
      <c r="A17" s="77"/>
      <c r="B17" s="78" t="s">
        <v>2257</v>
      </c>
      <c r="C17" s="14" t="s">
        <v>66</v>
      </c>
      <c r="D17" s="132">
        <f>(1.55*1.35*2)+(3.3*1*2)</f>
        <v>10.785</v>
      </c>
      <c r="E17" s="15">
        <v>141099</v>
      </c>
      <c r="F17" s="14">
        <v>1</v>
      </c>
      <c r="G17" s="79">
        <f t="shared" ref="G17:G19" si="0">D17*E17*F17</f>
        <v>1521752.7150000001</v>
      </c>
      <c r="H17" s="15"/>
    </row>
    <row r="18" spans="1:8" ht="31.2">
      <c r="A18" s="77">
        <v>2</v>
      </c>
      <c r="B18" s="78" t="s">
        <v>2258</v>
      </c>
      <c r="C18" s="14" t="s">
        <v>66</v>
      </c>
      <c r="D18" s="132">
        <f>10.7*(1*0.5)</f>
        <v>5.35</v>
      </c>
      <c r="E18" s="15">
        <v>488333</v>
      </c>
      <c r="F18" s="14">
        <v>1</v>
      </c>
      <c r="G18" s="79">
        <f t="shared" si="0"/>
        <v>2612581.5499999998</v>
      </c>
      <c r="H18" s="15"/>
    </row>
    <row r="19" spans="1:8" ht="15.6">
      <c r="A19" s="77">
        <v>3</v>
      </c>
      <c r="B19" s="78" t="s">
        <v>2259</v>
      </c>
      <c r="C19" s="14" t="s">
        <v>1754</v>
      </c>
      <c r="D19" s="132">
        <f>1.95*13.7*0.2</f>
        <v>5.343</v>
      </c>
      <c r="E19" s="15">
        <v>1629758</v>
      </c>
      <c r="F19" s="14">
        <v>1</v>
      </c>
      <c r="G19" s="79">
        <f t="shared" si="0"/>
        <v>8707796.9940000009</v>
      </c>
      <c r="H19" s="15"/>
    </row>
    <row r="20" spans="1:8" ht="24" customHeight="1">
      <c r="A20" s="75" t="s">
        <v>19</v>
      </c>
      <c r="B20" s="426" t="s">
        <v>1727</v>
      </c>
      <c r="C20" s="426"/>
      <c r="D20" s="426"/>
      <c r="E20" s="426"/>
      <c r="F20" s="426"/>
      <c r="G20" s="76">
        <f>SUM(G21:G21)</f>
        <v>300000</v>
      </c>
      <c r="H20" s="11"/>
    </row>
    <row r="21" spans="1:8" s="12" customFormat="1" ht="34.200000000000003" customHeight="1">
      <c r="A21" s="94">
        <v>1</v>
      </c>
      <c r="B21" s="154" t="s">
        <v>1722</v>
      </c>
      <c r="C21" s="14" t="s">
        <v>2155</v>
      </c>
      <c r="D21" s="14">
        <v>1</v>
      </c>
      <c r="E21" s="79" t="str">
        <f>VLOOKUP(B21,'[20]Đơn giá cây cối'!$A$2:$C$1361,3,0)</f>
        <v>300.000</v>
      </c>
      <c r="F21" s="14">
        <v>1</v>
      </c>
      <c r="G21" s="79">
        <f>D21*E21*F21</f>
        <v>300000</v>
      </c>
      <c r="H21" s="95"/>
    </row>
    <row r="22" spans="1:8" ht="15.6">
      <c r="A22" s="80"/>
      <c r="B22" s="427" t="s">
        <v>62</v>
      </c>
      <c r="C22" s="428"/>
      <c r="D22" s="428"/>
      <c r="E22" s="428"/>
      <c r="F22" s="429"/>
      <c r="G22" s="81">
        <f>G13+G15+G20</f>
        <v>85039321.779550001</v>
      </c>
      <c r="H22" s="82"/>
    </row>
    <row r="23" spans="1:8" ht="15.6">
      <c r="A23" s="80"/>
      <c r="B23" s="427" t="s">
        <v>1726</v>
      </c>
      <c r="C23" s="428"/>
      <c r="D23" s="428"/>
      <c r="E23" s="428"/>
      <c r="F23" s="429"/>
      <c r="G23" s="81">
        <f>ROUND(G22,-3)</f>
        <v>85039000</v>
      </c>
      <c r="H23" s="82"/>
    </row>
    <row r="24" spans="1:8" ht="15.6">
      <c r="A24" s="430" t="e">
        <f ca="1">[19]!vnd(G23)</f>
        <v>#NAME?</v>
      </c>
      <c r="B24" s="431"/>
      <c r="C24" s="431"/>
      <c r="D24" s="431"/>
      <c r="E24" s="431"/>
      <c r="F24" s="431"/>
      <c r="G24" s="431"/>
      <c r="H24" s="432"/>
    </row>
    <row r="25" spans="1:8">
      <c r="A25" s="17"/>
      <c r="B25" s="17"/>
      <c r="C25" s="97"/>
      <c r="D25" s="20"/>
      <c r="E25" s="19"/>
      <c r="F25" s="97"/>
      <c r="G25" s="19"/>
      <c r="H25" s="17"/>
    </row>
    <row r="26" spans="1:8" s="109" customFormat="1" ht="16.5" customHeight="1">
      <c r="A26" s="108"/>
      <c r="B26" s="108"/>
      <c r="C26" s="424" t="s">
        <v>1742</v>
      </c>
      <c r="D26" s="424"/>
      <c r="E26" s="424"/>
      <c r="F26" s="424"/>
      <c r="G26" s="424"/>
      <c r="H26" s="424"/>
    </row>
    <row r="27" spans="1:8" s="109" customFormat="1" ht="16.5" customHeight="1">
      <c r="A27" s="423" t="s">
        <v>63</v>
      </c>
      <c r="B27" s="423"/>
      <c r="C27" s="424" t="s">
        <v>1743</v>
      </c>
      <c r="D27" s="424"/>
      <c r="E27" s="424"/>
      <c r="F27" s="424" t="s">
        <v>1744</v>
      </c>
      <c r="G27" s="424"/>
      <c r="H27" s="424"/>
    </row>
    <row r="28" spans="1:8" s="109" customFormat="1" ht="15.6">
      <c r="A28" s="108"/>
      <c r="B28" s="108"/>
      <c r="C28" s="108"/>
      <c r="D28" s="110"/>
      <c r="E28" s="111"/>
      <c r="F28" s="112"/>
      <c r="G28" s="111"/>
      <c r="H28" s="113"/>
    </row>
    <row r="29" spans="1:8" s="109" customFormat="1" ht="15.6">
      <c r="A29" s="108"/>
      <c r="B29" s="108"/>
      <c r="C29" s="108"/>
      <c r="D29" s="110"/>
      <c r="E29" s="111"/>
      <c r="F29" s="112"/>
      <c r="G29" s="114"/>
      <c r="H29" s="113"/>
    </row>
    <row r="30" spans="1:8" s="109" customFormat="1" ht="15.6">
      <c r="A30" s="108"/>
      <c r="B30" s="108"/>
      <c r="C30" s="108"/>
      <c r="D30" s="110"/>
      <c r="E30" s="111"/>
      <c r="F30" s="112"/>
      <c r="G30" s="111"/>
      <c r="H30" s="113"/>
    </row>
    <row r="31" spans="1:8" s="109" customFormat="1" ht="15.6">
      <c r="A31" s="108"/>
      <c r="B31" s="108"/>
      <c r="C31" s="108"/>
      <c r="D31" s="110"/>
      <c r="E31" s="111"/>
      <c r="F31" s="112"/>
      <c r="G31" s="111"/>
      <c r="H31" s="113"/>
    </row>
    <row r="32" spans="1:8" s="109" customFormat="1" ht="15.6">
      <c r="A32" s="108"/>
      <c r="B32" s="108"/>
      <c r="C32" s="108"/>
      <c r="D32" s="110"/>
      <c r="E32" s="111"/>
      <c r="F32" s="112"/>
      <c r="G32" s="111"/>
      <c r="H32" s="113"/>
    </row>
    <row r="33" spans="1:8" s="109" customFormat="1" ht="16.5" customHeight="1">
      <c r="A33" s="108"/>
      <c r="B33" s="198" t="s">
        <v>64</v>
      </c>
      <c r="C33" s="424"/>
      <c r="D33" s="424"/>
      <c r="E33" s="424"/>
      <c r="F33" s="424" t="s">
        <v>1745</v>
      </c>
      <c r="G33" s="424"/>
      <c r="H33" s="424"/>
    </row>
    <row r="34" spans="1:8" s="109" customFormat="1" ht="15.6">
      <c r="A34" s="108"/>
      <c r="B34" s="198"/>
      <c r="C34" s="199"/>
      <c r="D34" s="199"/>
      <c r="E34" s="199"/>
      <c r="F34" s="199"/>
      <c r="G34" s="199"/>
      <c r="H34" s="199"/>
    </row>
    <row r="35" spans="1:8" s="109" customFormat="1" ht="15" customHeight="1">
      <c r="A35" s="424" t="s">
        <v>1746</v>
      </c>
      <c r="B35" s="424"/>
      <c r="C35" s="424"/>
      <c r="D35" s="424"/>
      <c r="E35" s="424" t="s">
        <v>1747</v>
      </c>
      <c r="F35" s="424"/>
      <c r="G35" s="424"/>
      <c r="H35" s="424"/>
    </row>
    <row r="36" spans="1:8" s="109" customFormat="1" ht="33.6" customHeight="1">
      <c r="A36" s="424" t="s">
        <v>1748</v>
      </c>
      <c r="B36" s="424"/>
      <c r="C36" s="424"/>
      <c r="D36" s="424"/>
      <c r="E36" s="424" t="s">
        <v>65</v>
      </c>
      <c r="F36" s="424"/>
      <c r="G36" s="424"/>
      <c r="H36" s="424"/>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ustomHeight="1">
      <c r="A42" s="108"/>
      <c r="B42" s="108"/>
      <c r="C42" s="108"/>
      <c r="D42" s="115"/>
      <c r="E42" s="439" t="s">
        <v>1749</v>
      </c>
      <c r="F42" s="439"/>
      <c r="G42" s="439"/>
      <c r="H42" s="439"/>
    </row>
    <row r="43" spans="1:8" s="109" customFormat="1" ht="16.5" customHeight="1">
      <c r="A43" s="424" t="s">
        <v>1751</v>
      </c>
      <c r="B43" s="424"/>
      <c r="C43" s="424"/>
      <c r="D43" s="424"/>
      <c r="E43" s="424" t="s">
        <v>1750</v>
      </c>
      <c r="F43" s="424"/>
      <c r="G43" s="424"/>
      <c r="H43" s="424"/>
    </row>
    <row r="44" spans="1:8" s="118" customFormat="1" ht="16.2" customHeight="1">
      <c r="A44" s="440"/>
      <c r="B44" s="440"/>
      <c r="C44" s="116"/>
      <c r="D44" s="117"/>
      <c r="E44" s="440"/>
      <c r="F44" s="440"/>
      <c r="G44" s="440"/>
      <c r="H44" s="440"/>
    </row>
    <row r="45" spans="1:8" s="118" customFormat="1" ht="15.75" customHeight="1">
      <c r="A45" s="440"/>
      <c r="B45" s="440"/>
      <c r="C45" s="440"/>
      <c r="D45" s="440"/>
      <c r="E45" s="440"/>
      <c r="F45" s="440"/>
      <c r="G45" s="440"/>
      <c r="H45" s="440"/>
    </row>
    <row r="46" spans="1:8" s="98" customFormat="1" ht="16.2" customHeight="1">
      <c r="A46" s="436"/>
      <c r="B46" s="436"/>
      <c r="C46" s="436"/>
      <c r="D46" s="436"/>
      <c r="E46" s="119"/>
      <c r="F46" s="120"/>
      <c r="G46" s="119"/>
      <c r="H46" s="121"/>
    </row>
    <row r="47" spans="1:8" s="98" customFormat="1" ht="16.2" customHeight="1">
      <c r="A47" s="436"/>
      <c r="B47" s="436"/>
      <c r="C47" s="436"/>
      <c r="D47" s="436"/>
      <c r="E47" s="119"/>
      <c r="F47" s="120"/>
      <c r="G47" s="119"/>
      <c r="H47" s="121"/>
    </row>
    <row r="48" spans="1:8" s="98" customFormat="1" ht="16.2" customHeight="1">
      <c r="A48" s="121"/>
      <c r="B48" s="121"/>
      <c r="C48" s="121"/>
      <c r="D48" s="122"/>
      <c r="E48" s="119"/>
      <c r="F48" s="120"/>
      <c r="G48" s="119"/>
      <c r="H48" s="121"/>
    </row>
    <row r="49" spans="1:8" ht="16.2" customHeight="1">
      <c r="A49" s="83"/>
      <c r="B49" s="83"/>
      <c r="C49" s="83"/>
      <c r="D49" s="84"/>
      <c r="E49" s="85"/>
      <c r="F49" s="86"/>
      <c r="G49" s="85"/>
      <c r="H49" s="83"/>
    </row>
    <row r="50" spans="1:8" ht="16.2" customHeight="1">
      <c r="A50" s="83"/>
      <c r="B50" s="83"/>
      <c r="C50" s="83"/>
      <c r="D50" s="84"/>
      <c r="E50" s="85"/>
      <c r="F50" s="86"/>
      <c r="G50" s="85"/>
      <c r="H50" s="83"/>
    </row>
    <row r="51" spans="1:8" ht="16.2" customHeight="1">
      <c r="A51" s="83"/>
      <c r="B51" s="83"/>
      <c r="C51" s="83"/>
      <c r="D51" s="84"/>
      <c r="E51" s="85"/>
      <c r="F51" s="86"/>
      <c r="G51" s="85"/>
      <c r="H51" s="83"/>
    </row>
    <row r="52" spans="1:8" ht="16.2" customHeight="1">
      <c r="A52" s="83"/>
      <c r="B52" s="83"/>
      <c r="C52" s="83"/>
      <c r="D52" s="84"/>
      <c r="E52" s="437"/>
      <c r="F52" s="437"/>
      <c r="G52" s="437"/>
      <c r="H52" s="437"/>
    </row>
    <row r="53" spans="1:8" ht="20.25" customHeight="1">
      <c r="A53" s="438"/>
      <c r="B53" s="438"/>
      <c r="C53" s="438"/>
      <c r="D53" s="438"/>
      <c r="E53" s="438"/>
      <c r="F53" s="438"/>
      <c r="G53" s="438"/>
      <c r="H53" s="438"/>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ht="16.2" customHeight="1"/>
    <row r="83" spans="3:7" ht="16.2" customHeight="1"/>
    <row r="84" spans="3:7" ht="16.2" customHeight="1"/>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row r="229"/>
    <row r="230"/>
    <row r="231"/>
    <row r="232"/>
    <row r="233"/>
    <row r="234"/>
    <row r="235"/>
    <row r="236"/>
    <row r="237"/>
    <row r="238"/>
    <row r="239"/>
    <row r="240"/>
    <row r="241"/>
    <row r="242"/>
    <row r="243"/>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sheetData>
  <mergeCells count="40">
    <mergeCell ref="A4:B4"/>
    <mergeCell ref="C4:H4"/>
    <mergeCell ref="A1:B1"/>
    <mergeCell ref="C1:H1"/>
    <mergeCell ref="A2:B2"/>
    <mergeCell ref="C2:H2"/>
    <mergeCell ref="A3:B3"/>
    <mergeCell ref="A24:H24"/>
    <mergeCell ref="A6:H6"/>
    <mergeCell ref="A7:H7"/>
    <mergeCell ref="A8:H8"/>
    <mergeCell ref="A9:H9"/>
    <mergeCell ref="A10:H10"/>
    <mergeCell ref="A11:H11"/>
    <mergeCell ref="B13:F13"/>
    <mergeCell ref="B15:F15"/>
    <mergeCell ref="B20:F20"/>
    <mergeCell ref="B22:F22"/>
    <mergeCell ref="B23:F23"/>
    <mergeCell ref="A43:D43"/>
    <mergeCell ref="E43:H43"/>
    <mergeCell ref="C26:H26"/>
    <mergeCell ref="A27:B27"/>
    <mergeCell ref="C27:E27"/>
    <mergeCell ref="F27:H27"/>
    <mergeCell ref="C33:E33"/>
    <mergeCell ref="F33:H33"/>
    <mergeCell ref="A35:D35"/>
    <mergeCell ref="E35:H35"/>
    <mergeCell ref="A36:D36"/>
    <mergeCell ref="E36:H36"/>
    <mergeCell ref="E42:H42"/>
    <mergeCell ref="E52:H52"/>
    <mergeCell ref="A53:H53"/>
    <mergeCell ref="A44:B44"/>
    <mergeCell ref="E44:H44"/>
    <mergeCell ref="A45:D45"/>
    <mergeCell ref="E45:H45"/>
    <mergeCell ref="A46:D46"/>
    <mergeCell ref="A47:D47"/>
  </mergeCells>
  <dataValidations count="2">
    <dataValidation type="list" allowBlank="1" showInputMessage="1" showErrorMessage="1" sqref="B21" xr:uid="{00000000-0002-0000-0F00-000000000000}">
      <formula1>bichphuong</formula1>
    </dataValidation>
    <dataValidation type="list" allowBlank="1" showInputMessage="1" showErrorMessage="1" sqref="WVJ983045:WVJ983062 B983045:B983062 IX983045:IX983062 ST983045:ST983062 ACP983045:ACP983062 AML983045:AML983062 AWH983045:AWH983062 BGD983045:BGD983062 BPZ983045:BPZ983062 BZV983045:BZV983062 CJR983045:CJR983062 CTN983045:CTN983062 DDJ983045:DDJ983062 DNF983045:DNF983062 DXB983045:DXB983062 EGX983045:EGX983062 EQT983045:EQT983062 FAP983045:FAP983062 FKL983045:FKL983062 FUH983045:FUH983062 GED983045:GED983062 GNZ983045:GNZ983062 GXV983045:GXV983062 HHR983045:HHR983062 HRN983045:HRN983062 IBJ983045:IBJ983062 ILF983045:ILF983062 IVB983045:IVB983062 JEX983045:JEX983062 JOT983045:JOT983062 JYP983045:JYP983062 KIL983045:KIL983062 KSH983045:KSH983062 LCD983045:LCD983062 LLZ983045:LLZ983062 LVV983045:LVV983062 MFR983045:MFR983062 MPN983045:MPN983062 MZJ983045:MZJ983062 NJF983045:NJF983062 NTB983045:NTB983062 OCX983045:OCX983062 OMT983045:OMT983062 OWP983045:OWP983062 PGL983045:PGL983062 PQH983045:PQH983062 QAD983045:QAD983062 QJZ983045:QJZ983062 QTV983045:QTV983062 RDR983045:RDR983062 RNN983045:RNN983062 RXJ983045:RXJ983062 SHF983045:SHF983062 SRB983045:SRB983062 TAX983045:TAX983062 TKT983045:TKT983062 TUP983045:TUP983062 UEL983045:UEL983062 UOH983045:UOH983062 UYD983045:UYD983062 VHZ983045:VHZ983062 VRV983045:VRV983062 WBR983045:WBR983062 WLN983045:WLN983062 B65541:B65558 IX65541:IX65558 ST65541:ST65558 ACP65541:ACP65558 AML65541:AML65558 AWH65541:AWH65558 BGD65541:BGD65558 BPZ65541:BPZ65558 BZV65541:BZV65558 CJR65541:CJR65558 CTN65541:CTN65558 DDJ65541:DDJ65558 DNF65541:DNF65558 DXB65541:DXB65558 EGX65541:EGX65558 EQT65541:EQT65558 FAP65541:FAP65558 FKL65541:FKL65558 FUH65541:FUH65558 GED65541:GED65558 GNZ65541:GNZ65558 GXV65541:GXV65558 HHR65541:HHR65558 HRN65541:HRN65558 IBJ65541:IBJ65558 ILF65541:ILF65558 IVB65541:IVB65558 JEX65541:JEX65558 JOT65541:JOT65558 JYP65541:JYP65558 KIL65541:KIL65558 KSH65541:KSH65558 LCD65541:LCD65558 LLZ65541:LLZ65558 LVV65541:LVV65558 MFR65541:MFR65558 MPN65541:MPN65558 MZJ65541:MZJ65558 NJF65541:NJF65558 NTB65541:NTB65558 OCX65541:OCX65558 OMT65541:OMT65558 OWP65541:OWP65558 PGL65541:PGL65558 PQH65541:PQH65558 QAD65541:QAD65558 QJZ65541:QJZ65558 QTV65541:QTV65558 RDR65541:RDR65558 RNN65541:RNN65558 RXJ65541:RXJ65558 SHF65541:SHF65558 SRB65541:SRB65558 TAX65541:TAX65558 TKT65541:TKT65558 TUP65541:TUP65558 UEL65541:UEL65558 UOH65541:UOH65558 UYD65541:UYD65558 VHZ65541:VHZ65558 VRV65541:VRV65558 WBR65541:WBR65558 WLN65541:WLN65558 WVJ65541:WVJ65558 B131077:B131094 IX131077:IX131094 ST131077:ST131094 ACP131077:ACP131094 AML131077:AML131094 AWH131077:AWH131094 BGD131077:BGD131094 BPZ131077:BPZ131094 BZV131077:BZV131094 CJR131077:CJR131094 CTN131077:CTN131094 DDJ131077:DDJ131094 DNF131077:DNF131094 DXB131077:DXB131094 EGX131077:EGX131094 EQT131077:EQT131094 FAP131077:FAP131094 FKL131077:FKL131094 FUH131077:FUH131094 GED131077:GED131094 GNZ131077:GNZ131094 GXV131077:GXV131094 HHR131077:HHR131094 HRN131077:HRN131094 IBJ131077:IBJ131094 ILF131077:ILF131094 IVB131077:IVB131094 JEX131077:JEX131094 JOT131077:JOT131094 JYP131077:JYP131094 KIL131077:KIL131094 KSH131077:KSH131094 LCD131077:LCD131094 LLZ131077:LLZ131094 LVV131077:LVV131094 MFR131077:MFR131094 MPN131077:MPN131094 MZJ131077:MZJ131094 NJF131077:NJF131094 NTB131077:NTB131094 OCX131077:OCX131094 OMT131077:OMT131094 OWP131077:OWP131094 PGL131077:PGL131094 PQH131077:PQH131094 QAD131077:QAD131094 QJZ131077:QJZ131094 QTV131077:QTV131094 RDR131077:RDR131094 RNN131077:RNN131094 RXJ131077:RXJ131094 SHF131077:SHF131094 SRB131077:SRB131094 TAX131077:TAX131094 TKT131077:TKT131094 TUP131077:TUP131094 UEL131077:UEL131094 UOH131077:UOH131094 UYD131077:UYD131094 VHZ131077:VHZ131094 VRV131077:VRV131094 WBR131077:WBR131094 WLN131077:WLN131094 WVJ131077:WVJ131094 B196613:B196630 IX196613:IX196630 ST196613:ST196630 ACP196613:ACP196630 AML196613:AML196630 AWH196613:AWH196630 BGD196613:BGD196630 BPZ196613:BPZ196630 BZV196613:BZV196630 CJR196613:CJR196630 CTN196613:CTN196630 DDJ196613:DDJ196630 DNF196613:DNF196630 DXB196613:DXB196630 EGX196613:EGX196630 EQT196613:EQT196630 FAP196613:FAP196630 FKL196613:FKL196630 FUH196613:FUH196630 GED196613:GED196630 GNZ196613:GNZ196630 GXV196613:GXV196630 HHR196613:HHR196630 HRN196613:HRN196630 IBJ196613:IBJ196630 ILF196613:ILF196630 IVB196613:IVB196630 JEX196613:JEX196630 JOT196613:JOT196630 JYP196613:JYP196630 KIL196613:KIL196630 KSH196613:KSH196630 LCD196613:LCD196630 LLZ196613:LLZ196630 LVV196613:LVV196630 MFR196613:MFR196630 MPN196613:MPN196630 MZJ196613:MZJ196630 NJF196613:NJF196630 NTB196613:NTB196630 OCX196613:OCX196630 OMT196613:OMT196630 OWP196613:OWP196630 PGL196613:PGL196630 PQH196613:PQH196630 QAD196613:QAD196630 QJZ196613:QJZ196630 QTV196613:QTV196630 RDR196613:RDR196630 RNN196613:RNN196630 RXJ196613:RXJ196630 SHF196613:SHF196630 SRB196613:SRB196630 TAX196613:TAX196630 TKT196613:TKT196630 TUP196613:TUP196630 UEL196613:UEL196630 UOH196613:UOH196630 UYD196613:UYD196630 VHZ196613:VHZ196630 VRV196613:VRV196630 WBR196613:WBR196630 WLN196613:WLN196630 WVJ196613:WVJ196630 B262149:B262166 IX262149:IX262166 ST262149:ST262166 ACP262149:ACP262166 AML262149:AML262166 AWH262149:AWH262166 BGD262149:BGD262166 BPZ262149:BPZ262166 BZV262149:BZV262166 CJR262149:CJR262166 CTN262149:CTN262166 DDJ262149:DDJ262166 DNF262149:DNF262166 DXB262149:DXB262166 EGX262149:EGX262166 EQT262149:EQT262166 FAP262149:FAP262166 FKL262149:FKL262166 FUH262149:FUH262166 GED262149:GED262166 GNZ262149:GNZ262166 GXV262149:GXV262166 HHR262149:HHR262166 HRN262149:HRN262166 IBJ262149:IBJ262166 ILF262149:ILF262166 IVB262149:IVB262166 JEX262149:JEX262166 JOT262149:JOT262166 JYP262149:JYP262166 KIL262149:KIL262166 KSH262149:KSH262166 LCD262149:LCD262166 LLZ262149:LLZ262166 LVV262149:LVV262166 MFR262149:MFR262166 MPN262149:MPN262166 MZJ262149:MZJ262166 NJF262149:NJF262166 NTB262149:NTB262166 OCX262149:OCX262166 OMT262149:OMT262166 OWP262149:OWP262166 PGL262149:PGL262166 PQH262149:PQH262166 QAD262149:QAD262166 QJZ262149:QJZ262166 QTV262149:QTV262166 RDR262149:RDR262166 RNN262149:RNN262166 RXJ262149:RXJ262166 SHF262149:SHF262166 SRB262149:SRB262166 TAX262149:TAX262166 TKT262149:TKT262166 TUP262149:TUP262166 UEL262149:UEL262166 UOH262149:UOH262166 UYD262149:UYD262166 VHZ262149:VHZ262166 VRV262149:VRV262166 WBR262149:WBR262166 WLN262149:WLN262166 WVJ262149:WVJ262166 B327685:B327702 IX327685:IX327702 ST327685:ST327702 ACP327685:ACP327702 AML327685:AML327702 AWH327685:AWH327702 BGD327685:BGD327702 BPZ327685:BPZ327702 BZV327685:BZV327702 CJR327685:CJR327702 CTN327685:CTN327702 DDJ327685:DDJ327702 DNF327685:DNF327702 DXB327685:DXB327702 EGX327685:EGX327702 EQT327685:EQT327702 FAP327685:FAP327702 FKL327685:FKL327702 FUH327685:FUH327702 GED327685:GED327702 GNZ327685:GNZ327702 GXV327685:GXV327702 HHR327685:HHR327702 HRN327685:HRN327702 IBJ327685:IBJ327702 ILF327685:ILF327702 IVB327685:IVB327702 JEX327685:JEX327702 JOT327685:JOT327702 JYP327685:JYP327702 KIL327685:KIL327702 KSH327685:KSH327702 LCD327685:LCD327702 LLZ327685:LLZ327702 LVV327685:LVV327702 MFR327685:MFR327702 MPN327685:MPN327702 MZJ327685:MZJ327702 NJF327685:NJF327702 NTB327685:NTB327702 OCX327685:OCX327702 OMT327685:OMT327702 OWP327685:OWP327702 PGL327685:PGL327702 PQH327685:PQH327702 QAD327685:QAD327702 QJZ327685:QJZ327702 QTV327685:QTV327702 RDR327685:RDR327702 RNN327685:RNN327702 RXJ327685:RXJ327702 SHF327685:SHF327702 SRB327685:SRB327702 TAX327685:TAX327702 TKT327685:TKT327702 TUP327685:TUP327702 UEL327685:UEL327702 UOH327685:UOH327702 UYD327685:UYD327702 VHZ327685:VHZ327702 VRV327685:VRV327702 WBR327685:WBR327702 WLN327685:WLN327702 WVJ327685:WVJ327702 B393221:B393238 IX393221:IX393238 ST393221:ST393238 ACP393221:ACP393238 AML393221:AML393238 AWH393221:AWH393238 BGD393221:BGD393238 BPZ393221:BPZ393238 BZV393221:BZV393238 CJR393221:CJR393238 CTN393221:CTN393238 DDJ393221:DDJ393238 DNF393221:DNF393238 DXB393221:DXB393238 EGX393221:EGX393238 EQT393221:EQT393238 FAP393221:FAP393238 FKL393221:FKL393238 FUH393221:FUH393238 GED393221:GED393238 GNZ393221:GNZ393238 GXV393221:GXV393238 HHR393221:HHR393238 HRN393221:HRN393238 IBJ393221:IBJ393238 ILF393221:ILF393238 IVB393221:IVB393238 JEX393221:JEX393238 JOT393221:JOT393238 JYP393221:JYP393238 KIL393221:KIL393238 KSH393221:KSH393238 LCD393221:LCD393238 LLZ393221:LLZ393238 LVV393221:LVV393238 MFR393221:MFR393238 MPN393221:MPN393238 MZJ393221:MZJ393238 NJF393221:NJF393238 NTB393221:NTB393238 OCX393221:OCX393238 OMT393221:OMT393238 OWP393221:OWP393238 PGL393221:PGL393238 PQH393221:PQH393238 QAD393221:QAD393238 QJZ393221:QJZ393238 QTV393221:QTV393238 RDR393221:RDR393238 RNN393221:RNN393238 RXJ393221:RXJ393238 SHF393221:SHF393238 SRB393221:SRB393238 TAX393221:TAX393238 TKT393221:TKT393238 TUP393221:TUP393238 UEL393221:UEL393238 UOH393221:UOH393238 UYD393221:UYD393238 VHZ393221:VHZ393238 VRV393221:VRV393238 WBR393221:WBR393238 WLN393221:WLN393238 WVJ393221:WVJ393238 B458757:B458774 IX458757:IX458774 ST458757:ST458774 ACP458757:ACP458774 AML458757:AML458774 AWH458757:AWH458774 BGD458757:BGD458774 BPZ458757:BPZ458774 BZV458757:BZV458774 CJR458757:CJR458774 CTN458757:CTN458774 DDJ458757:DDJ458774 DNF458757:DNF458774 DXB458757:DXB458774 EGX458757:EGX458774 EQT458757:EQT458774 FAP458757:FAP458774 FKL458757:FKL458774 FUH458757:FUH458774 GED458757:GED458774 GNZ458757:GNZ458774 GXV458757:GXV458774 HHR458757:HHR458774 HRN458757:HRN458774 IBJ458757:IBJ458774 ILF458757:ILF458774 IVB458757:IVB458774 JEX458757:JEX458774 JOT458757:JOT458774 JYP458757:JYP458774 KIL458757:KIL458774 KSH458757:KSH458774 LCD458757:LCD458774 LLZ458757:LLZ458774 LVV458757:LVV458774 MFR458757:MFR458774 MPN458757:MPN458774 MZJ458757:MZJ458774 NJF458757:NJF458774 NTB458757:NTB458774 OCX458757:OCX458774 OMT458757:OMT458774 OWP458757:OWP458774 PGL458757:PGL458774 PQH458757:PQH458774 QAD458757:QAD458774 QJZ458757:QJZ458774 QTV458757:QTV458774 RDR458757:RDR458774 RNN458757:RNN458774 RXJ458757:RXJ458774 SHF458757:SHF458774 SRB458757:SRB458774 TAX458757:TAX458774 TKT458757:TKT458774 TUP458757:TUP458774 UEL458757:UEL458774 UOH458757:UOH458774 UYD458757:UYD458774 VHZ458757:VHZ458774 VRV458757:VRV458774 WBR458757:WBR458774 WLN458757:WLN458774 WVJ458757:WVJ458774 B524293:B524310 IX524293:IX524310 ST524293:ST524310 ACP524293:ACP524310 AML524293:AML524310 AWH524293:AWH524310 BGD524293:BGD524310 BPZ524293:BPZ524310 BZV524293:BZV524310 CJR524293:CJR524310 CTN524293:CTN524310 DDJ524293:DDJ524310 DNF524293:DNF524310 DXB524293:DXB524310 EGX524293:EGX524310 EQT524293:EQT524310 FAP524293:FAP524310 FKL524293:FKL524310 FUH524293:FUH524310 GED524293:GED524310 GNZ524293:GNZ524310 GXV524293:GXV524310 HHR524293:HHR524310 HRN524293:HRN524310 IBJ524293:IBJ524310 ILF524293:ILF524310 IVB524293:IVB524310 JEX524293:JEX524310 JOT524293:JOT524310 JYP524293:JYP524310 KIL524293:KIL524310 KSH524293:KSH524310 LCD524293:LCD524310 LLZ524293:LLZ524310 LVV524293:LVV524310 MFR524293:MFR524310 MPN524293:MPN524310 MZJ524293:MZJ524310 NJF524293:NJF524310 NTB524293:NTB524310 OCX524293:OCX524310 OMT524293:OMT524310 OWP524293:OWP524310 PGL524293:PGL524310 PQH524293:PQH524310 QAD524293:QAD524310 QJZ524293:QJZ524310 QTV524293:QTV524310 RDR524293:RDR524310 RNN524293:RNN524310 RXJ524293:RXJ524310 SHF524293:SHF524310 SRB524293:SRB524310 TAX524293:TAX524310 TKT524293:TKT524310 TUP524293:TUP524310 UEL524293:UEL524310 UOH524293:UOH524310 UYD524293:UYD524310 VHZ524293:VHZ524310 VRV524293:VRV524310 WBR524293:WBR524310 WLN524293:WLN524310 WVJ524293:WVJ524310 B589829:B589846 IX589829:IX589846 ST589829:ST589846 ACP589829:ACP589846 AML589829:AML589846 AWH589829:AWH589846 BGD589829:BGD589846 BPZ589829:BPZ589846 BZV589829:BZV589846 CJR589829:CJR589846 CTN589829:CTN589846 DDJ589829:DDJ589846 DNF589829:DNF589846 DXB589829:DXB589846 EGX589829:EGX589846 EQT589829:EQT589846 FAP589829:FAP589846 FKL589829:FKL589846 FUH589829:FUH589846 GED589829:GED589846 GNZ589829:GNZ589846 GXV589829:GXV589846 HHR589829:HHR589846 HRN589829:HRN589846 IBJ589829:IBJ589846 ILF589829:ILF589846 IVB589829:IVB589846 JEX589829:JEX589846 JOT589829:JOT589846 JYP589829:JYP589846 KIL589829:KIL589846 KSH589829:KSH589846 LCD589829:LCD589846 LLZ589829:LLZ589846 LVV589829:LVV589846 MFR589829:MFR589846 MPN589829:MPN589846 MZJ589829:MZJ589846 NJF589829:NJF589846 NTB589829:NTB589846 OCX589829:OCX589846 OMT589829:OMT589846 OWP589829:OWP589846 PGL589829:PGL589846 PQH589829:PQH589846 QAD589829:QAD589846 QJZ589829:QJZ589846 QTV589829:QTV589846 RDR589829:RDR589846 RNN589829:RNN589846 RXJ589829:RXJ589846 SHF589829:SHF589846 SRB589829:SRB589846 TAX589829:TAX589846 TKT589829:TKT589846 TUP589829:TUP589846 UEL589829:UEL589846 UOH589829:UOH589846 UYD589829:UYD589846 VHZ589829:VHZ589846 VRV589829:VRV589846 WBR589829:WBR589846 WLN589829:WLN589846 WVJ589829:WVJ589846 B655365:B655382 IX655365:IX655382 ST655365:ST655382 ACP655365:ACP655382 AML655365:AML655382 AWH655365:AWH655382 BGD655365:BGD655382 BPZ655365:BPZ655382 BZV655365:BZV655382 CJR655365:CJR655382 CTN655365:CTN655382 DDJ655365:DDJ655382 DNF655365:DNF655382 DXB655365:DXB655382 EGX655365:EGX655382 EQT655365:EQT655382 FAP655365:FAP655382 FKL655365:FKL655382 FUH655365:FUH655382 GED655365:GED655382 GNZ655365:GNZ655382 GXV655365:GXV655382 HHR655365:HHR655382 HRN655365:HRN655382 IBJ655365:IBJ655382 ILF655365:ILF655382 IVB655365:IVB655382 JEX655365:JEX655382 JOT655365:JOT655382 JYP655365:JYP655382 KIL655365:KIL655382 KSH655365:KSH655382 LCD655365:LCD655382 LLZ655365:LLZ655382 LVV655365:LVV655382 MFR655365:MFR655382 MPN655365:MPN655382 MZJ655365:MZJ655382 NJF655365:NJF655382 NTB655365:NTB655382 OCX655365:OCX655382 OMT655365:OMT655382 OWP655365:OWP655382 PGL655365:PGL655382 PQH655365:PQH655382 QAD655365:QAD655382 QJZ655365:QJZ655382 QTV655365:QTV655382 RDR655365:RDR655382 RNN655365:RNN655382 RXJ655365:RXJ655382 SHF655365:SHF655382 SRB655365:SRB655382 TAX655365:TAX655382 TKT655365:TKT655382 TUP655365:TUP655382 UEL655365:UEL655382 UOH655365:UOH655382 UYD655365:UYD655382 VHZ655365:VHZ655382 VRV655365:VRV655382 WBR655365:WBR655382 WLN655365:WLN655382 WVJ655365:WVJ655382 B720901:B720918 IX720901:IX720918 ST720901:ST720918 ACP720901:ACP720918 AML720901:AML720918 AWH720901:AWH720918 BGD720901:BGD720918 BPZ720901:BPZ720918 BZV720901:BZV720918 CJR720901:CJR720918 CTN720901:CTN720918 DDJ720901:DDJ720918 DNF720901:DNF720918 DXB720901:DXB720918 EGX720901:EGX720918 EQT720901:EQT720918 FAP720901:FAP720918 FKL720901:FKL720918 FUH720901:FUH720918 GED720901:GED720918 GNZ720901:GNZ720918 GXV720901:GXV720918 HHR720901:HHR720918 HRN720901:HRN720918 IBJ720901:IBJ720918 ILF720901:ILF720918 IVB720901:IVB720918 JEX720901:JEX720918 JOT720901:JOT720918 JYP720901:JYP720918 KIL720901:KIL720918 KSH720901:KSH720918 LCD720901:LCD720918 LLZ720901:LLZ720918 LVV720901:LVV720918 MFR720901:MFR720918 MPN720901:MPN720918 MZJ720901:MZJ720918 NJF720901:NJF720918 NTB720901:NTB720918 OCX720901:OCX720918 OMT720901:OMT720918 OWP720901:OWP720918 PGL720901:PGL720918 PQH720901:PQH720918 QAD720901:QAD720918 QJZ720901:QJZ720918 QTV720901:QTV720918 RDR720901:RDR720918 RNN720901:RNN720918 RXJ720901:RXJ720918 SHF720901:SHF720918 SRB720901:SRB720918 TAX720901:TAX720918 TKT720901:TKT720918 TUP720901:TUP720918 UEL720901:UEL720918 UOH720901:UOH720918 UYD720901:UYD720918 VHZ720901:VHZ720918 VRV720901:VRV720918 WBR720901:WBR720918 WLN720901:WLN720918 WVJ720901:WVJ720918 B786437:B786454 IX786437:IX786454 ST786437:ST786454 ACP786437:ACP786454 AML786437:AML786454 AWH786437:AWH786454 BGD786437:BGD786454 BPZ786437:BPZ786454 BZV786437:BZV786454 CJR786437:CJR786454 CTN786437:CTN786454 DDJ786437:DDJ786454 DNF786437:DNF786454 DXB786437:DXB786454 EGX786437:EGX786454 EQT786437:EQT786454 FAP786437:FAP786454 FKL786437:FKL786454 FUH786437:FUH786454 GED786437:GED786454 GNZ786437:GNZ786454 GXV786437:GXV786454 HHR786437:HHR786454 HRN786437:HRN786454 IBJ786437:IBJ786454 ILF786437:ILF786454 IVB786437:IVB786454 JEX786437:JEX786454 JOT786437:JOT786454 JYP786437:JYP786454 KIL786437:KIL786454 KSH786437:KSH786454 LCD786437:LCD786454 LLZ786437:LLZ786454 LVV786437:LVV786454 MFR786437:MFR786454 MPN786437:MPN786454 MZJ786437:MZJ786454 NJF786437:NJF786454 NTB786437:NTB786454 OCX786437:OCX786454 OMT786437:OMT786454 OWP786437:OWP786454 PGL786437:PGL786454 PQH786437:PQH786454 QAD786437:QAD786454 QJZ786437:QJZ786454 QTV786437:QTV786454 RDR786437:RDR786454 RNN786437:RNN786454 RXJ786437:RXJ786454 SHF786437:SHF786454 SRB786437:SRB786454 TAX786437:TAX786454 TKT786437:TKT786454 TUP786437:TUP786454 UEL786437:UEL786454 UOH786437:UOH786454 UYD786437:UYD786454 VHZ786437:VHZ786454 VRV786437:VRV786454 WBR786437:WBR786454 WLN786437:WLN786454 WVJ786437:WVJ786454 B851973:B851990 IX851973:IX851990 ST851973:ST851990 ACP851973:ACP851990 AML851973:AML851990 AWH851973:AWH851990 BGD851973:BGD851990 BPZ851973:BPZ851990 BZV851973:BZV851990 CJR851973:CJR851990 CTN851973:CTN851990 DDJ851973:DDJ851990 DNF851973:DNF851990 DXB851973:DXB851990 EGX851973:EGX851990 EQT851973:EQT851990 FAP851973:FAP851990 FKL851973:FKL851990 FUH851973:FUH851990 GED851973:GED851990 GNZ851973:GNZ851990 GXV851973:GXV851990 HHR851973:HHR851990 HRN851973:HRN851990 IBJ851973:IBJ851990 ILF851973:ILF851990 IVB851973:IVB851990 JEX851973:JEX851990 JOT851973:JOT851990 JYP851973:JYP851990 KIL851973:KIL851990 KSH851973:KSH851990 LCD851973:LCD851990 LLZ851973:LLZ851990 LVV851973:LVV851990 MFR851973:MFR851990 MPN851973:MPN851990 MZJ851973:MZJ851990 NJF851973:NJF851990 NTB851973:NTB851990 OCX851973:OCX851990 OMT851973:OMT851990 OWP851973:OWP851990 PGL851973:PGL851990 PQH851973:PQH851990 QAD851973:QAD851990 QJZ851973:QJZ851990 QTV851973:QTV851990 RDR851973:RDR851990 RNN851973:RNN851990 RXJ851973:RXJ851990 SHF851973:SHF851990 SRB851973:SRB851990 TAX851973:TAX851990 TKT851973:TKT851990 TUP851973:TUP851990 UEL851973:UEL851990 UOH851973:UOH851990 UYD851973:UYD851990 VHZ851973:VHZ851990 VRV851973:VRV851990 WBR851973:WBR851990 WLN851973:WLN851990 WVJ851973:WVJ851990 B917509:B917526 IX917509:IX917526 ST917509:ST917526 ACP917509:ACP917526 AML917509:AML917526 AWH917509:AWH917526 BGD917509:BGD917526 BPZ917509:BPZ917526 BZV917509:BZV917526 CJR917509:CJR917526 CTN917509:CTN917526 DDJ917509:DDJ917526 DNF917509:DNF917526 DXB917509:DXB917526 EGX917509:EGX917526 EQT917509:EQT917526 FAP917509:FAP917526 FKL917509:FKL917526 FUH917509:FUH917526 GED917509:GED917526 GNZ917509:GNZ917526 GXV917509:GXV917526 HHR917509:HHR917526 HRN917509:HRN917526 IBJ917509:IBJ917526 ILF917509:ILF917526 IVB917509:IVB917526 JEX917509:JEX917526 JOT917509:JOT917526 JYP917509:JYP917526 KIL917509:KIL917526 KSH917509:KSH917526 LCD917509:LCD917526 LLZ917509:LLZ917526 LVV917509:LVV917526 MFR917509:MFR917526 MPN917509:MPN917526 MZJ917509:MZJ917526 NJF917509:NJF917526 NTB917509:NTB917526 OCX917509:OCX917526 OMT917509:OMT917526 OWP917509:OWP917526 PGL917509:PGL917526 PQH917509:PQH917526 QAD917509:QAD917526 QJZ917509:QJZ917526 QTV917509:QTV917526 RDR917509:RDR917526 RNN917509:RNN917526 RXJ917509:RXJ917526 SHF917509:SHF917526 SRB917509:SRB917526 TAX917509:TAX917526 TKT917509:TKT917526 TUP917509:TUP917526 UEL917509:UEL917526 UOH917509:UOH917526 UYD917509:UYD917526 VHZ917509:VHZ917526 VRV917509:VRV917526 WBR917509:WBR917526 WLN917509:WLN917526 WVJ917509:WVJ917526" xr:uid="{00000000-0002-0000-0F00-000001000000}">
      <formula1>trung</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333"/>
  <sheetViews>
    <sheetView topLeftCell="A4"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2260</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2261</v>
      </c>
      <c r="C13" s="425"/>
      <c r="D13" s="425"/>
      <c r="E13" s="425"/>
      <c r="F13" s="425"/>
      <c r="G13" s="73">
        <f>G14</f>
        <v>143960000</v>
      </c>
      <c r="H13" s="74"/>
    </row>
    <row r="14" spans="1:8" s="131" customFormat="1" ht="40.5" customHeight="1">
      <c r="A14" s="123"/>
      <c r="B14" s="124" t="s">
        <v>1757</v>
      </c>
      <c r="C14" s="125" t="s">
        <v>1753</v>
      </c>
      <c r="D14" s="126">
        <v>12.2</v>
      </c>
      <c r="E14" s="127">
        <v>11800000</v>
      </c>
      <c r="F14" s="128">
        <v>1</v>
      </c>
      <c r="G14" s="129">
        <f>D14*E14*F14</f>
        <v>143960000</v>
      </c>
      <c r="H14" s="130"/>
    </row>
    <row r="15" spans="1:8" ht="27" customHeight="1">
      <c r="A15" s="75" t="s">
        <v>18</v>
      </c>
      <c r="B15" s="426" t="s">
        <v>1725</v>
      </c>
      <c r="C15" s="426"/>
      <c r="D15" s="426"/>
      <c r="E15" s="426"/>
      <c r="F15" s="426"/>
      <c r="G15" s="76">
        <f>SUM(G16:G16)</f>
        <v>0</v>
      </c>
      <c r="H15" s="11"/>
    </row>
    <row r="16" spans="1:8" ht="30.6" customHeight="1">
      <c r="A16" s="77"/>
      <c r="B16" s="78" t="s">
        <v>1728</v>
      </c>
      <c r="C16" s="13"/>
      <c r="D16" s="13"/>
      <c r="E16" s="13"/>
      <c r="F16" s="13"/>
      <c r="G16" s="79"/>
      <c r="H16" s="15"/>
    </row>
    <row r="17" spans="1:8" ht="24" customHeight="1">
      <c r="A17" s="75" t="s">
        <v>19</v>
      </c>
      <c r="B17" s="426" t="s">
        <v>1727</v>
      </c>
      <c r="C17" s="426"/>
      <c r="D17" s="426"/>
      <c r="E17" s="426"/>
      <c r="F17" s="426"/>
      <c r="G17" s="76">
        <f>SUM(G18:G18)</f>
        <v>0</v>
      </c>
      <c r="H17" s="11"/>
    </row>
    <row r="18" spans="1:8" ht="30.6" customHeight="1">
      <c r="A18" s="77"/>
      <c r="B18" s="78" t="s">
        <v>1728</v>
      </c>
      <c r="C18" s="13"/>
      <c r="D18" s="13"/>
      <c r="E18" s="13"/>
      <c r="F18" s="13"/>
      <c r="G18" s="79"/>
      <c r="H18" s="15"/>
    </row>
    <row r="19" spans="1:8" ht="15.6">
      <c r="A19" s="80"/>
      <c r="B19" s="427" t="s">
        <v>62</v>
      </c>
      <c r="C19" s="428"/>
      <c r="D19" s="428"/>
      <c r="E19" s="428"/>
      <c r="F19" s="429"/>
      <c r="G19" s="81">
        <f>G13+G15+G17</f>
        <v>143960000</v>
      </c>
      <c r="H19" s="82"/>
    </row>
    <row r="20" spans="1:8" ht="15.6">
      <c r="A20" s="80"/>
      <c r="B20" s="427" t="s">
        <v>1726</v>
      </c>
      <c r="C20" s="428"/>
      <c r="D20" s="428"/>
      <c r="E20" s="428"/>
      <c r="F20" s="429"/>
      <c r="G20" s="81">
        <f>ROUND(G19,-3)</f>
        <v>143960000</v>
      </c>
      <c r="H20" s="82"/>
    </row>
    <row r="21" spans="1:8" ht="15.6">
      <c r="A21" s="430" t="e">
        <f ca="1">[19]!vnd(G20)</f>
        <v>#NAME?</v>
      </c>
      <c r="B21" s="431"/>
      <c r="C21" s="431"/>
      <c r="D21" s="431"/>
      <c r="E21" s="431"/>
      <c r="F21" s="431"/>
      <c r="G21" s="431"/>
      <c r="H21" s="432"/>
    </row>
    <row r="22" spans="1:8">
      <c r="A22" s="17"/>
      <c r="B22" s="17"/>
      <c r="C22" s="97"/>
      <c r="D22" s="20"/>
      <c r="E22" s="19"/>
      <c r="F22" s="97"/>
      <c r="G22" s="19"/>
      <c r="H22" s="17"/>
    </row>
    <row r="23" spans="1:8" s="109" customFormat="1" ht="16.5" customHeight="1">
      <c r="A23" s="108"/>
      <c r="B23" s="108"/>
      <c r="C23" s="424" t="s">
        <v>1742</v>
      </c>
      <c r="D23" s="424"/>
      <c r="E23" s="424"/>
      <c r="F23" s="424"/>
      <c r="G23" s="424"/>
      <c r="H23" s="424"/>
    </row>
    <row r="24" spans="1:8" s="109" customFormat="1" ht="16.5" customHeight="1">
      <c r="A24" s="423" t="s">
        <v>63</v>
      </c>
      <c r="B24" s="423"/>
      <c r="C24" s="424" t="s">
        <v>1743</v>
      </c>
      <c r="D24" s="424"/>
      <c r="E24" s="424"/>
      <c r="F24" s="424" t="s">
        <v>1744</v>
      </c>
      <c r="G24" s="424"/>
      <c r="H24" s="424"/>
    </row>
    <row r="25" spans="1:8" s="109" customFormat="1" ht="15.6">
      <c r="A25" s="108"/>
      <c r="B25" s="108"/>
      <c r="C25" s="108"/>
      <c r="D25" s="110"/>
      <c r="E25" s="111"/>
      <c r="F25" s="112"/>
      <c r="G25" s="111"/>
      <c r="H25" s="113"/>
    </row>
    <row r="26" spans="1:8" s="109" customFormat="1" ht="15.6">
      <c r="A26" s="108"/>
      <c r="B26" s="108"/>
      <c r="C26" s="108"/>
      <c r="D26" s="110"/>
      <c r="E26" s="111"/>
      <c r="F26" s="112"/>
      <c r="G26" s="114"/>
      <c r="H26" s="113"/>
    </row>
    <row r="27" spans="1:8" s="109" customFormat="1" ht="15.6">
      <c r="A27" s="108"/>
      <c r="B27" s="108"/>
      <c r="C27" s="108"/>
      <c r="D27" s="110"/>
      <c r="E27" s="111"/>
      <c r="F27" s="112"/>
      <c r="G27" s="111"/>
      <c r="H27" s="113"/>
    </row>
    <row r="28" spans="1:8" s="109" customFormat="1" ht="15.6">
      <c r="A28" s="108"/>
      <c r="B28" s="108"/>
      <c r="C28" s="108"/>
      <c r="D28" s="110"/>
      <c r="E28" s="111"/>
      <c r="F28" s="112"/>
      <c r="G28" s="111"/>
      <c r="H28" s="113"/>
    </row>
    <row r="29" spans="1:8" s="109" customFormat="1" ht="15.6">
      <c r="A29" s="108"/>
      <c r="B29" s="108"/>
      <c r="C29" s="108"/>
      <c r="D29" s="110"/>
      <c r="E29" s="111"/>
      <c r="F29" s="112"/>
      <c r="G29" s="111"/>
      <c r="H29" s="113"/>
    </row>
    <row r="30" spans="1:8" s="109" customFormat="1" ht="16.5" customHeight="1">
      <c r="A30" s="108"/>
      <c r="B30" s="198" t="s">
        <v>64</v>
      </c>
      <c r="C30" s="424"/>
      <c r="D30" s="424"/>
      <c r="E30" s="424"/>
      <c r="F30" s="424" t="s">
        <v>1745</v>
      </c>
      <c r="G30" s="424"/>
      <c r="H30" s="424"/>
    </row>
    <row r="31" spans="1:8" s="109" customFormat="1" ht="15.6">
      <c r="A31" s="108"/>
      <c r="B31" s="198"/>
      <c r="C31" s="199"/>
      <c r="D31" s="199"/>
      <c r="E31" s="199"/>
      <c r="F31" s="199"/>
      <c r="G31" s="199"/>
      <c r="H31" s="199"/>
    </row>
    <row r="32" spans="1:8" s="109" customFormat="1" ht="15" customHeight="1">
      <c r="A32" s="424" t="s">
        <v>1746</v>
      </c>
      <c r="B32" s="424"/>
      <c r="C32" s="424"/>
      <c r="D32" s="424"/>
      <c r="E32" s="424" t="s">
        <v>1747</v>
      </c>
      <c r="F32" s="424"/>
      <c r="G32" s="424"/>
      <c r="H32" s="424"/>
    </row>
    <row r="33" spans="1:8" s="109" customFormat="1" ht="33.6" customHeight="1">
      <c r="A33" s="424" t="s">
        <v>1748</v>
      </c>
      <c r="B33" s="424"/>
      <c r="C33" s="424"/>
      <c r="D33" s="424"/>
      <c r="E33" s="424" t="s">
        <v>65</v>
      </c>
      <c r="F33" s="424"/>
      <c r="G33" s="424"/>
      <c r="H33" s="424"/>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ustomHeight="1">
      <c r="A39" s="108"/>
      <c r="B39" s="108"/>
      <c r="C39" s="108"/>
      <c r="D39" s="115"/>
      <c r="E39" s="439" t="s">
        <v>1749</v>
      </c>
      <c r="F39" s="439"/>
      <c r="G39" s="439"/>
      <c r="H39" s="439"/>
    </row>
    <row r="40" spans="1:8" s="109" customFormat="1" ht="16.5" customHeight="1">
      <c r="A40" s="424" t="s">
        <v>1751</v>
      </c>
      <c r="B40" s="424"/>
      <c r="C40" s="424"/>
      <c r="D40" s="424"/>
      <c r="E40" s="424" t="s">
        <v>1750</v>
      </c>
      <c r="F40" s="424"/>
      <c r="G40" s="424"/>
      <c r="H40" s="424"/>
    </row>
    <row r="41" spans="1:8" s="118" customFormat="1" ht="16.2" customHeight="1">
      <c r="A41" s="440"/>
      <c r="B41" s="440"/>
      <c r="C41" s="116"/>
      <c r="D41" s="117"/>
      <c r="E41" s="440"/>
      <c r="F41" s="440"/>
      <c r="G41" s="440"/>
      <c r="H41" s="440"/>
    </row>
    <row r="42" spans="1:8" s="118" customFormat="1" ht="15.75" customHeight="1">
      <c r="A42" s="440"/>
      <c r="B42" s="440"/>
      <c r="C42" s="440"/>
      <c r="D42" s="440"/>
      <c r="E42" s="440"/>
      <c r="F42" s="440"/>
      <c r="G42" s="440"/>
      <c r="H42" s="440"/>
    </row>
    <row r="43" spans="1:8" s="98" customFormat="1" ht="16.2" customHeight="1">
      <c r="A43" s="436"/>
      <c r="B43" s="436"/>
      <c r="C43" s="436"/>
      <c r="D43" s="436"/>
      <c r="E43" s="119"/>
      <c r="F43" s="120"/>
      <c r="G43" s="119"/>
      <c r="H43" s="121"/>
    </row>
    <row r="44" spans="1:8" s="98" customFormat="1" ht="16.2" customHeight="1">
      <c r="A44" s="436"/>
      <c r="B44" s="436"/>
      <c r="C44" s="436"/>
      <c r="D44" s="436"/>
      <c r="E44" s="119"/>
      <c r="F44" s="120"/>
      <c r="G44" s="119"/>
      <c r="H44" s="121"/>
    </row>
    <row r="45" spans="1:8" s="98" customFormat="1" ht="16.2" customHeight="1">
      <c r="A45" s="121"/>
      <c r="B45" s="121"/>
      <c r="C45" s="121"/>
      <c r="D45" s="122"/>
      <c r="E45" s="119"/>
      <c r="F45" s="120"/>
      <c r="G45" s="119"/>
      <c r="H45" s="121"/>
    </row>
    <row r="46" spans="1:8" ht="16.2" customHeight="1">
      <c r="A46" s="83"/>
      <c r="B46" s="83"/>
      <c r="C46" s="83"/>
      <c r="D46" s="84"/>
      <c r="E46" s="85"/>
      <c r="F46" s="86"/>
      <c r="G46" s="85"/>
      <c r="H46" s="83"/>
    </row>
    <row r="47" spans="1:8" ht="16.2" customHeight="1">
      <c r="A47" s="83"/>
      <c r="B47" s="83"/>
      <c r="C47" s="83"/>
      <c r="D47" s="84"/>
      <c r="E47" s="85"/>
      <c r="F47" s="86"/>
      <c r="G47" s="85"/>
      <c r="H47" s="83"/>
    </row>
    <row r="48" spans="1:8" ht="16.2" customHeight="1">
      <c r="A48" s="83"/>
      <c r="B48" s="83"/>
      <c r="C48" s="83"/>
      <c r="D48" s="84"/>
      <c r="E48" s="85"/>
      <c r="F48" s="86"/>
      <c r="G48" s="85"/>
      <c r="H48" s="83"/>
    </row>
    <row r="49" spans="1:8" ht="16.2" customHeight="1">
      <c r="A49" s="83"/>
      <c r="B49" s="83"/>
      <c r="C49" s="83"/>
      <c r="D49" s="84"/>
      <c r="E49" s="437"/>
      <c r="F49" s="437"/>
      <c r="G49" s="437"/>
      <c r="H49" s="437"/>
    </row>
    <row r="50" spans="1:8" ht="20.25" customHeight="1">
      <c r="A50" s="438"/>
      <c r="B50" s="438"/>
      <c r="C50" s="438"/>
      <c r="D50" s="438"/>
      <c r="E50" s="438"/>
      <c r="F50" s="438"/>
      <c r="G50" s="438"/>
      <c r="H50" s="438"/>
    </row>
    <row r="51" spans="1:8" s="17" customFormat="1" ht="16.2" customHeight="1">
      <c r="D51" s="18"/>
      <c r="E51" s="19"/>
      <c r="F51" s="97"/>
      <c r="G51" s="19"/>
    </row>
    <row r="52" spans="1:8" s="17" customFormat="1" ht="16.2" customHeight="1">
      <c r="D52" s="18"/>
      <c r="E52" s="19"/>
      <c r="F52" s="97"/>
      <c r="G52" s="19"/>
    </row>
    <row r="53" spans="1:8" s="17" customFormat="1" ht="16.2" customHeight="1">
      <c r="D53" s="18"/>
      <c r="E53" s="19"/>
      <c r="F53" s="97"/>
      <c r="G53" s="19"/>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C67" s="97"/>
      <c r="D67" s="20"/>
      <c r="E67" s="19"/>
      <c r="F67" s="97"/>
      <c r="G67" s="19"/>
    </row>
    <row r="68" spans="3:7" s="17" customFormat="1" ht="16.2" customHeight="1">
      <c r="C68" s="97"/>
      <c r="D68" s="20"/>
      <c r="E68" s="19"/>
      <c r="F68" s="97"/>
      <c r="G68" s="19"/>
    </row>
    <row r="69" spans="3:7" s="17" customFormat="1" ht="16.2" customHeight="1">
      <c r="C69" s="97"/>
      <c r="D69" s="20"/>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ht="16.2" customHeight="1"/>
    <row r="80" spans="3:7" ht="16.2" customHeight="1"/>
    <row r="81" ht="16.2" customHeight="1"/>
    <row r="82" ht="16.2" customHeight="1"/>
    <row r="83" ht="16.2" customHeight="1"/>
    <row r="84" ht="16.2" customHeight="1"/>
    <row r="85" ht="16.2" customHeight="1"/>
    <row r="86" ht="16.2" customHeight="1"/>
    <row r="87" ht="16.2" customHeight="1"/>
    <row r="88" ht="16.2" customHeight="1"/>
    <row r="89" ht="16.2" customHeight="1"/>
    <row r="90" ht="16.2" customHeight="1"/>
    <row r="91" ht="16.2" customHeight="1"/>
    <row r="92" ht="16.2" customHeight="1"/>
    <row r="93" ht="16.2" customHeight="1"/>
    <row r="94" ht="16.2" customHeight="1"/>
    <row r="95" ht="16.2" customHeight="1"/>
    <row r="96"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row r="226"/>
    <row r="227"/>
    <row r="228"/>
    <row r="229"/>
    <row r="230"/>
    <row r="231"/>
    <row r="232"/>
    <row r="233"/>
    <row r="234"/>
    <row r="235"/>
    <row r="236"/>
    <row r="237"/>
    <row r="238"/>
    <row r="239"/>
    <row r="240"/>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sheetData>
  <mergeCells count="40">
    <mergeCell ref="A4:B4"/>
    <mergeCell ref="C4:H4"/>
    <mergeCell ref="A1:B1"/>
    <mergeCell ref="C1:H1"/>
    <mergeCell ref="A2:B2"/>
    <mergeCell ref="C2:H2"/>
    <mergeCell ref="A3:B3"/>
    <mergeCell ref="A21:H21"/>
    <mergeCell ref="A6:H6"/>
    <mergeCell ref="A7:H7"/>
    <mergeCell ref="A8:H8"/>
    <mergeCell ref="A9:H9"/>
    <mergeCell ref="A10:H10"/>
    <mergeCell ref="A11:H11"/>
    <mergeCell ref="B13:F13"/>
    <mergeCell ref="B15:F15"/>
    <mergeCell ref="B17:F17"/>
    <mergeCell ref="B19:F19"/>
    <mergeCell ref="B20:F20"/>
    <mergeCell ref="A40:D40"/>
    <mergeCell ref="E40:H40"/>
    <mergeCell ref="C23:H23"/>
    <mergeCell ref="A24:B24"/>
    <mergeCell ref="C24:E24"/>
    <mergeCell ref="F24:H24"/>
    <mergeCell ref="C30:E30"/>
    <mergeCell ref="F30:H30"/>
    <mergeCell ref="A32:D32"/>
    <mergeCell ref="E32:H32"/>
    <mergeCell ref="A33:D33"/>
    <mergeCell ref="E33:H33"/>
    <mergeCell ref="E39:H39"/>
    <mergeCell ref="E49:H49"/>
    <mergeCell ref="A50:H50"/>
    <mergeCell ref="A41:B41"/>
    <mergeCell ref="E41:H41"/>
    <mergeCell ref="A42:D42"/>
    <mergeCell ref="E42:H42"/>
    <mergeCell ref="A43:D43"/>
    <mergeCell ref="A44:D44"/>
  </mergeCells>
  <dataValidations count="1">
    <dataValidation type="list" allowBlank="1" showInputMessage="1" showErrorMessage="1" sqref="WVJ983042:WVJ983059 B983042:B983059 IX983042:IX983059 ST983042:ST983059 ACP983042:ACP983059 AML983042:AML983059 AWH983042:AWH983059 BGD983042:BGD983059 BPZ983042:BPZ983059 BZV983042:BZV983059 CJR983042:CJR983059 CTN983042:CTN983059 DDJ983042:DDJ983059 DNF983042:DNF983059 DXB983042:DXB983059 EGX983042:EGX983059 EQT983042:EQT983059 FAP983042:FAP983059 FKL983042:FKL983059 FUH983042:FUH983059 GED983042:GED983059 GNZ983042:GNZ983059 GXV983042:GXV983059 HHR983042:HHR983059 HRN983042:HRN983059 IBJ983042:IBJ983059 ILF983042:ILF983059 IVB983042:IVB983059 JEX983042:JEX983059 JOT983042:JOT983059 JYP983042:JYP983059 KIL983042:KIL983059 KSH983042:KSH983059 LCD983042:LCD983059 LLZ983042:LLZ983059 LVV983042:LVV983059 MFR983042:MFR983059 MPN983042:MPN983059 MZJ983042:MZJ983059 NJF983042:NJF983059 NTB983042:NTB983059 OCX983042:OCX983059 OMT983042:OMT983059 OWP983042:OWP983059 PGL983042:PGL983059 PQH983042:PQH983059 QAD983042:QAD983059 QJZ983042:QJZ983059 QTV983042:QTV983059 RDR983042:RDR983059 RNN983042:RNN983059 RXJ983042:RXJ983059 SHF983042:SHF983059 SRB983042:SRB983059 TAX983042:TAX983059 TKT983042:TKT983059 TUP983042:TUP983059 UEL983042:UEL983059 UOH983042:UOH983059 UYD983042:UYD983059 VHZ983042:VHZ983059 VRV983042:VRV983059 WBR983042:WBR983059 WLN983042:WLN983059 B65538:B65555 IX65538:IX65555 ST65538:ST65555 ACP65538:ACP65555 AML65538:AML65555 AWH65538:AWH65555 BGD65538:BGD65555 BPZ65538:BPZ65555 BZV65538:BZV65555 CJR65538:CJR65555 CTN65538:CTN65555 DDJ65538:DDJ65555 DNF65538:DNF65555 DXB65538:DXB65555 EGX65538:EGX65555 EQT65538:EQT65555 FAP65538:FAP65555 FKL65538:FKL65555 FUH65538:FUH65555 GED65538:GED65555 GNZ65538:GNZ65555 GXV65538:GXV65555 HHR65538:HHR65555 HRN65538:HRN65555 IBJ65538:IBJ65555 ILF65538:ILF65555 IVB65538:IVB65555 JEX65538:JEX65555 JOT65538:JOT65555 JYP65538:JYP65555 KIL65538:KIL65555 KSH65538:KSH65555 LCD65538:LCD65555 LLZ65538:LLZ65555 LVV65538:LVV65555 MFR65538:MFR65555 MPN65538:MPN65555 MZJ65538:MZJ65555 NJF65538:NJF65555 NTB65538:NTB65555 OCX65538:OCX65555 OMT65538:OMT65555 OWP65538:OWP65555 PGL65538:PGL65555 PQH65538:PQH65555 QAD65538:QAD65555 QJZ65538:QJZ65555 QTV65538:QTV65555 RDR65538:RDR65555 RNN65538:RNN65555 RXJ65538:RXJ65555 SHF65538:SHF65555 SRB65538:SRB65555 TAX65538:TAX65555 TKT65538:TKT65555 TUP65538:TUP65555 UEL65538:UEL65555 UOH65538:UOH65555 UYD65538:UYD65555 VHZ65538:VHZ65555 VRV65538:VRV65555 WBR65538:WBR65555 WLN65538:WLN65555 WVJ65538:WVJ65555 B131074:B131091 IX131074:IX131091 ST131074:ST131091 ACP131074:ACP131091 AML131074:AML131091 AWH131074:AWH131091 BGD131074:BGD131091 BPZ131074:BPZ131091 BZV131074:BZV131091 CJR131074:CJR131091 CTN131074:CTN131091 DDJ131074:DDJ131091 DNF131074:DNF131091 DXB131074:DXB131091 EGX131074:EGX131091 EQT131074:EQT131091 FAP131074:FAP131091 FKL131074:FKL131091 FUH131074:FUH131091 GED131074:GED131091 GNZ131074:GNZ131091 GXV131074:GXV131091 HHR131074:HHR131091 HRN131074:HRN131091 IBJ131074:IBJ131091 ILF131074:ILF131091 IVB131074:IVB131091 JEX131074:JEX131091 JOT131074:JOT131091 JYP131074:JYP131091 KIL131074:KIL131091 KSH131074:KSH131091 LCD131074:LCD131091 LLZ131074:LLZ131091 LVV131074:LVV131091 MFR131074:MFR131091 MPN131074:MPN131091 MZJ131074:MZJ131091 NJF131074:NJF131091 NTB131074:NTB131091 OCX131074:OCX131091 OMT131074:OMT131091 OWP131074:OWP131091 PGL131074:PGL131091 PQH131074:PQH131091 QAD131074:QAD131091 QJZ131074:QJZ131091 QTV131074:QTV131091 RDR131074:RDR131091 RNN131074:RNN131091 RXJ131074:RXJ131091 SHF131074:SHF131091 SRB131074:SRB131091 TAX131074:TAX131091 TKT131074:TKT131091 TUP131074:TUP131091 UEL131074:UEL131091 UOH131074:UOH131091 UYD131074:UYD131091 VHZ131074:VHZ131091 VRV131074:VRV131091 WBR131074:WBR131091 WLN131074:WLN131091 WVJ131074:WVJ131091 B196610:B196627 IX196610:IX196627 ST196610:ST196627 ACP196610:ACP196627 AML196610:AML196627 AWH196610:AWH196627 BGD196610:BGD196627 BPZ196610:BPZ196627 BZV196610:BZV196627 CJR196610:CJR196627 CTN196610:CTN196627 DDJ196610:DDJ196627 DNF196610:DNF196627 DXB196610:DXB196627 EGX196610:EGX196627 EQT196610:EQT196627 FAP196610:FAP196627 FKL196610:FKL196627 FUH196610:FUH196627 GED196610:GED196627 GNZ196610:GNZ196627 GXV196610:GXV196627 HHR196610:HHR196627 HRN196610:HRN196627 IBJ196610:IBJ196627 ILF196610:ILF196627 IVB196610:IVB196627 JEX196610:JEX196627 JOT196610:JOT196627 JYP196610:JYP196627 KIL196610:KIL196627 KSH196610:KSH196627 LCD196610:LCD196627 LLZ196610:LLZ196627 LVV196610:LVV196627 MFR196610:MFR196627 MPN196610:MPN196627 MZJ196610:MZJ196627 NJF196610:NJF196627 NTB196610:NTB196627 OCX196610:OCX196627 OMT196610:OMT196627 OWP196610:OWP196627 PGL196610:PGL196627 PQH196610:PQH196627 QAD196610:QAD196627 QJZ196610:QJZ196627 QTV196610:QTV196627 RDR196610:RDR196627 RNN196610:RNN196627 RXJ196610:RXJ196627 SHF196610:SHF196627 SRB196610:SRB196627 TAX196610:TAX196627 TKT196610:TKT196627 TUP196610:TUP196627 UEL196610:UEL196627 UOH196610:UOH196627 UYD196610:UYD196627 VHZ196610:VHZ196627 VRV196610:VRV196627 WBR196610:WBR196627 WLN196610:WLN196627 WVJ196610:WVJ196627 B262146:B262163 IX262146:IX262163 ST262146:ST262163 ACP262146:ACP262163 AML262146:AML262163 AWH262146:AWH262163 BGD262146:BGD262163 BPZ262146:BPZ262163 BZV262146:BZV262163 CJR262146:CJR262163 CTN262146:CTN262163 DDJ262146:DDJ262163 DNF262146:DNF262163 DXB262146:DXB262163 EGX262146:EGX262163 EQT262146:EQT262163 FAP262146:FAP262163 FKL262146:FKL262163 FUH262146:FUH262163 GED262146:GED262163 GNZ262146:GNZ262163 GXV262146:GXV262163 HHR262146:HHR262163 HRN262146:HRN262163 IBJ262146:IBJ262163 ILF262146:ILF262163 IVB262146:IVB262163 JEX262146:JEX262163 JOT262146:JOT262163 JYP262146:JYP262163 KIL262146:KIL262163 KSH262146:KSH262163 LCD262146:LCD262163 LLZ262146:LLZ262163 LVV262146:LVV262163 MFR262146:MFR262163 MPN262146:MPN262163 MZJ262146:MZJ262163 NJF262146:NJF262163 NTB262146:NTB262163 OCX262146:OCX262163 OMT262146:OMT262163 OWP262146:OWP262163 PGL262146:PGL262163 PQH262146:PQH262163 QAD262146:QAD262163 QJZ262146:QJZ262163 QTV262146:QTV262163 RDR262146:RDR262163 RNN262146:RNN262163 RXJ262146:RXJ262163 SHF262146:SHF262163 SRB262146:SRB262163 TAX262146:TAX262163 TKT262146:TKT262163 TUP262146:TUP262163 UEL262146:UEL262163 UOH262146:UOH262163 UYD262146:UYD262163 VHZ262146:VHZ262163 VRV262146:VRV262163 WBR262146:WBR262163 WLN262146:WLN262163 WVJ262146:WVJ262163 B327682:B327699 IX327682:IX327699 ST327682:ST327699 ACP327682:ACP327699 AML327682:AML327699 AWH327682:AWH327699 BGD327682:BGD327699 BPZ327682:BPZ327699 BZV327682:BZV327699 CJR327682:CJR327699 CTN327682:CTN327699 DDJ327682:DDJ327699 DNF327682:DNF327699 DXB327682:DXB327699 EGX327682:EGX327699 EQT327682:EQT327699 FAP327682:FAP327699 FKL327682:FKL327699 FUH327682:FUH327699 GED327682:GED327699 GNZ327682:GNZ327699 GXV327682:GXV327699 HHR327682:HHR327699 HRN327682:HRN327699 IBJ327682:IBJ327699 ILF327682:ILF327699 IVB327682:IVB327699 JEX327682:JEX327699 JOT327682:JOT327699 JYP327682:JYP327699 KIL327682:KIL327699 KSH327682:KSH327699 LCD327682:LCD327699 LLZ327682:LLZ327699 LVV327682:LVV327699 MFR327682:MFR327699 MPN327682:MPN327699 MZJ327682:MZJ327699 NJF327682:NJF327699 NTB327682:NTB327699 OCX327682:OCX327699 OMT327682:OMT327699 OWP327682:OWP327699 PGL327682:PGL327699 PQH327682:PQH327699 QAD327682:QAD327699 QJZ327682:QJZ327699 QTV327682:QTV327699 RDR327682:RDR327699 RNN327682:RNN327699 RXJ327682:RXJ327699 SHF327682:SHF327699 SRB327682:SRB327699 TAX327682:TAX327699 TKT327682:TKT327699 TUP327682:TUP327699 UEL327682:UEL327699 UOH327682:UOH327699 UYD327682:UYD327699 VHZ327682:VHZ327699 VRV327682:VRV327699 WBR327682:WBR327699 WLN327682:WLN327699 WVJ327682:WVJ327699 B393218:B393235 IX393218:IX393235 ST393218:ST393235 ACP393218:ACP393235 AML393218:AML393235 AWH393218:AWH393235 BGD393218:BGD393235 BPZ393218:BPZ393235 BZV393218:BZV393235 CJR393218:CJR393235 CTN393218:CTN393235 DDJ393218:DDJ393235 DNF393218:DNF393235 DXB393218:DXB393235 EGX393218:EGX393235 EQT393218:EQT393235 FAP393218:FAP393235 FKL393218:FKL393235 FUH393218:FUH393235 GED393218:GED393235 GNZ393218:GNZ393235 GXV393218:GXV393235 HHR393218:HHR393235 HRN393218:HRN393235 IBJ393218:IBJ393235 ILF393218:ILF393235 IVB393218:IVB393235 JEX393218:JEX393235 JOT393218:JOT393235 JYP393218:JYP393235 KIL393218:KIL393235 KSH393218:KSH393235 LCD393218:LCD393235 LLZ393218:LLZ393235 LVV393218:LVV393235 MFR393218:MFR393235 MPN393218:MPN393235 MZJ393218:MZJ393235 NJF393218:NJF393235 NTB393218:NTB393235 OCX393218:OCX393235 OMT393218:OMT393235 OWP393218:OWP393235 PGL393218:PGL393235 PQH393218:PQH393235 QAD393218:QAD393235 QJZ393218:QJZ393235 QTV393218:QTV393235 RDR393218:RDR393235 RNN393218:RNN393235 RXJ393218:RXJ393235 SHF393218:SHF393235 SRB393218:SRB393235 TAX393218:TAX393235 TKT393218:TKT393235 TUP393218:TUP393235 UEL393218:UEL393235 UOH393218:UOH393235 UYD393218:UYD393235 VHZ393218:VHZ393235 VRV393218:VRV393235 WBR393218:WBR393235 WLN393218:WLN393235 WVJ393218:WVJ393235 B458754:B458771 IX458754:IX458771 ST458754:ST458771 ACP458754:ACP458771 AML458754:AML458771 AWH458754:AWH458771 BGD458754:BGD458771 BPZ458754:BPZ458771 BZV458754:BZV458771 CJR458754:CJR458771 CTN458754:CTN458771 DDJ458754:DDJ458771 DNF458754:DNF458771 DXB458754:DXB458771 EGX458754:EGX458771 EQT458754:EQT458771 FAP458754:FAP458771 FKL458754:FKL458771 FUH458754:FUH458771 GED458754:GED458771 GNZ458754:GNZ458771 GXV458754:GXV458771 HHR458754:HHR458771 HRN458754:HRN458771 IBJ458754:IBJ458771 ILF458754:ILF458771 IVB458754:IVB458771 JEX458754:JEX458771 JOT458754:JOT458771 JYP458754:JYP458771 KIL458754:KIL458771 KSH458754:KSH458771 LCD458754:LCD458771 LLZ458754:LLZ458771 LVV458754:LVV458771 MFR458754:MFR458771 MPN458754:MPN458771 MZJ458754:MZJ458771 NJF458754:NJF458771 NTB458754:NTB458771 OCX458754:OCX458771 OMT458754:OMT458771 OWP458754:OWP458771 PGL458754:PGL458771 PQH458754:PQH458771 QAD458754:QAD458771 QJZ458754:QJZ458771 QTV458754:QTV458771 RDR458754:RDR458771 RNN458754:RNN458771 RXJ458754:RXJ458771 SHF458754:SHF458771 SRB458754:SRB458771 TAX458754:TAX458771 TKT458754:TKT458771 TUP458754:TUP458771 UEL458754:UEL458771 UOH458754:UOH458771 UYD458754:UYD458771 VHZ458754:VHZ458771 VRV458754:VRV458771 WBR458754:WBR458771 WLN458754:WLN458771 WVJ458754:WVJ458771 B524290:B524307 IX524290:IX524307 ST524290:ST524307 ACP524290:ACP524307 AML524290:AML524307 AWH524290:AWH524307 BGD524290:BGD524307 BPZ524290:BPZ524307 BZV524290:BZV524307 CJR524290:CJR524307 CTN524290:CTN524307 DDJ524290:DDJ524307 DNF524290:DNF524307 DXB524290:DXB524307 EGX524290:EGX524307 EQT524290:EQT524307 FAP524290:FAP524307 FKL524290:FKL524307 FUH524290:FUH524307 GED524290:GED524307 GNZ524290:GNZ524307 GXV524290:GXV524307 HHR524290:HHR524307 HRN524290:HRN524307 IBJ524290:IBJ524307 ILF524290:ILF524307 IVB524290:IVB524307 JEX524290:JEX524307 JOT524290:JOT524307 JYP524290:JYP524307 KIL524290:KIL524307 KSH524290:KSH524307 LCD524290:LCD524307 LLZ524290:LLZ524307 LVV524290:LVV524307 MFR524290:MFR524307 MPN524290:MPN524307 MZJ524290:MZJ524307 NJF524290:NJF524307 NTB524290:NTB524307 OCX524290:OCX524307 OMT524290:OMT524307 OWP524290:OWP524307 PGL524290:PGL524307 PQH524290:PQH524307 QAD524290:QAD524307 QJZ524290:QJZ524307 QTV524290:QTV524307 RDR524290:RDR524307 RNN524290:RNN524307 RXJ524290:RXJ524307 SHF524290:SHF524307 SRB524290:SRB524307 TAX524290:TAX524307 TKT524290:TKT524307 TUP524290:TUP524307 UEL524290:UEL524307 UOH524290:UOH524307 UYD524290:UYD524307 VHZ524290:VHZ524307 VRV524290:VRV524307 WBR524290:WBR524307 WLN524290:WLN524307 WVJ524290:WVJ524307 B589826:B589843 IX589826:IX589843 ST589826:ST589843 ACP589826:ACP589843 AML589826:AML589843 AWH589826:AWH589843 BGD589826:BGD589843 BPZ589826:BPZ589843 BZV589826:BZV589843 CJR589826:CJR589843 CTN589826:CTN589843 DDJ589826:DDJ589843 DNF589826:DNF589843 DXB589826:DXB589843 EGX589826:EGX589843 EQT589826:EQT589843 FAP589826:FAP589843 FKL589826:FKL589843 FUH589826:FUH589843 GED589826:GED589843 GNZ589826:GNZ589843 GXV589826:GXV589843 HHR589826:HHR589843 HRN589826:HRN589843 IBJ589826:IBJ589843 ILF589826:ILF589843 IVB589826:IVB589843 JEX589826:JEX589843 JOT589826:JOT589843 JYP589826:JYP589843 KIL589826:KIL589843 KSH589826:KSH589843 LCD589826:LCD589843 LLZ589826:LLZ589843 LVV589826:LVV589843 MFR589826:MFR589843 MPN589826:MPN589843 MZJ589826:MZJ589843 NJF589826:NJF589843 NTB589826:NTB589843 OCX589826:OCX589843 OMT589826:OMT589843 OWP589826:OWP589843 PGL589826:PGL589843 PQH589826:PQH589843 QAD589826:QAD589843 QJZ589826:QJZ589843 QTV589826:QTV589843 RDR589826:RDR589843 RNN589826:RNN589843 RXJ589826:RXJ589843 SHF589826:SHF589843 SRB589826:SRB589843 TAX589826:TAX589843 TKT589826:TKT589843 TUP589826:TUP589843 UEL589826:UEL589843 UOH589826:UOH589843 UYD589826:UYD589843 VHZ589826:VHZ589843 VRV589826:VRV589843 WBR589826:WBR589843 WLN589826:WLN589843 WVJ589826:WVJ589843 B655362:B655379 IX655362:IX655379 ST655362:ST655379 ACP655362:ACP655379 AML655362:AML655379 AWH655362:AWH655379 BGD655362:BGD655379 BPZ655362:BPZ655379 BZV655362:BZV655379 CJR655362:CJR655379 CTN655362:CTN655379 DDJ655362:DDJ655379 DNF655362:DNF655379 DXB655362:DXB655379 EGX655362:EGX655379 EQT655362:EQT655379 FAP655362:FAP655379 FKL655362:FKL655379 FUH655362:FUH655379 GED655362:GED655379 GNZ655362:GNZ655379 GXV655362:GXV655379 HHR655362:HHR655379 HRN655362:HRN655379 IBJ655362:IBJ655379 ILF655362:ILF655379 IVB655362:IVB655379 JEX655362:JEX655379 JOT655362:JOT655379 JYP655362:JYP655379 KIL655362:KIL655379 KSH655362:KSH655379 LCD655362:LCD655379 LLZ655362:LLZ655379 LVV655362:LVV655379 MFR655362:MFR655379 MPN655362:MPN655379 MZJ655362:MZJ655379 NJF655362:NJF655379 NTB655362:NTB655379 OCX655362:OCX655379 OMT655362:OMT655379 OWP655362:OWP655379 PGL655362:PGL655379 PQH655362:PQH655379 QAD655362:QAD655379 QJZ655362:QJZ655379 QTV655362:QTV655379 RDR655362:RDR655379 RNN655362:RNN655379 RXJ655362:RXJ655379 SHF655362:SHF655379 SRB655362:SRB655379 TAX655362:TAX655379 TKT655362:TKT655379 TUP655362:TUP655379 UEL655362:UEL655379 UOH655362:UOH655379 UYD655362:UYD655379 VHZ655362:VHZ655379 VRV655362:VRV655379 WBR655362:WBR655379 WLN655362:WLN655379 WVJ655362:WVJ655379 B720898:B720915 IX720898:IX720915 ST720898:ST720915 ACP720898:ACP720915 AML720898:AML720915 AWH720898:AWH720915 BGD720898:BGD720915 BPZ720898:BPZ720915 BZV720898:BZV720915 CJR720898:CJR720915 CTN720898:CTN720915 DDJ720898:DDJ720915 DNF720898:DNF720915 DXB720898:DXB720915 EGX720898:EGX720915 EQT720898:EQT720915 FAP720898:FAP720915 FKL720898:FKL720915 FUH720898:FUH720915 GED720898:GED720915 GNZ720898:GNZ720915 GXV720898:GXV720915 HHR720898:HHR720915 HRN720898:HRN720915 IBJ720898:IBJ720915 ILF720898:ILF720915 IVB720898:IVB720915 JEX720898:JEX720915 JOT720898:JOT720915 JYP720898:JYP720915 KIL720898:KIL720915 KSH720898:KSH720915 LCD720898:LCD720915 LLZ720898:LLZ720915 LVV720898:LVV720915 MFR720898:MFR720915 MPN720898:MPN720915 MZJ720898:MZJ720915 NJF720898:NJF720915 NTB720898:NTB720915 OCX720898:OCX720915 OMT720898:OMT720915 OWP720898:OWP720915 PGL720898:PGL720915 PQH720898:PQH720915 QAD720898:QAD720915 QJZ720898:QJZ720915 QTV720898:QTV720915 RDR720898:RDR720915 RNN720898:RNN720915 RXJ720898:RXJ720915 SHF720898:SHF720915 SRB720898:SRB720915 TAX720898:TAX720915 TKT720898:TKT720915 TUP720898:TUP720915 UEL720898:UEL720915 UOH720898:UOH720915 UYD720898:UYD720915 VHZ720898:VHZ720915 VRV720898:VRV720915 WBR720898:WBR720915 WLN720898:WLN720915 WVJ720898:WVJ720915 B786434:B786451 IX786434:IX786451 ST786434:ST786451 ACP786434:ACP786451 AML786434:AML786451 AWH786434:AWH786451 BGD786434:BGD786451 BPZ786434:BPZ786451 BZV786434:BZV786451 CJR786434:CJR786451 CTN786434:CTN786451 DDJ786434:DDJ786451 DNF786434:DNF786451 DXB786434:DXB786451 EGX786434:EGX786451 EQT786434:EQT786451 FAP786434:FAP786451 FKL786434:FKL786451 FUH786434:FUH786451 GED786434:GED786451 GNZ786434:GNZ786451 GXV786434:GXV786451 HHR786434:HHR786451 HRN786434:HRN786451 IBJ786434:IBJ786451 ILF786434:ILF786451 IVB786434:IVB786451 JEX786434:JEX786451 JOT786434:JOT786451 JYP786434:JYP786451 KIL786434:KIL786451 KSH786434:KSH786451 LCD786434:LCD786451 LLZ786434:LLZ786451 LVV786434:LVV786451 MFR786434:MFR786451 MPN786434:MPN786451 MZJ786434:MZJ786451 NJF786434:NJF786451 NTB786434:NTB786451 OCX786434:OCX786451 OMT786434:OMT786451 OWP786434:OWP786451 PGL786434:PGL786451 PQH786434:PQH786451 QAD786434:QAD786451 QJZ786434:QJZ786451 QTV786434:QTV786451 RDR786434:RDR786451 RNN786434:RNN786451 RXJ786434:RXJ786451 SHF786434:SHF786451 SRB786434:SRB786451 TAX786434:TAX786451 TKT786434:TKT786451 TUP786434:TUP786451 UEL786434:UEL786451 UOH786434:UOH786451 UYD786434:UYD786451 VHZ786434:VHZ786451 VRV786434:VRV786451 WBR786434:WBR786451 WLN786434:WLN786451 WVJ786434:WVJ786451 B851970:B851987 IX851970:IX851987 ST851970:ST851987 ACP851970:ACP851987 AML851970:AML851987 AWH851970:AWH851987 BGD851970:BGD851987 BPZ851970:BPZ851987 BZV851970:BZV851987 CJR851970:CJR851987 CTN851970:CTN851987 DDJ851970:DDJ851987 DNF851970:DNF851987 DXB851970:DXB851987 EGX851970:EGX851987 EQT851970:EQT851987 FAP851970:FAP851987 FKL851970:FKL851987 FUH851970:FUH851987 GED851970:GED851987 GNZ851970:GNZ851987 GXV851970:GXV851987 HHR851970:HHR851987 HRN851970:HRN851987 IBJ851970:IBJ851987 ILF851970:ILF851987 IVB851970:IVB851987 JEX851970:JEX851987 JOT851970:JOT851987 JYP851970:JYP851987 KIL851970:KIL851987 KSH851970:KSH851987 LCD851970:LCD851987 LLZ851970:LLZ851987 LVV851970:LVV851987 MFR851970:MFR851987 MPN851970:MPN851987 MZJ851970:MZJ851987 NJF851970:NJF851987 NTB851970:NTB851987 OCX851970:OCX851987 OMT851970:OMT851987 OWP851970:OWP851987 PGL851970:PGL851987 PQH851970:PQH851987 QAD851970:QAD851987 QJZ851970:QJZ851987 QTV851970:QTV851987 RDR851970:RDR851987 RNN851970:RNN851987 RXJ851970:RXJ851987 SHF851970:SHF851987 SRB851970:SRB851987 TAX851970:TAX851987 TKT851970:TKT851987 TUP851970:TUP851987 UEL851970:UEL851987 UOH851970:UOH851987 UYD851970:UYD851987 VHZ851970:VHZ851987 VRV851970:VRV851987 WBR851970:WBR851987 WLN851970:WLN851987 WVJ851970:WVJ851987 B917506:B917523 IX917506:IX917523 ST917506:ST917523 ACP917506:ACP917523 AML917506:AML917523 AWH917506:AWH917523 BGD917506:BGD917523 BPZ917506:BPZ917523 BZV917506:BZV917523 CJR917506:CJR917523 CTN917506:CTN917523 DDJ917506:DDJ917523 DNF917506:DNF917523 DXB917506:DXB917523 EGX917506:EGX917523 EQT917506:EQT917523 FAP917506:FAP917523 FKL917506:FKL917523 FUH917506:FUH917523 GED917506:GED917523 GNZ917506:GNZ917523 GXV917506:GXV917523 HHR917506:HHR917523 HRN917506:HRN917523 IBJ917506:IBJ917523 ILF917506:ILF917523 IVB917506:IVB917523 JEX917506:JEX917523 JOT917506:JOT917523 JYP917506:JYP917523 KIL917506:KIL917523 KSH917506:KSH917523 LCD917506:LCD917523 LLZ917506:LLZ917523 LVV917506:LVV917523 MFR917506:MFR917523 MPN917506:MPN917523 MZJ917506:MZJ917523 NJF917506:NJF917523 NTB917506:NTB917523 OCX917506:OCX917523 OMT917506:OMT917523 OWP917506:OWP917523 PGL917506:PGL917523 PQH917506:PQH917523 QAD917506:QAD917523 QJZ917506:QJZ917523 QTV917506:QTV917523 RDR917506:RDR917523 RNN917506:RNN917523 RXJ917506:RXJ917523 SHF917506:SHF917523 SRB917506:SRB917523 TAX917506:TAX917523 TKT917506:TKT917523 TUP917506:TUP917523 UEL917506:UEL917523 UOH917506:UOH917523 UYD917506:UYD917523 VHZ917506:VHZ917523 VRV917506:VRV917523 WBR917506:WBR917523 WLN917506:WLN917523 WVJ917506:WVJ917523" xr:uid="{00000000-0002-0000-1000-000000000000}">
      <formula1>trung</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343"/>
  <sheetViews>
    <sheetView topLeftCell="A9"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48"/>
      <c r="G3" s="102"/>
      <c r="H3" s="103"/>
    </row>
    <row r="4" spans="1:8" s="98" customFormat="1" ht="18" customHeight="1">
      <c r="A4" s="414"/>
      <c r="B4" s="414"/>
      <c r="C4" s="415" t="s">
        <v>1740</v>
      </c>
      <c r="D4" s="416"/>
      <c r="E4" s="416"/>
      <c r="F4" s="416"/>
      <c r="G4" s="416"/>
      <c r="H4" s="416"/>
    </row>
    <row r="5" spans="1:8" s="98" customFormat="1" ht="15.6">
      <c r="A5" s="104"/>
      <c r="B5" s="104"/>
      <c r="C5" s="147"/>
      <c r="D5" s="105"/>
      <c r="E5" s="106"/>
      <c r="F5" s="147"/>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1812</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1813</v>
      </c>
      <c r="C13" s="425"/>
      <c r="D13" s="425"/>
      <c r="E13" s="425"/>
      <c r="F13" s="425"/>
      <c r="G13" s="73">
        <f>G14</f>
        <v>74340000</v>
      </c>
      <c r="H13" s="74"/>
    </row>
    <row r="14" spans="1:8" s="131" customFormat="1" ht="40.5" customHeight="1">
      <c r="A14" s="123"/>
      <c r="B14" s="124" t="s">
        <v>1757</v>
      </c>
      <c r="C14" s="125" t="s">
        <v>1753</v>
      </c>
      <c r="D14" s="126">
        <v>6.3</v>
      </c>
      <c r="E14" s="127">
        <v>11800000</v>
      </c>
      <c r="F14" s="128">
        <v>1</v>
      </c>
      <c r="G14" s="129">
        <f>D14*E14*F14</f>
        <v>74340000</v>
      </c>
      <c r="H14" s="130"/>
    </row>
    <row r="15" spans="1:8" ht="27" customHeight="1">
      <c r="A15" s="75" t="s">
        <v>18</v>
      </c>
      <c r="B15" s="426" t="s">
        <v>1725</v>
      </c>
      <c r="C15" s="426"/>
      <c r="D15" s="426"/>
      <c r="E15" s="426"/>
      <c r="F15" s="426"/>
      <c r="G15" s="76">
        <f>SUM(G16:G29)</f>
        <v>22473692.635466669</v>
      </c>
      <c r="H15" s="11"/>
    </row>
    <row r="16" spans="1:8" ht="31.2">
      <c r="A16" s="77">
        <v>1</v>
      </c>
      <c r="B16" s="78" t="s">
        <v>1814</v>
      </c>
      <c r="C16" s="14" t="s">
        <v>1754</v>
      </c>
      <c r="D16" s="132">
        <f>0.9*1.2*0.11</f>
        <v>0.1188</v>
      </c>
      <c r="E16" s="15">
        <v>2126713</v>
      </c>
      <c r="F16" s="14">
        <v>1</v>
      </c>
      <c r="G16" s="79">
        <f t="shared" ref="G16:G29" si="0">D16*E16*F16</f>
        <v>252653.50440000001</v>
      </c>
      <c r="H16" s="15"/>
    </row>
    <row r="17" spans="1:8" ht="15.6">
      <c r="A17" s="77"/>
      <c r="B17" s="78" t="s">
        <v>1964</v>
      </c>
      <c r="C17" s="14" t="s">
        <v>66</v>
      </c>
      <c r="D17" s="132">
        <f>0.9*1.2*2</f>
        <v>2.16</v>
      </c>
      <c r="E17" s="15">
        <v>141099</v>
      </c>
      <c r="F17" s="14">
        <v>1</v>
      </c>
      <c r="G17" s="79">
        <f t="shared" si="0"/>
        <v>304773.84000000003</v>
      </c>
      <c r="H17" s="15"/>
    </row>
    <row r="18" spans="1:8" ht="15.6">
      <c r="A18" s="77">
        <v>2</v>
      </c>
      <c r="B18" s="78" t="s">
        <v>1815</v>
      </c>
      <c r="C18" s="14" t="s">
        <v>66</v>
      </c>
      <c r="D18" s="132">
        <f>1.2*4</f>
        <v>4.8</v>
      </c>
      <c r="E18" s="15">
        <v>379477</v>
      </c>
      <c r="F18" s="14">
        <v>1</v>
      </c>
      <c r="G18" s="79">
        <f t="shared" si="0"/>
        <v>1821489.5999999999</v>
      </c>
      <c r="H18" s="15"/>
    </row>
    <row r="19" spans="1:8" ht="46.8">
      <c r="A19" s="77">
        <v>3</v>
      </c>
      <c r="B19" s="78" t="s">
        <v>2050</v>
      </c>
      <c r="C19" s="14" t="s">
        <v>1755</v>
      </c>
      <c r="D19" s="132">
        <f>(10.76/6)*1.7</f>
        <v>3.0486666666666662</v>
      </c>
      <c r="E19" s="15">
        <v>19900</v>
      </c>
      <c r="F19" s="14">
        <v>1</v>
      </c>
      <c r="G19" s="79">
        <f t="shared" si="0"/>
        <v>60668.46666666666</v>
      </c>
      <c r="H19" s="15"/>
    </row>
    <row r="20" spans="1:8" ht="31.2">
      <c r="A20" s="77">
        <v>4</v>
      </c>
      <c r="B20" s="78" t="s">
        <v>1816</v>
      </c>
      <c r="C20" s="14" t="s">
        <v>1754</v>
      </c>
      <c r="D20" s="132">
        <f>1*2*3.2*0.11</f>
        <v>0.70400000000000007</v>
      </c>
      <c r="E20" s="15">
        <v>2126713</v>
      </c>
      <c r="F20" s="14">
        <v>1</v>
      </c>
      <c r="G20" s="79">
        <f t="shared" si="0"/>
        <v>1497205.952</v>
      </c>
      <c r="H20" s="15"/>
    </row>
    <row r="21" spans="1:8" ht="15.6">
      <c r="A21" s="77"/>
      <c r="B21" s="78" t="s">
        <v>1965</v>
      </c>
      <c r="C21" s="14" t="s">
        <v>66</v>
      </c>
      <c r="D21" s="132">
        <f>1*2*3.2*2</f>
        <v>12.8</v>
      </c>
      <c r="E21" s="15">
        <f>(141099+105359)/2</f>
        <v>123229</v>
      </c>
      <c r="F21" s="14">
        <v>1</v>
      </c>
      <c r="G21" s="79">
        <f t="shared" ref="G21" si="1">D21*E21*F21</f>
        <v>1577331.2000000002</v>
      </c>
      <c r="H21" s="15"/>
    </row>
    <row r="22" spans="1:8" ht="31.2">
      <c r="A22" s="77">
        <v>5</v>
      </c>
      <c r="B22" s="78" t="s">
        <v>1817</v>
      </c>
      <c r="C22" s="14" t="s">
        <v>1754</v>
      </c>
      <c r="D22" s="132">
        <f>0.85*2*3.2*0.22</f>
        <v>1.1968000000000001</v>
      </c>
      <c r="E22" s="15">
        <v>1919493</v>
      </c>
      <c r="F22" s="14">
        <v>1</v>
      </c>
      <c r="G22" s="79">
        <f t="shared" si="0"/>
        <v>2297249.2224000003</v>
      </c>
      <c r="H22" s="15"/>
    </row>
    <row r="23" spans="1:8" ht="15.6">
      <c r="A23" s="77"/>
      <c r="B23" s="78" t="s">
        <v>1966</v>
      </c>
      <c r="C23" s="14" t="s">
        <v>66</v>
      </c>
      <c r="D23" s="132">
        <f>0.85*2*3.2*2</f>
        <v>10.88</v>
      </c>
      <c r="E23" s="15">
        <f>(141099+105359)/2</f>
        <v>123229</v>
      </c>
      <c r="F23" s="14">
        <v>1</v>
      </c>
      <c r="G23" s="79">
        <f t="shared" si="0"/>
        <v>1340731.52</v>
      </c>
      <c r="H23" s="15"/>
    </row>
    <row r="24" spans="1:8" ht="15.6">
      <c r="A24" s="77">
        <v>6</v>
      </c>
      <c r="B24" s="78" t="s">
        <v>1818</v>
      </c>
      <c r="C24" s="14" t="s">
        <v>66</v>
      </c>
      <c r="D24" s="132">
        <f>4.2*2</f>
        <v>8.4</v>
      </c>
      <c r="E24" s="15">
        <v>379477</v>
      </c>
      <c r="F24" s="14">
        <v>1</v>
      </c>
      <c r="G24" s="79">
        <f t="shared" si="0"/>
        <v>3187606.8000000003</v>
      </c>
      <c r="H24" s="15"/>
    </row>
    <row r="25" spans="1:8" ht="15.6">
      <c r="A25" s="77">
        <v>7</v>
      </c>
      <c r="B25" s="78" t="s">
        <v>1819</v>
      </c>
      <c r="C25" s="14" t="s">
        <v>66</v>
      </c>
      <c r="D25" s="132">
        <f>4.2*0.5</f>
        <v>2.1</v>
      </c>
      <c r="E25" s="15">
        <v>214934</v>
      </c>
      <c r="F25" s="14">
        <v>1</v>
      </c>
      <c r="G25" s="79">
        <f t="shared" si="0"/>
        <v>451361.4</v>
      </c>
      <c r="H25" s="15"/>
    </row>
    <row r="26" spans="1:8" ht="15.6">
      <c r="A26" s="77">
        <v>8</v>
      </c>
      <c r="B26" s="78" t="s">
        <v>1820</v>
      </c>
      <c r="C26" s="14" t="s">
        <v>66</v>
      </c>
      <c r="D26" s="132">
        <f>3.7*2.6</f>
        <v>9.620000000000001</v>
      </c>
      <c r="E26" s="15">
        <v>720000</v>
      </c>
      <c r="F26" s="14">
        <v>1</v>
      </c>
      <c r="G26" s="79">
        <f t="shared" si="0"/>
        <v>6926400.0000000009</v>
      </c>
      <c r="H26" s="15"/>
    </row>
    <row r="27" spans="1:8" ht="15.6">
      <c r="A27" s="77">
        <v>9</v>
      </c>
      <c r="B27" s="78" t="s">
        <v>1821</v>
      </c>
      <c r="C27" s="14" t="s">
        <v>66</v>
      </c>
      <c r="D27" s="132">
        <f>0.85*1.8</f>
        <v>1.53</v>
      </c>
      <c r="E27" s="15">
        <v>291537</v>
      </c>
      <c r="F27" s="14">
        <v>1</v>
      </c>
      <c r="G27" s="79">
        <f t="shared" si="0"/>
        <v>446051.61</v>
      </c>
      <c r="H27" s="15"/>
    </row>
    <row r="28" spans="1:8" ht="15.6">
      <c r="A28" s="77">
        <v>10</v>
      </c>
      <c r="B28" s="78" t="s">
        <v>1822</v>
      </c>
      <c r="C28" s="14" t="s">
        <v>66</v>
      </c>
      <c r="D28" s="132">
        <f>1*4.2</f>
        <v>4.2</v>
      </c>
      <c r="E28" s="15">
        <v>185285</v>
      </c>
      <c r="F28" s="14">
        <v>1</v>
      </c>
      <c r="G28" s="79">
        <f t="shared" si="0"/>
        <v>778197</v>
      </c>
      <c r="H28" s="15"/>
    </row>
    <row r="29" spans="1:8" ht="31.2">
      <c r="A29" s="77">
        <v>11</v>
      </c>
      <c r="B29" s="78" t="s">
        <v>1823</v>
      </c>
      <c r="C29" s="14" t="s">
        <v>1754</v>
      </c>
      <c r="D29" s="132">
        <f>(1.3*4*0.1)+(4.2*1*0.1)</f>
        <v>0.94000000000000006</v>
      </c>
      <c r="E29" s="15">
        <v>1629758</v>
      </c>
      <c r="F29" s="14">
        <v>1</v>
      </c>
      <c r="G29" s="79">
        <f t="shared" si="0"/>
        <v>1531972.52</v>
      </c>
      <c r="H29" s="15"/>
    </row>
    <row r="30" spans="1:8" ht="24" customHeight="1">
      <c r="A30" s="75" t="s">
        <v>19</v>
      </c>
      <c r="B30" s="426" t="s">
        <v>1727</v>
      </c>
      <c r="C30" s="426"/>
      <c r="D30" s="426"/>
      <c r="E30" s="426"/>
      <c r="F30" s="426"/>
      <c r="G30" s="76">
        <f>SUM(G31:G31)</f>
        <v>2737000</v>
      </c>
      <c r="H30" s="11"/>
    </row>
    <row r="31" spans="1:8" s="12" customFormat="1" ht="34.200000000000003" customHeight="1">
      <c r="A31" s="94">
        <v>1</v>
      </c>
      <c r="B31" s="154" t="s">
        <v>816</v>
      </c>
      <c r="C31" s="14" t="s">
        <v>1724</v>
      </c>
      <c r="D31" s="14">
        <v>1</v>
      </c>
      <c r="E31" s="79" t="str">
        <f>VLOOKUP(B31,'[20]Đơn giá cây cối'!$A$2:$C$1361,3,0)</f>
        <v>2.737.000</v>
      </c>
      <c r="F31" s="137">
        <v>1</v>
      </c>
      <c r="G31" s="79">
        <f>D31*E31*F31</f>
        <v>2737000</v>
      </c>
      <c r="H31" s="95"/>
    </row>
    <row r="32" spans="1:8" ht="15.6">
      <c r="A32" s="80"/>
      <c r="B32" s="427" t="s">
        <v>62</v>
      </c>
      <c r="C32" s="428"/>
      <c r="D32" s="428"/>
      <c r="E32" s="428"/>
      <c r="F32" s="429"/>
      <c r="G32" s="81">
        <f>G13+G15+G30</f>
        <v>99550692.635466665</v>
      </c>
      <c r="H32" s="82"/>
    </row>
    <row r="33" spans="1:8" ht="15.6">
      <c r="A33" s="80"/>
      <c r="B33" s="427" t="s">
        <v>1726</v>
      </c>
      <c r="C33" s="428"/>
      <c r="D33" s="428"/>
      <c r="E33" s="428"/>
      <c r="F33" s="429"/>
      <c r="G33" s="81">
        <f>ROUND(G32,-3)</f>
        <v>99551000</v>
      </c>
      <c r="H33" s="82"/>
    </row>
    <row r="34" spans="1:8" ht="15.6">
      <c r="A34" s="430" t="e">
        <f ca="1">[19]!vnd(G33)</f>
        <v>#NAME?</v>
      </c>
      <c r="B34" s="431"/>
      <c r="C34" s="431"/>
      <c r="D34" s="431"/>
      <c r="E34" s="431"/>
      <c r="F34" s="431"/>
      <c r="G34" s="431"/>
      <c r="H34" s="432"/>
    </row>
    <row r="35" spans="1:8">
      <c r="A35" s="17"/>
      <c r="B35" s="17"/>
      <c r="C35" s="97"/>
      <c r="D35" s="20"/>
      <c r="E35" s="19"/>
      <c r="F35" s="97"/>
      <c r="G35" s="19"/>
      <c r="H35" s="17"/>
    </row>
    <row r="36" spans="1:8" s="109" customFormat="1" ht="16.5" customHeight="1">
      <c r="A36" s="108"/>
      <c r="B36" s="108"/>
      <c r="C36" s="424" t="s">
        <v>1742</v>
      </c>
      <c r="D36" s="424"/>
      <c r="E36" s="424"/>
      <c r="F36" s="424"/>
      <c r="G36" s="424"/>
      <c r="H36" s="424"/>
    </row>
    <row r="37" spans="1:8" s="109" customFormat="1" ht="16.5" customHeight="1">
      <c r="A37" s="423" t="s">
        <v>63</v>
      </c>
      <c r="B37" s="423"/>
      <c r="C37" s="424" t="s">
        <v>1743</v>
      </c>
      <c r="D37" s="424"/>
      <c r="E37" s="424"/>
      <c r="F37" s="424" t="s">
        <v>1744</v>
      </c>
      <c r="G37" s="424"/>
      <c r="H37" s="424"/>
    </row>
    <row r="38" spans="1:8" s="109" customFormat="1" ht="15.6">
      <c r="A38" s="108"/>
      <c r="B38" s="108"/>
      <c r="C38" s="108"/>
      <c r="D38" s="110"/>
      <c r="E38" s="111"/>
      <c r="F38" s="112"/>
      <c r="G38" s="111"/>
      <c r="H38" s="113"/>
    </row>
    <row r="39" spans="1:8" s="109" customFormat="1" ht="15.6">
      <c r="A39" s="108"/>
      <c r="B39" s="108"/>
      <c r="C39" s="108"/>
      <c r="D39" s="110"/>
      <c r="E39" s="111"/>
      <c r="F39" s="112"/>
      <c r="G39" s="114"/>
      <c r="H39" s="113"/>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6.5" customHeight="1">
      <c r="A43" s="108"/>
      <c r="B43" s="149" t="s">
        <v>64</v>
      </c>
      <c r="C43" s="424"/>
      <c r="D43" s="424"/>
      <c r="E43" s="424"/>
      <c r="F43" s="424" t="s">
        <v>1745</v>
      </c>
      <c r="G43" s="424"/>
      <c r="H43" s="424"/>
    </row>
    <row r="44" spans="1:8" s="109" customFormat="1" ht="15.6">
      <c r="A44" s="108"/>
      <c r="B44" s="149"/>
      <c r="C44" s="146"/>
      <c r="D44" s="146"/>
      <c r="E44" s="146"/>
      <c r="F44" s="146"/>
      <c r="G44" s="146"/>
      <c r="H44" s="146"/>
    </row>
    <row r="45" spans="1:8" s="109" customFormat="1" ht="15" customHeight="1">
      <c r="A45" s="424" t="s">
        <v>1746</v>
      </c>
      <c r="B45" s="424"/>
      <c r="C45" s="424"/>
      <c r="D45" s="424"/>
      <c r="E45" s="424" t="s">
        <v>1747</v>
      </c>
      <c r="F45" s="424"/>
      <c r="G45" s="424"/>
      <c r="H45" s="424"/>
    </row>
    <row r="46" spans="1:8" s="109" customFormat="1" ht="33.6" customHeight="1">
      <c r="A46" s="424" t="s">
        <v>1748</v>
      </c>
      <c r="B46" s="424"/>
      <c r="C46" s="424"/>
      <c r="D46" s="424"/>
      <c r="E46" s="424" t="s">
        <v>65</v>
      </c>
      <c r="F46" s="424"/>
      <c r="G46" s="424"/>
      <c r="H46" s="424"/>
    </row>
    <row r="47" spans="1:8" s="109" customFormat="1" ht="15.6">
      <c r="A47" s="108"/>
      <c r="B47" s="108"/>
      <c r="C47" s="108"/>
      <c r="D47" s="110"/>
      <c r="E47" s="111"/>
      <c r="F47" s="112"/>
      <c r="G47" s="111"/>
      <c r="H47" s="113"/>
    </row>
    <row r="48" spans="1:8" s="109" customFormat="1" ht="15.6">
      <c r="A48" s="108"/>
      <c r="B48" s="108"/>
      <c r="C48" s="108"/>
      <c r="D48" s="110"/>
      <c r="E48" s="111"/>
      <c r="F48" s="112"/>
      <c r="G48" s="111"/>
      <c r="H48" s="113"/>
    </row>
    <row r="49" spans="1:8" s="109" customFormat="1" ht="15.6">
      <c r="A49" s="108"/>
      <c r="B49" s="108"/>
      <c r="C49" s="108"/>
      <c r="D49" s="110"/>
      <c r="E49" s="111"/>
      <c r="F49" s="112"/>
      <c r="G49" s="111"/>
      <c r="H49" s="113"/>
    </row>
    <row r="50" spans="1:8" s="109" customFormat="1" ht="15.6">
      <c r="A50" s="108"/>
      <c r="B50" s="108"/>
      <c r="C50" s="108"/>
      <c r="D50" s="110"/>
      <c r="E50" s="111"/>
      <c r="F50" s="112"/>
      <c r="G50" s="111"/>
      <c r="H50" s="113"/>
    </row>
    <row r="51" spans="1:8" s="109" customFormat="1" ht="15.6">
      <c r="A51" s="108"/>
      <c r="B51" s="108"/>
      <c r="C51" s="108"/>
      <c r="D51" s="110"/>
      <c r="E51" s="111"/>
      <c r="F51" s="112"/>
      <c r="G51" s="111"/>
      <c r="H51" s="113"/>
    </row>
    <row r="52" spans="1:8" s="109" customFormat="1" ht="15.6" customHeight="1">
      <c r="A52" s="108"/>
      <c r="B52" s="108"/>
      <c r="C52" s="108"/>
      <c r="D52" s="115"/>
      <c r="E52" s="439" t="s">
        <v>1749</v>
      </c>
      <c r="F52" s="439"/>
      <c r="G52" s="439"/>
      <c r="H52" s="439"/>
    </row>
    <row r="53" spans="1:8" s="109" customFormat="1" ht="16.5" customHeight="1">
      <c r="A53" s="424" t="s">
        <v>1751</v>
      </c>
      <c r="B53" s="424"/>
      <c r="C53" s="424"/>
      <c r="D53" s="424"/>
      <c r="E53" s="424" t="s">
        <v>1750</v>
      </c>
      <c r="F53" s="424"/>
      <c r="G53" s="424"/>
      <c r="H53" s="424"/>
    </row>
    <row r="54" spans="1:8" s="118" customFormat="1" ht="16.2" customHeight="1">
      <c r="A54" s="440"/>
      <c r="B54" s="440"/>
      <c r="C54" s="116"/>
      <c r="D54" s="117"/>
      <c r="E54" s="440"/>
      <c r="F54" s="440"/>
      <c r="G54" s="440"/>
      <c r="H54" s="440"/>
    </row>
    <row r="55" spans="1:8" s="118" customFormat="1" ht="15.75" customHeight="1">
      <c r="A55" s="440"/>
      <c r="B55" s="440"/>
      <c r="C55" s="440"/>
      <c r="D55" s="440"/>
      <c r="E55" s="440"/>
      <c r="F55" s="440"/>
      <c r="G55" s="440"/>
      <c r="H55" s="440"/>
    </row>
    <row r="56" spans="1:8" s="98" customFormat="1" ht="16.2" customHeight="1">
      <c r="A56" s="436"/>
      <c r="B56" s="436"/>
      <c r="C56" s="436"/>
      <c r="D56" s="436"/>
      <c r="E56" s="119"/>
      <c r="F56" s="120"/>
      <c r="G56" s="119"/>
      <c r="H56" s="121"/>
    </row>
    <row r="57" spans="1:8" s="98" customFormat="1" ht="16.2" customHeight="1">
      <c r="A57" s="436"/>
      <c r="B57" s="436"/>
      <c r="C57" s="436"/>
      <c r="D57" s="436"/>
      <c r="E57" s="119"/>
      <c r="F57" s="120"/>
      <c r="G57" s="119"/>
      <c r="H57" s="121"/>
    </row>
    <row r="58" spans="1:8" s="98" customFormat="1" ht="16.2" customHeight="1">
      <c r="A58" s="121"/>
      <c r="B58" s="121"/>
      <c r="C58" s="121"/>
      <c r="D58" s="122"/>
      <c r="E58" s="119"/>
      <c r="F58" s="120"/>
      <c r="G58" s="119"/>
      <c r="H58" s="121"/>
    </row>
    <row r="59" spans="1:8" ht="16.2" customHeight="1">
      <c r="A59" s="83"/>
      <c r="B59" s="83"/>
      <c r="C59" s="83"/>
      <c r="D59" s="84"/>
      <c r="E59" s="85"/>
      <c r="F59" s="86"/>
      <c r="G59" s="85"/>
      <c r="H59" s="83"/>
    </row>
    <row r="60" spans="1:8" ht="16.2" customHeight="1">
      <c r="A60" s="83"/>
      <c r="B60" s="83"/>
      <c r="C60" s="83"/>
      <c r="D60" s="84"/>
      <c r="E60" s="85"/>
      <c r="F60" s="86"/>
      <c r="G60" s="85"/>
      <c r="H60" s="83"/>
    </row>
    <row r="61" spans="1:8" ht="16.2" customHeight="1">
      <c r="A61" s="83"/>
      <c r="B61" s="83"/>
      <c r="C61" s="83"/>
      <c r="D61" s="84"/>
      <c r="E61" s="85"/>
      <c r="F61" s="86"/>
      <c r="G61" s="85"/>
      <c r="H61" s="83"/>
    </row>
    <row r="62" spans="1:8" ht="16.2" customHeight="1">
      <c r="A62" s="83"/>
      <c r="B62" s="83"/>
      <c r="C62" s="83"/>
      <c r="D62" s="84"/>
      <c r="E62" s="437"/>
      <c r="F62" s="437"/>
      <c r="G62" s="437"/>
      <c r="H62" s="437"/>
    </row>
    <row r="63" spans="1:8" ht="20.25" customHeight="1">
      <c r="A63" s="438"/>
      <c r="B63" s="438"/>
      <c r="C63" s="438"/>
      <c r="D63" s="438"/>
      <c r="E63" s="438"/>
      <c r="F63" s="438"/>
      <c r="G63" s="438"/>
      <c r="H63" s="438"/>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D73" s="18"/>
      <c r="E73" s="19"/>
      <c r="F73" s="97"/>
      <c r="G73" s="19"/>
    </row>
    <row r="74" spans="3:7" s="17" customFormat="1" ht="16.2" customHeight="1">
      <c r="D74" s="18"/>
      <c r="E74" s="19"/>
      <c r="F74" s="97"/>
      <c r="G74" s="19"/>
    </row>
    <row r="75" spans="3:7" s="17" customFormat="1" ht="16.2" customHeight="1">
      <c r="D75" s="18"/>
      <c r="E75" s="19"/>
      <c r="F75" s="97"/>
      <c r="G75" s="19"/>
    </row>
    <row r="76" spans="3:7" s="17" customFormat="1" ht="16.2" customHeight="1">
      <c r="D76" s="18"/>
      <c r="E76" s="19"/>
      <c r="F76" s="97"/>
      <c r="G76" s="19"/>
    </row>
    <row r="77" spans="3:7" s="17" customFormat="1" ht="16.2" customHeight="1">
      <c r="D77" s="18"/>
      <c r="E77" s="19"/>
      <c r="F77" s="97"/>
      <c r="G77" s="19"/>
    </row>
    <row r="78" spans="3:7" s="17" customFormat="1" ht="16.2" customHeight="1">
      <c r="D78" s="18"/>
      <c r="E78" s="19"/>
      <c r="F78" s="97"/>
      <c r="G78" s="19"/>
    </row>
    <row r="79" spans="3:7" s="17" customFormat="1" ht="16.2" customHeight="1">
      <c r="D79" s="18"/>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s="17" customFormat="1" ht="16.2" customHeight="1">
      <c r="C87" s="97"/>
      <c r="D87" s="20"/>
      <c r="E87" s="19"/>
      <c r="F87" s="97"/>
      <c r="G87" s="19"/>
    </row>
    <row r="88" spans="3:7" s="17" customFormat="1" ht="16.2" customHeight="1">
      <c r="C88" s="97"/>
      <c r="D88" s="20"/>
      <c r="E88" s="19"/>
      <c r="F88" s="97"/>
      <c r="G88" s="19"/>
    </row>
    <row r="89" spans="3:7" s="17" customFormat="1" ht="16.2" customHeight="1">
      <c r="C89" s="97"/>
      <c r="D89" s="20"/>
      <c r="E89" s="19"/>
      <c r="F89" s="97"/>
      <c r="G89" s="19"/>
    </row>
    <row r="90" spans="3:7" s="17" customFormat="1" ht="16.2" customHeight="1">
      <c r="C90" s="97"/>
      <c r="D90" s="20"/>
      <c r="E90" s="19"/>
      <c r="F90" s="97"/>
      <c r="G90" s="19"/>
    </row>
    <row r="91" spans="3:7" s="17" customFormat="1" ht="16.2" customHeight="1">
      <c r="C91" s="97"/>
      <c r="D91" s="20"/>
      <c r="E91" s="19"/>
      <c r="F91" s="97"/>
      <c r="G91" s="19"/>
    </row>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ht="16.2" customHeight="1"/>
    <row r="235" ht="16.2" customHeight="1"/>
    <row r="236" ht="16.2" customHeight="1"/>
    <row r="237" ht="16.2" customHeight="1"/>
    <row r="238"/>
    <row r="239"/>
    <row r="240"/>
    <row r="241"/>
    <row r="242"/>
    <row r="243"/>
    <row r="244"/>
    <row r="245"/>
    <row r="246"/>
    <row r="247"/>
    <row r="248"/>
    <row r="249"/>
    <row r="250"/>
    <row r="251"/>
    <row r="252"/>
    <row r="253"/>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sheetData>
  <mergeCells count="40">
    <mergeCell ref="E62:H62"/>
    <mergeCell ref="A63:H63"/>
    <mergeCell ref="A54:B54"/>
    <mergeCell ref="E54:H54"/>
    <mergeCell ref="A55:D55"/>
    <mergeCell ref="E55:H55"/>
    <mergeCell ref="A56:D56"/>
    <mergeCell ref="A57:D57"/>
    <mergeCell ref="A53:D53"/>
    <mergeCell ref="E53:H53"/>
    <mergeCell ref="C36:H36"/>
    <mergeCell ref="A37:B37"/>
    <mergeCell ref="C37:E37"/>
    <mergeCell ref="F37:H37"/>
    <mergeCell ref="C43:E43"/>
    <mergeCell ref="F43:H43"/>
    <mergeCell ref="A45:D45"/>
    <mergeCell ref="E45:H45"/>
    <mergeCell ref="A46:D46"/>
    <mergeCell ref="E46:H46"/>
    <mergeCell ref="E52:H52"/>
    <mergeCell ref="A34:H34"/>
    <mergeCell ref="A6:H6"/>
    <mergeCell ref="A7:H7"/>
    <mergeCell ref="A8:H8"/>
    <mergeCell ref="A9:H9"/>
    <mergeCell ref="A10:H10"/>
    <mergeCell ref="A11:H11"/>
    <mergeCell ref="B13:F13"/>
    <mergeCell ref="B15:F15"/>
    <mergeCell ref="B30:F30"/>
    <mergeCell ref="B32:F32"/>
    <mergeCell ref="B33:F33"/>
    <mergeCell ref="A4:B4"/>
    <mergeCell ref="C4:H4"/>
    <mergeCell ref="A1:B1"/>
    <mergeCell ref="C1:H1"/>
    <mergeCell ref="A2:B2"/>
    <mergeCell ref="C2:H2"/>
    <mergeCell ref="A3:B3"/>
  </mergeCells>
  <dataValidations count="2">
    <dataValidation type="list" allowBlank="1" showInputMessage="1" showErrorMessage="1" sqref="WVJ983055:WVJ983072 B983055:B983072 IX983055:IX983072 ST983055:ST983072 ACP983055:ACP983072 AML983055:AML983072 AWH983055:AWH983072 BGD983055:BGD983072 BPZ983055:BPZ983072 BZV983055:BZV983072 CJR983055:CJR983072 CTN983055:CTN983072 DDJ983055:DDJ983072 DNF983055:DNF983072 DXB983055:DXB983072 EGX983055:EGX983072 EQT983055:EQT983072 FAP983055:FAP983072 FKL983055:FKL983072 FUH983055:FUH983072 GED983055:GED983072 GNZ983055:GNZ983072 GXV983055:GXV983072 HHR983055:HHR983072 HRN983055:HRN983072 IBJ983055:IBJ983072 ILF983055:ILF983072 IVB983055:IVB983072 JEX983055:JEX983072 JOT983055:JOT983072 JYP983055:JYP983072 KIL983055:KIL983072 KSH983055:KSH983072 LCD983055:LCD983072 LLZ983055:LLZ983072 LVV983055:LVV983072 MFR983055:MFR983072 MPN983055:MPN983072 MZJ983055:MZJ983072 NJF983055:NJF983072 NTB983055:NTB983072 OCX983055:OCX983072 OMT983055:OMT983072 OWP983055:OWP983072 PGL983055:PGL983072 PQH983055:PQH983072 QAD983055:QAD983072 QJZ983055:QJZ983072 QTV983055:QTV983072 RDR983055:RDR983072 RNN983055:RNN983072 RXJ983055:RXJ983072 SHF983055:SHF983072 SRB983055:SRB983072 TAX983055:TAX983072 TKT983055:TKT983072 TUP983055:TUP983072 UEL983055:UEL983072 UOH983055:UOH983072 UYD983055:UYD983072 VHZ983055:VHZ983072 VRV983055:VRV983072 WBR983055:WBR983072 WLN983055:WLN983072 B65551:B65568 IX65551:IX65568 ST65551:ST65568 ACP65551:ACP65568 AML65551:AML65568 AWH65551:AWH65568 BGD65551:BGD65568 BPZ65551:BPZ65568 BZV65551:BZV65568 CJR65551:CJR65568 CTN65551:CTN65568 DDJ65551:DDJ65568 DNF65551:DNF65568 DXB65551:DXB65568 EGX65551:EGX65568 EQT65551:EQT65568 FAP65551:FAP65568 FKL65551:FKL65568 FUH65551:FUH65568 GED65551:GED65568 GNZ65551:GNZ65568 GXV65551:GXV65568 HHR65551:HHR65568 HRN65551:HRN65568 IBJ65551:IBJ65568 ILF65551:ILF65568 IVB65551:IVB65568 JEX65551:JEX65568 JOT65551:JOT65568 JYP65551:JYP65568 KIL65551:KIL65568 KSH65551:KSH65568 LCD65551:LCD65568 LLZ65551:LLZ65568 LVV65551:LVV65568 MFR65551:MFR65568 MPN65551:MPN65568 MZJ65551:MZJ65568 NJF65551:NJF65568 NTB65551:NTB65568 OCX65551:OCX65568 OMT65551:OMT65568 OWP65551:OWP65568 PGL65551:PGL65568 PQH65551:PQH65568 QAD65551:QAD65568 QJZ65551:QJZ65568 QTV65551:QTV65568 RDR65551:RDR65568 RNN65551:RNN65568 RXJ65551:RXJ65568 SHF65551:SHF65568 SRB65551:SRB65568 TAX65551:TAX65568 TKT65551:TKT65568 TUP65551:TUP65568 UEL65551:UEL65568 UOH65551:UOH65568 UYD65551:UYD65568 VHZ65551:VHZ65568 VRV65551:VRV65568 WBR65551:WBR65568 WLN65551:WLN65568 WVJ65551:WVJ65568 B131087:B131104 IX131087:IX131104 ST131087:ST131104 ACP131087:ACP131104 AML131087:AML131104 AWH131087:AWH131104 BGD131087:BGD131104 BPZ131087:BPZ131104 BZV131087:BZV131104 CJR131087:CJR131104 CTN131087:CTN131104 DDJ131087:DDJ131104 DNF131087:DNF131104 DXB131087:DXB131104 EGX131087:EGX131104 EQT131087:EQT131104 FAP131087:FAP131104 FKL131087:FKL131104 FUH131087:FUH131104 GED131087:GED131104 GNZ131087:GNZ131104 GXV131087:GXV131104 HHR131087:HHR131104 HRN131087:HRN131104 IBJ131087:IBJ131104 ILF131087:ILF131104 IVB131087:IVB131104 JEX131087:JEX131104 JOT131087:JOT131104 JYP131087:JYP131104 KIL131087:KIL131104 KSH131087:KSH131104 LCD131087:LCD131104 LLZ131087:LLZ131104 LVV131087:LVV131104 MFR131087:MFR131104 MPN131087:MPN131104 MZJ131087:MZJ131104 NJF131087:NJF131104 NTB131087:NTB131104 OCX131087:OCX131104 OMT131087:OMT131104 OWP131087:OWP131104 PGL131087:PGL131104 PQH131087:PQH131104 QAD131087:QAD131104 QJZ131087:QJZ131104 QTV131087:QTV131104 RDR131087:RDR131104 RNN131087:RNN131104 RXJ131087:RXJ131104 SHF131087:SHF131104 SRB131087:SRB131104 TAX131087:TAX131104 TKT131087:TKT131104 TUP131087:TUP131104 UEL131087:UEL131104 UOH131087:UOH131104 UYD131087:UYD131104 VHZ131087:VHZ131104 VRV131087:VRV131104 WBR131087:WBR131104 WLN131087:WLN131104 WVJ131087:WVJ131104 B196623:B196640 IX196623:IX196640 ST196623:ST196640 ACP196623:ACP196640 AML196623:AML196640 AWH196623:AWH196640 BGD196623:BGD196640 BPZ196623:BPZ196640 BZV196623:BZV196640 CJR196623:CJR196640 CTN196623:CTN196640 DDJ196623:DDJ196640 DNF196623:DNF196640 DXB196623:DXB196640 EGX196623:EGX196640 EQT196623:EQT196640 FAP196623:FAP196640 FKL196623:FKL196640 FUH196623:FUH196640 GED196623:GED196640 GNZ196623:GNZ196640 GXV196623:GXV196640 HHR196623:HHR196640 HRN196623:HRN196640 IBJ196623:IBJ196640 ILF196623:ILF196640 IVB196623:IVB196640 JEX196623:JEX196640 JOT196623:JOT196640 JYP196623:JYP196640 KIL196623:KIL196640 KSH196623:KSH196640 LCD196623:LCD196640 LLZ196623:LLZ196640 LVV196623:LVV196640 MFR196623:MFR196640 MPN196623:MPN196640 MZJ196623:MZJ196640 NJF196623:NJF196640 NTB196623:NTB196640 OCX196623:OCX196640 OMT196623:OMT196640 OWP196623:OWP196640 PGL196623:PGL196640 PQH196623:PQH196640 QAD196623:QAD196640 QJZ196623:QJZ196640 QTV196623:QTV196640 RDR196623:RDR196640 RNN196623:RNN196640 RXJ196623:RXJ196640 SHF196623:SHF196640 SRB196623:SRB196640 TAX196623:TAX196640 TKT196623:TKT196640 TUP196623:TUP196640 UEL196623:UEL196640 UOH196623:UOH196640 UYD196623:UYD196640 VHZ196623:VHZ196640 VRV196623:VRV196640 WBR196623:WBR196640 WLN196623:WLN196640 WVJ196623:WVJ196640 B262159:B262176 IX262159:IX262176 ST262159:ST262176 ACP262159:ACP262176 AML262159:AML262176 AWH262159:AWH262176 BGD262159:BGD262176 BPZ262159:BPZ262176 BZV262159:BZV262176 CJR262159:CJR262176 CTN262159:CTN262176 DDJ262159:DDJ262176 DNF262159:DNF262176 DXB262159:DXB262176 EGX262159:EGX262176 EQT262159:EQT262176 FAP262159:FAP262176 FKL262159:FKL262176 FUH262159:FUH262176 GED262159:GED262176 GNZ262159:GNZ262176 GXV262159:GXV262176 HHR262159:HHR262176 HRN262159:HRN262176 IBJ262159:IBJ262176 ILF262159:ILF262176 IVB262159:IVB262176 JEX262159:JEX262176 JOT262159:JOT262176 JYP262159:JYP262176 KIL262159:KIL262176 KSH262159:KSH262176 LCD262159:LCD262176 LLZ262159:LLZ262176 LVV262159:LVV262176 MFR262159:MFR262176 MPN262159:MPN262176 MZJ262159:MZJ262176 NJF262159:NJF262176 NTB262159:NTB262176 OCX262159:OCX262176 OMT262159:OMT262176 OWP262159:OWP262176 PGL262159:PGL262176 PQH262159:PQH262176 QAD262159:QAD262176 QJZ262159:QJZ262176 QTV262159:QTV262176 RDR262159:RDR262176 RNN262159:RNN262176 RXJ262159:RXJ262176 SHF262159:SHF262176 SRB262159:SRB262176 TAX262159:TAX262176 TKT262159:TKT262176 TUP262159:TUP262176 UEL262159:UEL262176 UOH262159:UOH262176 UYD262159:UYD262176 VHZ262159:VHZ262176 VRV262159:VRV262176 WBR262159:WBR262176 WLN262159:WLN262176 WVJ262159:WVJ262176 B327695:B327712 IX327695:IX327712 ST327695:ST327712 ACP327695:ACP327712 AML327695:AML327712 AWH327695:AWH327712 BGD327695:BGD327712 BPZ327695:BPZ327712 BZV327695:BZV327712 CJR327695:CJR327712 CTN327695:CTN327712 DDJ327695:DDJ327712 DNF327695:DNF327712 DXB327695:DXB327712 EGX327695:EGX327712 EQT327695:EQT327712 FAP327695:FAP327712 FKL327695:FKL327712 FUH327695:FUH327712 GED327695:GED327712 GNZ327695:GNZ327712 GXV327695:GXV327712 HHR327695:HHR327712 HRN327695:HRN327712 IBJ327695:IBJ327712 ILF327695:ILF327712 IVB327695:IVB327712 JEX327695:JEX327712 JOT327695:JOT327712 JYP327695:JYP327712 KIL327695:KIL327712 KSH327695:KSH327712 LCD327695:LCD327712 LLZ327695:LLZ327712 LVV327695:LVV327712 MFR327695:MFR327712 MPN327695:MPN327712 MZJ327695:MZJ327712 NJF327695:NJF327712 NTB327695:NTB327712 OCX327695:OCX327712 OMT327695:OMT327712 OWP327695:OWP327712 PGL327695:PGL327712 PQH327695:PQH327712 QAD327695:QAD327712 QJZ327695:QJZ327712 QTV327695:QTV327712 RDR327695:RDR327712 RNN327695:RNN327712 RXJ327695:RXJ327712 SHF327695:SHF327712 SRB327695:SRB327712 TAX327695:TAX327712 TKT327695:TKT327712 TUP327695:TUP327712 UEL327695:UEL327712 UOH327695:UOH327712 UYD327695:UYD327712 VHZ327695:VHZ327712 VRV327695:VRV327712 WBR327695:WBR327712 WLN327695:WLN327712 WVJ327695:WVJ327712 B393231:B393248 IX393231:IX393248 ST393231:ST393248 ACP393231:ACP393248 AML393231:AML393248 AWH393231:AWH393248 BGD393231:BGD393248 BPZ393231:BPZ393248 BZV393231:BZV393248 CJR393231:CJR393248 CTN393231:CTN393248 DDJ393231:DDJ393248 DNF393231:DNF393248 DXB393231:DXB393248 EGX393231:EGX393248 EQT393231:EQT393248 FAP393231:FAP393248 FKL393231:FKL393248 FUH393231:FUH393248 GED393231:GED393248 GNZ393231:GNZ393248 GXV393231:GXV393248 HHR393231:HHR393248 HRN393231:HRN393248 IBJ393231:IBJ393248 ILF393231:ILF393248 IVB393231:IVB393248 JEX393231:JEX393248 JOT393231:JOT393248 JYP393231:JYP393248 KIL393231:KIL393248 KSH393231:KSH393248 LCD393231:LCD393248 LLZ393231:LLZ393248 LVV393231:LVV393248 MFR393231:MFR393248 MPN393231:MPN393248 MZJ393231:MZJ393248 NJF393231:NJF393248 NTB393231:NTB393248 OCX393231:OCX393248 OMT393231:OMT393248 OWP393231:OWP393248 PGL393231:PGL393248 PQH393231:PQH393248 QAD393231:QAD393248 QJZ393231:QJZ393248 QTV393231:QTV393248 RDR393231:RDR393248 RNN393231:RNN393248 RXJ393231:RXJ393248 SHF393231:SHF393248 SRB393231:SRB393248 TAX393231:TAX393248 TKT393231:TKT393248 TUP393231:TUP393248 UEL393231:UEL393248 UOH393231:UOH393248 UYD393231:UYD393248 VHZ393231:VHZ393248 VRV393231:VRV393248 WBR393231:WBR393248 WLN393231:WLN393248 WVJ393231:WVJ393248 B458767:B458784 IX458767:IX458784 ST458767:ST458784 ACP458767:ACP458784 AML458767:AML458784 AWH458767:AWH458784 BGD458767:BGD458784 BPZ458767:BPZ458784 BZV458767:BZV458784 CJR458767:CJR458784 CTN458767:CTN458784 DDJ458767:DDJ458784 DNF458767:DNF458784 DXB458767:DXB458784 EGX458767:EGX458784 EQT458767:EQT458784 FAP458767:FAP458784 FKL458767:FKL458784 FUH458767:FUH458784 GED458767:GED458784 GNZ458767:GNZ458784 GXV458767:GXV458784 HHR458767:HHR458784 HRN458767:HRN458784 IBJ458767:IBJ458784 ILF458767:ILF458784 IVB458767:IVB458784 JEX458767:JEX458784 JOT458767:JOT458784 JYP458767:JYP458784 KIL458767:KIL458784 KSH458767:KSH458784 LCD458767:LCD458784 LLZ458767:LLZ458784 LVV458767:LVV458784 MFR458767:MFR458784 MPN458767:MPN458784 MZJ458767:MZJ458784 NJF458767:NJF458784 NTB458767:NTB458784 OCX458767:OCX458784 OMT458767:OMT458784 OWP458767:OWP458784 PGL458767:PGL458784 PQH458767:PQH458784 QAD458767:QAD458784 QJZ458767:QJZ458784 QTV458767:QTV458784 RDR458767:RDR458784 RNN458767:RNN458784 RXJ458767:RXJ458784 SHF458767:SHF458784 SRB458767:SRB458784 TAX458767:TAX458784 TKT458767:TKT458784 TUP458767:TUP458784 UEL458767:UEL458784 UOH458767:UOH458784 UYD458767:UYD458784 VHZ458767:VHZ458784 VRV458767:VRV458784 WBR458767:WBR458784 WLN458767:WLN458784 WVJ458767:WVJ458784 B524303:B524320 IX524303:IX524320 ST524303:ST524320 ACP524303:ACP524320 AML524303:AML524320 AWH524303:AWH524320 BGD524303:BGD524320 BPZ524303:BPZ524320 BZV524303:BZV524320 CJR524303:CJR524320 CTN524303:CTN524320 DDJ524303:DDJ524320 DNF524303:DNF524320 DXB524303:DXB524320 EGX524303:EGX524320 EQT524303:EQT524320 FAP524303:FAP524320 FKL524303:FKL524320 FUH524303:FUH524320 GED524303:GED524320 GNZ524303:GNZ524320 GXV524303:GXV524320 HHR524303:HHR524320 HRN524303:HRN524320 IBJ524303:IBJ524320 ILF524303:ILF524320 IVB524303:IVB524320 JEX524303:JEX524320 JOT524303:JOT524320 JYP524303:JYP524320 KIL524303:KIL524320 KSH524303:KSH524320 LCD524303:LCD524320 LLZ524303:LLZ524320 LVV524303:LVV524320 MFR524303:MFR524320 MPN524303:MPN524320 MZJ524303:MZJ524320 NJF524303:NJF524320 NTB524303:NTB524320 OCX524303:OCX524320 OMT524303:OMT524320 OWP524303:OWP524320 PGL524303:PGL524320 PQH524303:PQH524320 QAD524303:QAD524320 QJZ524303:QJZ524320 QTV524303:QTV524320 RDR524303:RDR524320 RNN524303:RNN524320 RXJ524303:RXJ524320 SHF524303:SHF524320 SRB524303:SRB524320 TAX524303:TAX524320 TKT524303:TKT524320 TUP524303:TUP524320 UEL524303:UEL524320 UOH524303:UOH524320 UYD524303:UYD524320 VHZ524303:VHZ524320 VRV524303:VRV524320 WBR524303:WBR524320 WLN524303:WLN524320 WVJ524303:WVJ524320 B589839:B589856 IX589839:IX589856 ST589839:ST589856 ACP589839:ACP589856 AML589839:AML589856 AWH589839:AWH589856 BGD589839:BGD589856 BPZ589839:BPZ589856 BZV589839:BZV589856 CJR589839:CJR589856 CTN589839:CTN589856 DDJ589839:DDJ589856 DNF589839:DNF589856 DXB589839:DXB589856 EGX589839:EGX589856 EQT589839:EQT589856 FAP589839:FAP589856 FKL589839:FKL589856 FUH589839:FUH589856 GED589839:GED589856 GNZ589839:GNZ589856 GXV589839:GXV589856 HHR589839:HHR589856 HRN589839:HRN589856 IBJ589839:IBJ589856 ILF589839:ILF589856 IVB589839:IVB589856 JEX589839:JEX589856 JOT589839:JOT589856 JYP589839:JYP589856 KIL589839:KIL589856 KSH589839:KSH589856 LCD589839:LCD589856 LLZ589839:LLZ589856 LVV589839:LVV589856 MFR589839:MFR589856 MPN589839:MPN589856 MZJ589839:MZJ589856 NJF589839:NJF589856 NTB589839:NTB589856 OCX589839:OCX589856 OMT589839:OMT589856 OWP589839:OWP589856 PGL589839:PGL589856 PQH589839:PQH589856 QAD589839:QAD589856 QJZ589839:QJZ589856 QTV589839:QTV589856 RDR589839:RDR589856 RNN589839:RNN589856 RXJ589839:RXJ589856 SHF589839:SHF589856 SRB589839:SRB589856 TAX589839:TAX589856 TKT589839:TKT589856 TUP589839:TUP589856 UEL589839:UEL589856 UOH589839:UOH589856 UYD589839:UYD589856 VHZ589839:VHZ589856 VRV589839:VRV589856 WBR589839:WBR589856 WLN589839:WLN589856 WVJ589839:WVJ589856 B655375:B655392 IX655375:IX655392 ST655375:ST655392 ACP655375:ACP655392 AML655375:AML655392 AWH655375:AWH655392 BGD655375:BGD655392 BPZ655375:BPZ655392 BZV655375:BZV655392 CJR655375:CJR655392 CTN655375:CTN655392 DDJ655375:DDJ655392 DNF655375:DNF655392 DXB655375:DXB655392 EGX655375:EGX655392 EQT655375:EQT655392 FAP655375:FAP655392 FKL655375:FKL655392 FUH655375:FUH655392 GED655375:GED655392 GNZ655375:GNZ655392 GXV655375:GXV655392 HHR655375:HHR655392 HRN655375:HRN655392 IBJ655375:IBJ655392 ILF655375:ILF655392 IVB655375:IVB655392 JEX655375:JEX655392 JOT655375:JOT655392 JYP655375:JYP655392 KIL655375:KIL655392 KSH655375:KSH655392 LCD655375:LCD655392 LLZ655375:LLZ655392 LVV655375:LVV655392 MFR655375:MFR655392 MPN655375:MPN655392 MZJ655375:MZJ655392 NJF655375:NJF655392 NTB655375:NTB655392 OCX655375:OCX655392 OMT655375:OMT655392 OWP655375:OWP655392 PGL655375:PGL655392 PQH655375:PQH655392 QAD655375:QAD655392 QJZ655375:QJZ655392 QTV655375:QTV655392 RDR655375:RDR655392 RNN655375:RNN655392 RXJ655375:RXJ655392 SHF655375:SHF655392 SRB655375:SRB655392 TAX655375:TAX655392 TKT655375:TKT655392 TUP655375:TUP655392 UEL655375:UEL655392 UOH655375:UOH655392 UYD655375:UYD655392 VHZ655375:VHZ655392 VRV655375:VRV655392 WBR655375:WBR655392 WLN655375:WLN655392 WVJ655375:WVJ655392 B720911:B720928 IX720911:IX720928 ST720911:ST720928 ACP720911:ACP720928 AML720911:AML720928 AWH720911:AWH720928 BGD720911:BGD720928 BPZ720911:BPZ720928 BZV720911:BZV720928 CJR720911:CJR720928 CTN720911:CTN720928 DDJ720911:DDJ720928 DNF720911:DNF720928 DXB720911:DXB720928 EGX720911:EGX720928 EQT720911:EQT720928 FAP720911:FAP720928 FKL720911:FKL720928 FUH720911:FUH720928 GED720911:GED720928 GNZ720911:GNZ720928 GXV720911:GXV720928 HHR720911:HHR720928 HRN720911:HRN720928 IBJ720911:IBJ720928 ILF720911:ILF720928 IVB720911:IVB720928 JEX720911:JEX720928 JOT720911:JOT720928 JYP720911:JYP720928 KIL720911:KIL720928 KSH720911:KSH720928 LCD720911:LCD720928 LLZ720911:LLZ720928 LVV720911:LVV720928 MFR720911:MFR720928 MPN720911:MPN720928 MZJ720911:MZJ720928 NJF720911:NJF720928 NTB720911:NTB720928 OCX720911:OCX720928 OMT720911:OMT720928 OWP720911:OWP720928 PGL720911:PGL720928 PQH720911:PQH720928 QAD720911:QAD720928 QJZ720911:QJZ720928 QTV720911:QTV720928 RDR720911:RDR720928 RNN720911:RNN720928 RXJ720911:RXJ720928 SHF720911:SHF720928 SRB720911:SRB720928 TAX720911:TAX720928 TKT720911:TKT720928 TUP720911:TUP720928 UEL720911:UEL720928 UOH720911:UOH720928 UYD720911:UYD720928 VHZ720911:VHZ720928 VRV720911:VRV720928 WBR720911:WBR720928 WLN720911:WLN720928 WVJ720911:WVJ720928 B786447:B786464 IX786447:IX786464 ST786447:ST786464 ACP786447:ACP786464 AML786447:AML786464 AWH786447:AWH786464 BGD786447:BGD786464 BPZ786447:BPZ786464 BZV786447:BZV786464 CJR786447:CJR786464 CTN786447:CTN786464 DDJ786447:DDJ786464 DNF786447:DNF786464 DXB786447:DXB786464 EGX786447:EGX786464 EQT786447:EQT786464 FAP786447:FAP786464 FKL786447:FKL786464 FUH786447:FUH786464 GED786447:GED786464 GNZ786447:GNZ786464 GXV786447:GXV786464 HHR786447:HHR786464 HRN786447:HRN786464 IBJ786447:IBJ786464 ILF786447:ILF786464 IVB786447:IVB786464 JEX786447:JEX786464 JOT786447:JOT786464 JYP786447:JYP786464 KIL786447:KIL786464 KSH786447:KSH786464 LCD786447:LCD786464 LLZ786447:LLZ786464 LVV786447:LVV786464 MFR786447:MFR786464 MPN786447:MPN786464 MZJ786447:MZJ786464 NJF786447:NJF786464 NTB786447:NTB786464 OCX786447:OCX786464 OMT786447:OMT786464 OWP786447:OWP786464 PGL786447:PGL786464 PQH786447:PQH786464 QAD786447:QAD786464 QJZ786447:QJZ786464 QTV786447:QTV786464 RDR786447:RDR786464 RNN786447:RNN786464 RXJ786447:RXJ786464 SHF786447:SHF786464 SRB786447:SRB786464 TAX786447:TAX786464 TKT786447:TKT786464 TUP786447:TUP786464 UEL786447:UEL786464 UOH786447:UOH786464 UYD786447:UYD786464 VHZ786447:VHZ786464 VRV786447:VRV786464 WBR786447:WBR786464 WLN786447:WLN786464 WVJ786447:WVJ786464 B851983:B852000 IX851983:IX852000 ST851983:ST852000 ACP851983:ACP852000 AML851983:AML852000 AWH851983:AWH852000 BGD851983:BGD852000 BPZ851983:BPZ852000 BZV851983:BZV852000 CJR851983:CJR852000 CTN851983:CTN852000 DDJ851983:DDJ852000 DNF851983:DNF852000 DXB851983:DXB852000 EGX851983:EGX852000 EQT851983:EQT852000 FAP851983:FAP852000 FKL851983:FKL852000 FUH851983:FUH852000 GED851983:GED852000 GNZ851983:GNZ852000 GXV851983:GXV852000 HHR851983:HHR852000 HRN851983:HRN852000 IBJ851983:IBJ852000 ILF851983:ILF852000 IVB851983:IVB852000 JEX851983:JEX852000 JOT851983:JOT852000 JYP851983:JYP852000 KIL851983:KIL852000 KSH851983:KSH852000 LCD851983:LCD852000 LLZ851983:LLZ852000 LVV851983:LVV852000 MFR851983:MFR852000 MPN851983:MPN852000 MZJ851983:MZJ852000 NJF851983:NJF852000 NTB851983:NTB852000 OCX851983:OCX852000 OMT851983:OMT852000 OWP851983:OWP852000 PGL851983:PGL852000 PQH851983:PQH852000 QAD851983:QAD852000 QJZ851983:QJZ852000 QTV851983:QTV852000 RDR851983:RDR852000 RNN851983:RNN852000 RXJ851983:RXJ852000 SHF851983:SHF852000 SRB851983:SRB852000 TAX851983:TAX852000 TKT851983:TKT852000 TUP851983:TUP852000 UEL851983:UEL852000 UOH851983:UOH852000 UYD851983:UYD852000 VHZ851983:VHZ852000 VRV851983:VRV852000 WBR851983:WBR852000 WLN851983:WLN852000 WVJ851983:WVJ852000 B917519:B917536 IX917519:IX917536 ST917519:ST917536 ACP917519:ACP917536 AML917519:AML917536 AWH917519:AWH917536 BGD917519:BGD917536 BPZ917519:BPZ917536 BZV917519:BZV917536 CJR917519:CJR917536 CTN917519:CTN917536 DDJ917519:DDJ917536 DNF917519:DNF917536 DXB917519:DXB917536 EGX917519:EGX917536 EQT917519:EQT917536 FAP917519:FAP917536 FKL917519:FKL917536 FUH917519:FUH917536 GED917519:GED917536 GNZ917519:GNZ917536 GXV917519:GXV917536 HHR917519:HHR917536 HRN917519:HRN917536 IBJ917519:IBJ917536 ILF917519:ILF917536 IVB917519:IVB917536 JEX917519:JEX917536 JOT917519:JOT917536 JYP917519:JYP917536 KIL917519:KIL917536 KSH917519:KSH917536 LCD917519:LCD917536 LLZ917519:LLZ917536 LVV917519:LVV917536 MFR917519:MFR917536 MPN917519:MPN917536 MZJ917519:MZJ917536 NJF917519:NJF917536 NTB917519:NTB917536 OCX917519:OCX917536 OMT917519:OMT917536 OWP917519:OWP917536 PGL917519:PGL917536 PQH917519:PQH917536 QAD917519:QAD917536 QJZ917519:QJZ917536 QTV917519:QTV917536 RDR917519:RDR917536 RNN917519:RNN917536 RXJ917519:RXJ917536 SHF917519:SHF917536 SRB917519:SRB917536 TAX917519:TAX917536 TKT917519:TKT917536 TUP917519:TUP917536 UEL917519:UEL917536 UOH917519:UOH917536 UYD917519:UYD917536 VHZ917519:VHZ917536 VRV917519:VRV917536 WBR917519:WBR917536 WLN917519:WLN917536 WVJ917519:WVJ917536" xr:uid="{00000000-0002-0000-1100-000000000000}">
      <formula1>trung</formula1>
    </dataValidation>
    <dataValidation type="list" allowBlank="1" showInputMessage="1" showErrorMessage="1" sqref="B31" xr:uid="{00000000-0002-0000-1100-000001000000}">
      <formula1>bichphuong</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354"/>
  <sheetViews>
    <sheetView topLeftCell="A11" workbookViewId="0">
      <selection activeCell="C35" sqref="C35:E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53"/>
      <c r="G3" s="102"/>
      <c r="H3" s="103"/>
    </row>
    <row r="4" spans="1:8" s="98" customFormat="1" ht="18" customHeight="1">
      <c r="A4" s="414"/>
      <c r="B4" s="414"/>
      <c r="C4" s="415" t="s">
        <v>1740</v>
      </c>
      <c r="D4" s="416"/>
      <c r="E4" s="416"/>
      <c r="F4" s="416"/>
      <c r="G4" s="416"/>
      <c r="H4" s="416"/>
    </row>
    <row r="5" spans="1:8" s="98" customFormat="1" ht="15.6">
      <c r="A5" s="104"/>
      <c r="B5" s="104"/>
      <c r="C5" s="152"/>
      <c r="D5" s="105"/>
      <c r="E5" s="106"/>
      <c r="F5" s="152"/>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1824</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1825</v>
      </c>
      <c r="C13" s="425"/>
      <c r="D13" s="425"/>
      <c r="E13" s="425"/>
      <c r="F13" s="425"/>
      <c r="G13" s="73">
        <f>G14</f>
        <v>28320000</v>
      </c>
      <c r="H13" s="74"/>
    </row>
    <row r="14" spans="1:8" s="131" customFormat="1" ht="171.6">
      <c r="A14" s="123"/>
      <c r="B14" s="124" t="s">
        <v>2054</v>
      </c>
      <c r="C14" s="125" t="s">
        <v>1753</v>
      </c>
      <c r="D14" s="126">
        <v>4.8</v>
      </c>
      <c r="E14" s="127">
        <v>11800000</v>
      </c>
      <c r="F14" s="188">
        <v>0.5</v>
      </c>
      <c r="G14" s="129">
        <f>D14*E14*F14</f>
        <v>28320000</v>
      </c>
      <c r="H14" s="130"/>
    </row>
    <row r="15" spans="1:8" ht="27" customHeight="1">
      <c r="A15" s="75" t="s">
        <v>18</v>
      </c>
      <c r="B15" s="426" t="s">
        <v>1725</v>
      </c>
      <c r="C15" s="426"/>
      <c r="D15" s="426"/>
      <c r="E15" s="426"/>
      <c r="F15" s="426"/>
      <c r="G15" s="76">
        <f>SUM(G17:G21)</f>
        <v>22559849.756960001</v>
      </c>
      <c r="H15" s="11"/>
    </row>
    <row r="16" spans="1:8" ht="60" customHeight="1">
      <c r="A16" s="75"/>
      <c r="B16" s="433" t="s">
        <v>2039</v>
      </c>
      <c r="C16" s="434"/>
      <c r="D16" s="434"/>
      <c r="E16" s="434"/>
      <c r="F16" s="435"/>
      <c r="G16" s="76"/>
      <c r="H16" s="11"/>
    </row>
    <row r="17" spans="1:8" ht="46.8">
      <c r="A17" s="77">
        <v>1</v>
      </c>
      <c r="B17" s="78" t="s">
        <v>1826</v>
      </c>
      <c r="C17" s="14" t="s">
        <v>1754</v>
      </c>
      <c r="D17" s="132">
        <f>(7.8*2.8*0.11)+(0.5*1.5*0.11)*2</f>
        <v>2.5674000000000001</v>
      </c>
      <c r="E17" s="15">
        <v>2126713</v>
      </c>
      <c r="F17" s="187">
        <v>0.8</v>
      </c>
      <c r="G17" s="79">
        <f t="shared" ref="G17:G21" si="0">D17*E17*F17</f>
        <v>4368098.3649599999</v>
      </c>
      <c r="H17" s="15"/>
    </row>
    <row r="18" spans="1:8" ht="31.2">
      <c r="A18" s="77"/>
      <c r="B18" s="78" t="s">
        <v>1967</v>
      </c>
      <c r="C18" s="14" t="s">
        <v>66</v>
      </c>
      <c r="D18" s="132">
        <f>(7.8*2.8)+(0.5*1.5)*2</f>
        <v>23.34</v>
      </c>
      <c r="E18" s="15">
        <v>141099</v>
      </c>
      <c r="F18" s="187">
        <v>0.8</v>
      </c>
      <c r="G18" s="79">
        <f t="shared" si="0"/>
        <v>2634600.5280000004</v>
      </c>
      <c r="H18" s="15"/>
    </row>
    <row r="19" spans="1:8" ht="15.6">
      <c r="A19" s="77">
        <v>2</v>
      </c>
      <c r="B19" s="78" t="s">
        <v>1827</v>
      </c>
      <c r="C19" s="14" t="s">
        <v>66</v>
      </c>
      <c r="D19" s="132">
        <f>3.5*4.6</f>
        <v>16.099999999999998</v>
      </c>
      <c r="E19" s="15">
        <v>488333</v>
      </c>
      <c r="F19" s="187">
        <v>0.8</v>
      </c>
      <c r="G19" s="79">
        <f t="shared" si="0"/>
        <v>6289729.0399999991</v>
      </c>
      <c r="H19" s="15"/>
    </row>
    <row r="20" spans="1:8" ht="15.6">
      <c r="A20" s="77">
        <v>3</v>
      </c>
      <c r="B20" s="78" t="s">
        <v>1828</v>
      </c>
      <c r="C20" s="14" t="s">
        <v>66</v>
      </c>
      <c r="D20" s="132">
        <f>4*2.8</f>
        <v>11.2</v>
      </c>
      <c r="E20" s="15">
        <v>720000</v>
      </c>
      <c r="F20" s="187">
        <v>0.8</v>
      </c>
      <c r="G20" s="79">
        <f t="shared" si="0"/>
        <v>6451200</v>
      </c>
      <c r="H20" s="15"/>
    </row>
    <row r="21" spans="1:8" ht="31.2">
      <c r="A21" s="77">
        <v>4</v>
      </c>
      <c r="B21" s="78" t="s">
        <v>1829</v>
      </c>
      <c r="C21" s="14" t="s">
        <v>1754</v>
      </c>
      <c r="D21" s="132">
        <f>(4.5*3*0.1)+(4.5*1.8*0.1)</f>
        <v>2.16</v>
      </c>
      <c r="E21" s="15">
        <v>1629758</v>
      </c>
      <c r="F21" s="187">
        <v>0.8</v>
      </c>
      <c r="G21" s="79">
        <f t="shared" si="0"/>
        <v>2816221.8240000005</v>
      </c>
      <c r="H21" s="15"/>
    </row>
    <row r="22" spans="1:8" ht="24" customHeight="1">
      <c r="A22" s="75" t="s">
        <v>19</v>
      </c>
      <c r="B22" s="426" t="s">
        <v>1727</v>
      </c>
      <c r="C22" s="426"/>
      <c r="D22" s="426"/>
      <c r="E22" s="426"/>
      <c r="F22" s="426"/>
      <c r="G22" s="76">
        <f>SUM(G23:G23)</f>
        <v>0</v>
      </c>
      <c r="H22" s="11"/>
    </row>
    <row r="23" spans="1:8" ht="30.6" customHeight="1">
      <c r="A23" s="77"/>
      <c r="B23" s="78" t="s">
        <v>1728</v>
      </c>
      <c r="C23" s="13"/>
      <c r="D23" s="13"/>
      <c r="E23" s="13"/>
      <c r="F23" s="13"/>
      <c r="G23" s="79"/>
      <c r="H23" s="15"/>
    </row>
    <row r="24" spans="1:8" ht="15.6">
      <c r="A24" s="80"/>
      <c r="B24" s="427" t="s">
        <v>62</v>
      </c>
      <c r="C24" s="428"/>
      <c r="D24" s="428"/>
      <c r="E24" s="428"/>
      <c r="F24" s="429"/>
      <c r="G24" s="81">
        <f>G13+G15+G22</f>
        <v>50879849.756960005</v>
      </c>
      <c r="H24" s="82"/>
    </row>
    <row r="25" spans="1:8" ht="15.6">
      <c r="A25" s="80"/>
      <c r="B25" s="427" t="s">
        <v>1726</v>
      </c>
      <c r="C25" s="428"/>
      <c r="D25" s="428"/>
      <c r="E25" s="428"/>
      <c r="F25" s="429"/>
      <c r="G25" s="81">
        <f>ROUND(G24,-3)</f>
        <v>50880000</v>
      </c>
      <c r="H25" s="82"/>
    </row>
    <row r="26" spans="1:8" ht="15.6">
      <c r="A26" s="430" t="e">
        <f ca="1">[19]!vnd(G25)</f>
        <v>#NAME?</v>
      </c>
      <c r="B26" s="431"/>
      <c r="C26" s="431"/>
      <c r="D26" s="431"/>
      <c r="E26" s="431"/>
      <c r="F26" s="431"/>
      <c r="G26" s="431"/>
      <c r="H26" s="432"/>
    </row>
    <row r="27" spans="1:8">
      <c r="A27" s="17"/>
      <c r="B27" s="17"/>
      <c r="C27" s="97"/>
      <c r="D27" s="20"/>
      <c r="E27" s="19"/>
      <c r="F27" s="97"/>
      <c r="G27" s="19"/>
      <c r="H27" s="17"/>
    </row>
    <row r="28" spans="1:8" s="109" customFormat="1" ht="16.5" customHeight="1">
      <c r="A28" s="108"/>
      <c r="B28" s="108"/>
      <c r="C28" s="424" t="s">
        <v>1742</v>
      </c>
      <c r="D28" s="424"/>
      <c r="E28" s="424"/>
      <c r="F28" s="424"/>
      <c r="G28" s="424"/>
      <c r="H28" s="424"/>
    </row>
    <row r="29" spans="1:8" s="109" customFormat="1" ht="16.5" customHeight="1">
      <c r="A29" s="423" t="s">
        <v>63</v>
      </c>
      <c r="B29" s="423"/>
      <c r="C29" s="424" t="s">
        <v>1743</v>
      </c>
      <c r="D29" s="424"/>
      <c r="E29" s="424"/>
      <c r="F29" s="424" t="s">
        <v>1744</v>
      </c>
      <c r="G29" s="424"/>
      <c r="H29" s="424"/>
    </row>
    <row r="30" spans="1:8" s="109" customFormat="1" ht="15.6">
      <c r="A30" s="108"/>
      <c r="B30" s="108"/>
      <c r="C30" s="108"/>
      <c r="D30" s="110"/>
      <c r="E30" s="111"/>
      <c r="F30" s="112"/>
      <c r="G30" s="111"/>
      <c r="H30" s="113"/>
    </row>
    <row r="31" spans="1:8" s="109" customFormat="1" ht="15.6">
      <c r="A31" s="108"/>
      <c r="B31" s="108"/>
      <c r="C31" s="108"/>
      <c r="D31" s="110"/>
      <c r="E31" s="111"/>
      <c r="F31" s="112"/>
      <c r="G31" s="114"/>
      <c r="H31" s="113"/>
    </row>
    <row r="32" spans="1:8" s="109" customFormat="1" ht="15.6">
      <c r="A32" s="108"/>
      <c r="B32" s="108"/>
      <c r="C32" s="108"/>
      <c r="D32" s="110"/>
      <c r="E32" s="111"/>
      <c r="F32" s="112"/>
      <c r="G32" s="111"/>
      <c r="H32" s="113"/>
    </row>
    <row r="33" spans="1:8" s="109" customFormat="1" ht="15.6">
      <c r="A33" s="108"/>
      <c r="B33" s="108"/>
      <c r="C33" s="108"/>
      <c r="D33" s="110"/>
      <c r="E33" s="111"/>
      <c r="F33" s="112"/>
      <c r="G33" s="111"/>
      <c r="H33" s="113"/>
    </row>
    <row r="34" spans="1:8" s="109" customFormat="1" ht="15.6">
      <c r="A34" s="108"/>
      <c r="B34" s="108"/>
      <c r="C34" s="108"/>
      <c r="D34" s="110"/>
      <c r="E34" s="111"/>
      <c r="F34" s="112"/>
      <c r="G34" s="111"/>
      <c r="H34" s="113"/>
    </row>
    <row r="35" spans="1:8" s="109" customFormat="1" ht="16.5" customHeight="1">
      <c r="A35" s="108"/>
      <c r="B35" s="150" t="s">
        <v>64</v>
      </c>
      <c r="C35" s="424"/>
      <c r="D35" s="424"/>
      <c r="E35" s="424"/>
      <c r="F35" s="424" t="s">
        <v>1745</v>
      </c>
      <c r="G35" s="424"/>
      <c r="H35" s="424"/>
    </row>
    <row r="36" spans="1:8" s="109" customFormat="1" ht="15.6">
      <c r="A36" s="108"/>
      <c r="B36" s="150"/>
      <c r="C36" s="151"/>
      <c r="D36" s="151"/>
      <c r="E36" s="151"/>
      <c r="F36" s="151"/>
      <c r="G36" s="151"/>
      <c r="H36" s="151"/>
    </row>
    <row r="37" spans="1:8" s="109" customFormat="1" ht="15" customHeight="1">
      <c r="A37" s="424" t="s">
        <v>1746</v>
      </c>
      <c r="B37" s="424"/>
      <c r="C37" s="424"/>
      <c r="D37" s="424"/>
      <c r="E37" s="424" t="s">
        <v>1747</v>
      </c>
      <c r="F37" s="424"/>
      <c r="G37" s="424"/>
      <c r="H37" s="424"/>
    </row>
    <row r="38" spans="1:8" s="109" customFormat="1" ht="33.6" customHeight="1">
      <c r="A38" s="424" t="s">
        <v>1748</v>
      </c>
      <c r="B38" s="424"/>
      <c r="C38" s="424"/>
      <c r="D38" s="424"/>
      <c r="E38" s="424" t="s">
        <v>65</v>
      </c>
      <c r="F38" s="424"/>
      <c r="G38" s="424"/>
      <c r="H38" s="424"/>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 r="A43" s="108"/>
      <c r="B43" s="108"/>
      <c r="C43" s="108"/>
      <c r="D43" s="110"/>
      <c r="E43" s="111"/>
      <c r="F43" s="112"/>
      <c r="G43" s="111"/>
      <c r="H43" s="113"/>
    </row>
    <row r="44" spans="1:8" s="109" customFormat="1" ht="15.6" customHeight="1">
      <c r="A44" s="108"/>
      <c r="B44" s="108"/>
      <c r="C44" s="108"/>
      <c r="D44" s="115"/>
      <c r="E44" s="439" t="s">
        <v>1749</v>
      </c>
      <c r="F44" s="439"/>
      <c r="G44" s="439"/>
      <c r="H44" s="439"/>
    </row>
    <row r="45" spans="1:8" s="109" customFormat="1" ht="16.5" customHeight="1">
      <c r="A45" s="424" t="s">
        <v>1751</v>
      </c>
      <c r="B45" s="424"/>
      <c r="C45" s="424"/>
      <c r="D45" s="424"/>
      <c r="E45" s="424" t="s">
        <v>1750</v>
      </c>
      <c r="F45" s="424"/>
      <c r="G45" s="424"/>
      <c r="H45" s="424"/>
    </row>
    <row r="46" spans="1:8" s="118" customFormat="1" ht="16.2" customHeight="1">
      <c r="A46" s="440"/>
      <c r="B46" s="440"/>
      <c r="C46" s="116"/>
      <c r="D46" s="117"/>
      <c r="E46" s="440"/>
      <c r="F46" s="440"/>
      <c r="G46" s="440"/>
      <c r="H46" s="440"/>
    </row>
    <row r="47" spans="1:8" s="118" customFormat="1" ht="15.75" customHeight="1">
      <c r="A47" s="440"/>
      <c r="B47" s="440"/>
      <c r="C47" s="440"/>
      <c r="D47" s="440"/>
      <c r="E47" s="440"/>
      <c r="F47" s="440"/>
      <c r="G47" s="440"/>
      <c r="H47" s="440"/>
    </row>
    <row r="48" spans="1:8" s="98" customFormat="1" ht="16.2" customHeight="1">
      <c r="A48" s="436"/>
      <c r="B48" s="436"/>
      <c r="C48" s="436"/>
      <c r="D48" s="436"/>
      <c r="E48" s="119"/>
      <c r="F48" s="120"/>
      <c r="G48" s="119"/>
      <c r="H48" s="121"/>
    </row>
    <row r="49" spans="1:8" s="98" customFormat="1" ht="16.2" customHeight="1">
      <c r="A49" s="436"/>
      <c r="B49" s="436"/>
      <c r="C49" s="436"/>
      <c r="D49" s="436"/>
      <c r="E49" s="119"/>
      <c r="F49" s="120"/>
      <c r="G49" s="119"/>
      <c r="H49" s="121"/>
    </row>
    <row r="50" spans="1:8" s="98" customFormat="1" ht="16.2" customHeight="1">
      <c r="A50" s="121"/>
      <c r="B50" s="121"/>
      <c r="C50" s="121"/>
      <c r="D50" s="122"/>
      <c r="E50" s="119"/>
      <c r="F50" s="120"/>
      <c r="G50" s="119"/>
      <c r="H50" s="121"/>
    </row>
    <row r="51" spans="1:8" ht="16.2" customHeight="1">
      <c r="A51" s="83"/>
      <c r="B51" s="83"/>
      <c r="C51" s="83"/>
      <c r="D51" s="84"/>
      <c r="E51" s="85"/>
      <c r="F51" s="86"/>
      <c r="G51" s="85"/>
      <c r="H51" s="83"/>
    </row>
    <row r="52" spans="1:8" ht="16.2" customHeight="1">
      <c r="A52" s="83"/>
      <c r="B52" s="83"/>
      <c r="C52" s="83"/>
      <c r="D52" s="84"/>
      <c r="E52" s="85"/>
      <c r="F52" s="86"/>
      <c r="G52" s="85"/>
      <c r="H52" s="83"/>
    </row>
    <row r="53" spans="1:8" ht="16.2" customHeight="1">
      <c r="A53" s="83"/>
      <c r="B53" s="83"/>
      <c r="C53" s="83"/>
      <c r="D53" s="84"/>
      <c r="E53" s="85"/>
      <c r="F53" s="86"/>
      <c r="G53" s="85"/>
      <c r="H53" s="83"/>
    </row>
    <row r="54" spans="1:8" ht="16.2" customHeight="1">
      <c r="A54" s="83"/>
      <c r="B54" s="83"/>
      <c r="C54" s="83"/>
      <c r="D54" s="84"/>
      <c r="E54" s="437"/>
      <c r="F54" s="437"/>
      <c r="G54" s="437"/>
      <c r="H54" s="437"/>
    </row>
    <row r="55" spans="1:8" ht="20.25" customHeight="1">
      <c r="A55" s="438"/>
      <c r="B55" s="438"/>
      <c r="C55" s="438"/>
      <c r="D55" s="438"/>
      <c r="E55" s="438"/>
      <c r="F55" s="438"/>
      <c r="G55" s="438"/>
      <c r="H55" s="438"/>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ht="16.2" customHeight="1"/>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row r="231"/>
    <row r="232"/>
    <row r="233"/>
    <row r="234"/>
    <row r="235"/>
    <row r="236"/>
    <row r="237"/>
    <row r="238"/>
    <row r="239"/>
    <row r="240"/>
    <row r="241"/>
    <row r="242"/>
    <row r="243"/>
    <row r="244"/>
    <row r="245"/>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sheetData>
  <mergeCells count="41">
    <mergeCell ref="A4:B4"/>
    <mergeCell ref="C4:H4"/>
    <mergeCell ref="A1:B1"/>
    <mergeCell ref="C1:H1"/>
    <mergeCell ref="A2:B2"/>
    <mergeCell ref="C2:H2"/>
    <mergeCell ref="A3:B3"/>
    <mergeCell ref="A26:H26"/>
    <mergeCell ref="A6:H6"/>
    <mergeCell ref="A7:H7"/>
    <mergeCell ref="A8:H8"/>
    <mergeCell ref="A9:H9"/>
    <mergeCell ref="A10:H10"/>
    <mergeCell ref="A11:H11"/>
    <mergeCell ref="B13:F13"/>
    <mergeCell ref="B15:F15"/>
    <mergeCell ref="B22:F22"/>
    <mergeCell ref="B24:F24"/>
    <mergeCell ref="B25:F25"/>
    <mergeCell ref="B16:F16"/>
    <mergeCell ref="A45:D45"/>
    <mergeCell ref="E45:H45"/>
    <mergeCell ref="C28:H28"/>
    <mergeCell ref="A29:B29"/>
    <mergeCell ref="C29:E29"/>
    <mergeCell ref="F29:H29"/>
    <mergeCell ref="C35:E35"/>
    <mergeCell ref="F35:H35"/>
    <mergeCell ref="A37:D37"/>
    <mergeCell ref="E37:H37"/>
    <mergeCell ref="A38:D38"/>
    <mergeCell ref="E38:H38"/>
    <mergeCell ref="E44:H44"/>
    <mergeCell ref="E54:H54"/>
    <mergeCell ref="A55:H55"/>
    <mergeCell ref="A46:B46"/>
    <mergeCell ref="E46:H46"/>
    <mergeCell ref="A47:D47"/>
    <mergeCell ref="E47:H47"/>
    <mergeCell ref="A48:D48"/>
    <mergeCell ref="A49:D49"/>
  </mergeCells>
  <dataValidations count="1">
    <dataValidation type="list" allowBlank="1" showInputMessage="1" showErrorMessage="1" sqref="WVJ983047:WVJ983064 B983047:B983064 IX983047:IX983064 ST983047:ST983064 ACP983047:ACP983064 AML983047:AML983064 AWH983047:AWH983064 BGD983047:BGD983064 BPZ983047:BPZ983064 BZV983047:BZV983064 CJR983047:CJR983064 CTN983047:CTN983064 DDJ983047:DDJ983064 DNF983047:DNF983064 DXB983047:DXB983064 EGX983047:EGX983064 EQT983047:EQT983064 FAP983047:FAP983064 FKL983047:FKL983064 FUH983047:FUH983064 GED983047:GED983064 GNZ983047:GNZ983064 GXV983047:GXV983064 HHR983047:HHR983064 HRN983047:HRN983064 IBJ983047:IBJ983064 ILF983047:ILF983064 IVB983047:IVB983064 JEX983047:JEX983064 JOT983047:JOT983064 JYP983047:JYP983064 KIL983047:KIL983064 KSH983047:KSH983064 LCD983047:LCD983064 LLZ983047:LLZ983064 LVV983047:LVV983064 MFR983047:MFR983064 MPN983047:MPN983064 MZJ983047:MZJ983064 NJF983047:NJF983064 NTB983047:NTB983064 OCX983047:OCX983064 OMT983047:OMT983064 OWP983047:OWP983064 PGL983047:PGL983064 PQH983047:PQH983064 QAD983047:QAD983064 QJZ983047:QJZ983064 QTV983047:QTV983064 RDR983047:RDR983064 RNN983047:RNN983064 RXJ983047:RXJ983064 SHF983047:SHF983064 SRB983047:SRB983064 TAX983047:TAX983064 TKT983047:TKT983064 TUP983047:TUP983064 UEL983047:UEL983064 UOH983047:UOH983064 UYD983047:UYD983064 VHZ983047:VHZ983064 VRV983047:VRV983064 WBR983047:WBR983064 WLN983047:WLN983064 B65543:B65560 IX65543:IX65560 ST65543:ST65560 ACP65543:ACP65560 AML65543:AML65560 AWH65543:AWH65560 BGD65543:BGD65560 BPZ65543:BPZ65560 BZV65543:BZV65560 CJR65543:CJR65560 CTN65543:CTN65560 DDJ65543:DDJ65560 DNF65543:DNF65560 DXB65543:DXB65560 EGX65543:EGX65560 EQT65543:EQT65560 FAP65543:FAP65560 FKL65543:FKL65560 FUH65543:FUH65560 GED65543:GED65560 GNZ65543:GNZ65560 GXV65543:GXV65560 HHR65543:HHR65560 HRN65543:HRN65560 IBJ65543:IBJ65560 ILF65543:ILF65560 IVB65543:IVB65560 JEX65543:JEX65560 JOT65543:JOT65560 JYP65543:JYP65560 KIL65543:KIL65560 KSH65543:KSH65560 LCD65543:LCD65560 LLZ65543:LLZ65560 LVV65543:LVV65560 MFR65543:MFR65560 MPN65543:MPN65560 MZJ65543:MZJ65560 NJF65543:NJF65560 NTB65543:NTB65560 OCX65543:OCX65560 OMT65543:OMT65560 OWP65543:OWP65560 PGL65543:PGL65560 PQH65543:PQH65560 QAD65543:QAD65560 QJZ65543:QJZ65560 QTV65543:QTV65560 RDR65543:RDR65560 RNN65543:RNN65560 RXJ65543:RXJ65560 SHF65543:SHF65560 SRB65543:SRB65560 TAX65543:TAX65560 TKT65543:TKT65560 TUP65543:TUP65560 UEL65543:UEL65560 UOH65543:UOH65560 UYD65543:UYD65560 VHZ65543:VHZ65560 VRV65543:VRV65560 WBR65543:WBR65560 WLN65543:WLN65560 WVJ65543:WVJ65560 B131079:B131096 IX131079:IX131096 ST131079:ST131096 ACP131079:ACP131096 AML131079:AML131096 AWH131079:AWH131096 BGD131079:BGD131096 BPZ131079:BPZ131096 BZV131079:BZV131096 CJR131079:CJR131096 CTN131079:CTN131096 DDJ131079:DDJ131096 DNF131079:DNF131096 DXB131079:DXB131096 EGX131079:EGX131096 EQT131079:EQT131096 FAP131079:FAP131096 FKL131079:FKL131096 FUH131079:FUH131096 GED131079:GED131096 GNZ131079:GNZ131096 GXV131079:GXV131096 HHR131079:HHR131096 HRN131079:HRN131096 IBJ131079:IBJ131096 ILF131079:ILF131096 IVB131079:IVB131096 JEX131079:JEX131096 JOT131079:JOT131096 JYP131079:JYP131096 KIL131079:KIL131096 KSH131079:KSH131096 LCD131079:LCD131096 LLZ131079:LLZ131096 LVV131079:LVV131096 MFR131079:MFR131096 MPN131079:MPN131096 MZJ131079:MZJ131096 NJF131079:NJF131096 NTB131079:NTB131096 OCX131079:OCX131096 OMT131079:OMT131096 OWP131079:OWP131096 PGL131079:PGL131096 PQH131079:PQH131096 QAD131079:QAD131096 QJZ131079:QJZ131096 QTV131079:QTV131096 RDR131079:RDR131096 RNN131079:RNN131096 RXJ131079:RXJ131096 SHF131079:SHF131096 SRB131079:SRB131096 TAX131079:TAX131096 TKT131079:TKT131096 TUP131079:TUP131096 UEL131079:UEL131096 UOH131079:UOH131096 UYD131079:UYD131096 VHZ131079:VHZ131096 VRV131079:VRV131096 WBR131079:WBR131096 WLN131079:WLN131096 WVJ131079:WVJ131096 B196615:B196632 IX196615:IX196632 ST196615:ST196632 ACP196615:ACP196632 AML196615:AML196632 AWH196615:AWH196632 BGD196615:BGD196632 BPZ196615:BPZ196632 BZV196615:BZV196632 CJR196615:CJR196632 CTN196615:CTN196632 DDJ196615:DDJ196632 DNF196615:DNF196632 DXB196615:DXB196632 EGX196615:EGX196632 EQT196615:EQT196632 FAP196615:FAP196632 FKL196615:FKL196632 FUH196615:FUH196632 GED196615:GED196632 GNZ196615:GNZ196632 GXV196615:GXV196632 HHR196615:HHR196632 HRN196615:HRN196632 IBJ196615:IBJ196632 ILF196615:ILF196632 IVB196615:IVB196632 JEX196615:JEX196632 JOT196615:JOT196632 JYP196615:JYP196632 KIL196615:KIL196632 KSH196615:KSH196632 LCD196615:LCD196632 LLZ196615:LLZ196632 LVV196615:LVV196632 MFR196615:MFR196632 MPN196615:MPN196632 MZJ196615:MZJ196632 NJF196615:NJF196632 NTB196615:NTB196632 OCX196615:OCX196632 OMT196615:OMT196632 OWP196615:OWP196632 PGL196615:PGL196632 PQH196615:PQH196632 QAD196615:QAD196632 QJZ196615:QJZ196632 QTV196615:QTV196632 RDR196615:RDR196632 RNN196615:RNN196632 RXJ196615:RXJ196632 SHF196615:SHF196632 SRB196615:SRB196632 TAX196615:TAX196632 TKT196615:TKT196632 TUP196615:TUP196632 UEL196615:UEL196632 UOH196615:UOH196632 UYD196615:UYD196632 VHZ196615:VHZ196632 VRV196615:VRV196632 WBR196615:WBR196632 WLN196615:WLN196632 WVJ196615:WVJ196632 B262151:B262168 IX262151:IX262168 ST262151:ST262168 ACP262151:ACP262168 AML262151:AML262168 AWH262151:AWH262168 BGD262151:BGD262168 BPZ262151:BPZ262168 BZV262151:BZV262168 CJR262151:CJR262168 CTN262151:CTN262168 DDJ262151:DDJ262168 DNF262151:DNF262168 DXB262151:DXB262168 EGX262151:EGX262168 EQT262151:EQT262168 FAP262151:FAP262168 FKL262151:FKL262168 FUH262151:FUH262168 GED262151:GED262168 GNZ262151:GNZ262168 GXV262151:GXV262168 HHR262151:HHR262168 HRN262151:HRN262168 IBJ262151:IBJ262168 ILF262151:ILF262168 IVB262151:IVB262168 JEX262151:JEX262168 JOT262151:JOT262168 JYP262151:JYP262168 KIL262151:KIL262168 KSH262151:KSH262168 LCD262151:LCD262168 LLZ262151:LLZ262168 LVV262151:LVV262168 MFR262151:MFR262168 MPN262151:MPN262168 MZJ262151:MZJ262168 NJF262151:NJF262168 NTB262151:NTB262168 OCX262151:OCX262168 OMT262151:OMT262168 OWP262151:OWP262168 PGL262151:PGL262168 PQH262151:PQH262168 QAD262151:QAD262168 QJZ262151:QJZ262168 QTV262151:QTV262168 RDR262151:RDR262168 RNN262151:RNN262168 RXJ262151:RXJ262168 SHF262151:SHF262168 SRB262151:SRB262168 TAX262151:TAX262168 TKT262151:TKT262168 TUP262151:TUP262168 UEL262151:UEL262168 UOH262151:UOH262168 UYD262151:UYD262168 VHZ262151:VHZ262168 VRV262151:VRV262168 WBR262151:WBR262168 WLN262151:WLN262168 WVJ262151:WVJ262168 B327687:B327704 IX327687:IX327704 ST327687:ST327704 ACP327687:ACP327704 AML327687:AML327704 AWH327687:AWH327704 BGD327687:BGD327704 BPZ327687:BPZ327704 BZV327687:BZV327704 CJR327687:CJR327704 CTN327687:CTN327704 DDJ327687:DDJ327704 DNF327687:DNF327704 DXB327687:DXB327704 EGX327687:EGX327704 EQT327687:EQT327704 FAP327687:FAP327704 FKL327687:FKL327704 FUH327687:FUH327704 GED327687:GED327704 GNZ327687:GNZ327704 GXV327687:GXV327704 HHR327687:HHR327704 HRN327687:HRN327704 IBJ327687:IBJ327704 ILF327687:ILF327704 IVB327687:IVB327704 JEX327687:JEX327704 JOT327687:JOT327704 JYP327687:JYP327704 KIL327687:KIL327704 KSH327687:KSH327704 LCD327687:LCD327704 LLZ327687:LLZ327704 LVV327687:LVV327704 MFR327687:MFR327704 MPN327687:MPN327704 MZJ327687:MZJ327704 NJF327687:NJF327704 NTB327687:NTB327704 OCX327687:OCX327704 OMT327687:OMT327704 OWP327687:OWP327704 PGL327687:PGL327704 PQH327687:PQH327704 QAD327687:QAD327704 QJZ327687:QJZ327704 QTV327687:QTV327704 RDR327687:RDR327704 RNN327687:RNN327704 RXJ327687:RXJ327704 SHF327687:SHF327704 SRB327687:SRB327704 TAX327687:TAX327704 TKT327687:TKT327704 TUP327687:TUP327704 UEL327687:UEL327704 UOH327687:UOH327704 UYD327687:UYD327704 VHZ327687:VHZ327704 VRV327687:VRV327704 WBR327687:WBR327704 WLN327687:WLN327704 WVJ327687:WVJ327704 B393223:B393240 IX393223:IX393240 ST393223:ST393240 ACP393223:ACP393240 AML393223:AML393240 AWH393223:AWH393240 BGD393223:BGD393240 BPZ393223:BPZ393240 BZV393223:BZV393240 CJR393223:CJR393240 CTN393223:CTN393240 DDJ393223:DDJ393240 DNF393223:DNF393240 DXB393223:DXB393240 EGX393223:EGX393240 EQT393223:EQT393240 FAP393223:FAP393240 FKL393223:FKL393240 FUH393223:FUH393240 GED393223:GED393240 GNZ393223:GNZ393240 GXV393223:GXV393240 HHR393223:HHR393240 HRN393223:HRN393240 IBJ393223:IBJ393240 ILF393223:ILF393240 IVB393223:IVB393240 JEX393223:JEX393240 JOT393223:JOT393240 JYP393223:JYP393240 KIL393223:KIL393240 KSH393223:KSH393240 LCD393223:LCD393240 LLZ393223:LLZ393240 LVV393223:LVV393240 MFR393223:MFR393240 MPN393223:MPN393240 MZJ393223:MZJ393240 NJF393223:NJF393240 NTB393223:NTB393240 OCX393223:OCX393240 OMT393223:OMT393240 OWP393223:OWP393240 PGL393223:PGL393240 PQH393223:PQH393240 QAD393223:QAD393240 QJZ393223:QJZ393240 QTV393223:QTV393240 RDR393223:RDR393240 RNN393223:RNN393240 RXJ393223:RXJ393240 SHF393223:SHF393240 SRB393223:SRB393240 TAX393223:TAX393240 TKT393223:TKT393240 TUP393223:TUP393240 UEL393223:UEL393240 UOH393223:UOH393240 UYD393223:UYD393240 VHZ393223:VHZ393240 VRV393223:VRV393240 WBR393223:WBR393240 WLN393223:WLN393240 WVJ393223:WVJ393240 B458759:B458776 IX458759:IX458776 ST458759:ST458776 ACP458759:ACP458776 AML458759:AML458776 AWH458759:AWH458776 BGD458759:BGD458776 BPZ458759:BPZ458776 BZV458759:BZV458776 CJR458759:CJR458776 CTN458759:CTN458776 DDJ458759:DDJ458776 DNF458759:DNF458776 DXB458759:DXB458776 EGX458759:EGX458776 EQT458759:EQT458776 FAP458759:FAP458776 FKL458759:FKL458776 FUH458759:FUH458776 GED458759:GED458776 GNZ458759:GNZ458776 GXV458759:GXV458776 HHR458759:HHR458776 HRN458759:HRN458776 IBJ458759:IBJ458776 ILF458759:ILF458776 IVB458759:IVB458776 JEX458759:JEX458776 JOT458759:JOT458776 JYP458759:JYP458776 KIL458759:KIL458776 KSH458759:KSH458776 LCD458759:LCD458776 LLZ458759:LLZ458776 LVV458759:LVV458776 MFR458759:MFR458776 MPN458759:MPN458776 MZJ458759:MZJ458776 NJF458759:NJF458776 NTB458759:NTB458776 OCX458759:OCX458776 OMT458759:OMT458776 OWP458759:OWP458776 PGL458759:PGL458776 PQH458759:PQH458776 QAD458759:QAD458776 QJZ458759:QJZ458776 QTV458759:QTV458776 RDR458759:RDR458776 RNN458759:RNN458776 RXJ458759:RXJ458776 SHF458759:SHF458776 SRB458759:SRB458776 TAX458759:TAX458776 TKT458759:TKT458776 TUP458759:TUP458776 UEL458759:UEL458776 UOH458759:UOH458776 UYD458759:UYD458776 VHZ458759:VHZ458776 VRV458759:VRV458776 WBR458759:WBR458776 WLN458759:WLN458776 WVJ458759:WVJ458776 B524295:B524312 IX524295:IX524312 ST524295:ST524312 ACP524295:ACP524312 AML524295:AML524312 AWH524295:AWH524312 BGD524295:BGD524312 BPZ524295:BPZ524312 BZV524295:BZV524312 CJR524295:CJR524312 CTN524295:CTN524312 DDJ524295:DDJ524312 DNF524295:DNF524312 DXB524295:DXB524312 EGX524295:EGX524312 EQT524295:EQT524312 FAP524295:FAP524312 FKL524295:FKL524312 FUH524295:FUH524312 GED524295:GED524312 GNZ524295:GNZ524312 GXV524295:GXV524312 HHR524295:HHR524312 HRN524295:HRN524312 IBJ524295:IBJ524312 ILF524295:ILF524312 IVB524295:IVB524312 JEX524295:JEX524312 JOT524295:JOT524312 JYP524295:JYP524312 KIL524295:KIL524312 KSH524295:KSH524312 LCD524295:LCD524312 LLZ524295:LLZ524312 LVV524295:LVV524312 MFR524295:MFR524312 MPN524295:MPN524312 MZJ524295:MZJ524312 NJF524295:NJF524312 NTB524295:NTB524312 OCX524295:OCX524312 OMT524295:OMT524312 OWP524295:OWP524312 PGL524295:PGL524312 PQH524295:PQH524312 QAD524295:QAD524312 QJZ524295:QJZ524312 QTV524295:QTV524312 RDR524295:RDR524312 RNN524295:RNN524312 RXJ524295:RXJ524312 SHF524295:SHF524312 SRB524295:SRB524312 TAX524295:TAX524312 TKT524295:TKT524312 TUP524295:TUP524312 UEL524295:UEL524312 UOH524295:UOH524312 UYD524295:UYD524312 VHZ524295:VHZ524312 VRV524295:VRV524312 WBR524295:WBR524312 WLN524295:WLN524312 WVJ524295:WVJ524312 B589831:B589848 IX589831:IX589848 ST589831:ST589848 ACP589831:ACP589848 AML589831:AML589848 AWH589831:AWH589848 BGD589831:BGD589848 BPZ589831:BPZ589848 BZV589831:BZV589848 CJR589831:CJR589848 CTN589831:CTN589848 DDJ589831:DDJ589848 DNF589831:DNF589848 DXB589831:DXB589848 EGX589831:EGX589848 EQT589831:EQT589848 FAP589831:FAP589848 FKL589831:FKL589848 FUH589831:FUH589848 GED589831:GED589848 GNZ589831:GNZ589848 GXV589831:GXV589848 HHR589831:HHR589848 HRN589831:HRN589848 IBJ589831:IBJ589848 ILF589831:ILF589848 IVB589831:IVB589848 JEX589831:JEX589848 JOT589831:JOT589848 JYP589831:JYP589848 KIL589831:KIL589848 KSH589831:KSH589848 LCD589831:LCD589848 LLZ589831:LLZ589848 LVV589831:LVV589848 MFR589831:MFR589848 MPN589831:MPN589848 MZJ589831:MZJ589848 NJF589831:NJF589848 NTB589831:NTB589848 OCX589831:OCX589848 OMT589831:OMT589848 OWP589831:OWP589848 PGL589831:PGL589848 PQH589831:PQH589848 QAD589831:QAD589848 QJZ589831:QJZ589848 QTV589831:QTV589848 RDR589831:RDR589848 RNN589831:RNN589848 RXJ589831:RXJ589848 SHF589831:SHF589848 SRB589831:SRB589848 TAX589831:TAX589848 TKT589831:TKT589848 TUP589831:TUP589848 UEL589831:UEL589848 UOH589831:UOH589848 UYD589831:UYD589848 VHZ589831:VHZ589848 VRV589831:VRV589848 WBR589831:WBR589848 WLN589831:WLN589848 WVJ589831:WVJ589848 B655367:B655384 IX655367:IX655384 ST655367:ST655384 ACP655367:ACP655384 AML655367:AML655384 AWH655367:AWH655384 BGD655367:BGD655384 BPZ655367:BPZ655384 BZV655367:BZV655384 CJR655367:CJR655384 CTN655367:CTN655384 DDJ655367:DDJ655384 DNF655367:DNF655384 DXB655367:DXB655384 EGX655367:EGX655384 EQT655367:EQT655384 FAP655367:FAP655384 FKL655367:FKL655384 FUH655367:FUH655384 GED655367:GED655384 GNZ655367:GNZ655384 GXV655367:GXV655384 HHR655367:HHR655384 HRN655367:HRN655384 IBJ655367:IBJ655384 ILF655367:ILF655384 IVB655367:IVB655384 JEX655367:JEX655384 JOT655367:JOT655384 JYP655367:JYP655384 KIL655367:KIL655384 KSH655367:KSH655384 LCD655367:LCD655384 LLZ655367:LLZ655384 LVV655367:LVV655384 MFR655367:MFR655384 MPN655367:MPN655384 MZJ655367:MZJ655384 NJF655367:NJF655384 NTB655367:NTB655384 OCX655367:OCX655384 OMT655367:OMT655384 OWP655367:OWP655384 PGL655367:PGL655384 PQH655367:PQH655384 QAD655367:QAD655384 QJZ655367:QJZ655384 QTV655367:QTV655384 RDR655367:RDR655384 RNN655367:RNN655384 RXJ655367:RXJ655384 SHF655367:SHF655384 SRB655367:SRB655384 TAX655367:TAX655384 TKT655367:TKT655384 TUP655367:TUP655384 UEL655367:UEL655384 UOH655367:UOH655384 UYD655367:UYD655384 VHZ655367:VHZ655384 VRV655367:VRV655384 WBR655367:WBR655384 WLN655367:WLN655384 WVJ655367:WVJ655384 B720903:B720920 IX720903:IX720920 ST720903:ST720920 ACP720903:ACP720920 AML720903:AML720920 AWH720903:AWH720920 BGD720903:BGD720920 BPZ720903:BPZ720920 BZV720903:BZV720920 CJR720903:CJR720920 CTN720903:CTN720920 DDJ720903:DDJ720920 DNF720903:DNF720920 DXB720903:DXB720920 EGX720903:EGX720920 EQT720903:EQT720920 FAP720903:FAP720920 FKL720903:FKL720920 FUH720903:FUH720920 GED720903:GED720920 GNZ720903:GNZ720920 GXV720903:GXV720920 HHR720903:HHR720920 HRN720903:HRN720920 IBJ720903:IBJ720920 ILF720903:ILF720920 IVB720903:IVB720920 JEX720903:JEX720920 JOT720903:JOT720920 JYP720903:JYP720920 KIL720903:KIL720920 KSH720903:KSH720920 LCD720903:LCD720920 LLZ720903:LLZ720920 LVV720903:LVV720920 MFR720903:MFR720920 MPN720903:MPN720920 MZJ720903:MZJ720920 NJF720903:NJF720920 NTB720903:NTB720920 OCX720903:OCX720920 OMT720903:OMT720920 OWP720903:OWP720920 PGL720903:PGL720920 PQH720903:PQH720920 QAD720903:QAD720920 QJZ720903:QJZ720920 QTV720903:QTV720920 RDR720903:RDR720920 RNN720903:RNN720920 RXJ720903:RXJ720920 SHF720903:SHF720920 SRB720903:SRB720920 TAX720903:TAX720920 TKT720903:TKT720920 TUP720903:TUP720920 UEL720903:UEL720920 UOH720903:UOH720920 UYD720903:UYD720920 VHZ720903:VHZ720920 VRV720903:VRV720920 WBR720903:WBR720920 WLN720903:WLN720920 WVJ720903:WVJ720920 B786439:B786456 IX786439:IX786456 ST786439:ST786456 ACP786439:ACP786456 AML786439:AML786456 AWH786439:AWH786456 BGD786439:BGD786456 BPZ786439:BPZ786456 BZV786439:BZV786456 CJR786439:CJR786456 CTN786439:CTN786456 DDJ786439:DDJ786456 DNF786439:DNF786456 DXB786439:DXB786456 EGX786439:EGX786456 EQT786439:EQT786456 FAP786439:FAP786456 FKL786439:FKL786456 FUH786439:FUH786456 GED786439:GED786456 GNZ786439:GNZ786456 GXV786439:GXV786456 HHR786439:HHR786456 HRN786439:HRN786456 IBJ786439:IBJ786456 ILF786439:ILF786456 IVB786439:IVB786456 JEX786439:JEX786456 JOT786439:JOT786456 JYP786439:JYP786456 KIL786439:KIL786456 KSH786439:KSH786456 LCD786439:LCD786456 LLZ786439:LLZ786456 LVV786439:LVV786456 MFR786439:MFR786456 MPN786439:MPN786456 MZJ786439:MZJ786456 NJF786439:NJF786456 NTB786439:NTB786456 OCX786439:OCX786456 OMT786439:OMT786456 OWP786439:OWP786456 PGL786439:PGL786456 PQH786439:PQH786456 QAD786439:QAD786456 QJZ786439:QJZ786456 QTV786439:QTV786456 RDR786439:RDR786456 RNN786439:RNN786456 RXJ786439:RXJ786456 SHF786439:SHF786456 SRB786439:SRB786456 TAX786439:TAX786456 TKT786439:TKT786456 TUP786439:TUP786456 UEL786439:UEL786456 UOH786439:UOH786456 UYD786439:UYD786456 VHZ786439:VHZ786456 VRV786439:VRV786456 WBR786439:WBR786456 WLN786439:WLN786456 WVJ786439:WVJ786456 B851975:B851992 IX851975:IX851992 ST851975:ST851992 ACP851975:ACP851992 AML851975:AML851992 AWH851975:AWH851992 BGD851975:BGD851992 BPZ851975:BPZ851992 BZV851975:BZV851992 CJR851975:CJR851992 CTN851975:CTN851992 DDJ851975:DDJ851992 DNF851975:DNF851992 DXB851975:DXB851992 EGX851975:EGX851992 EQT851975:EQT851992 FAP851975:FAP851992 FKL851975:FKL851992 FUH851975:FUH851992 GED851975:GED851992 GNZ851975:GNZ851992 GXV851975:GXV851992 HHR851975:HHR851992 HRN851975:HRN851992 IBJ851975:IBJ851992 ILF851975:ILF851992 IVB851975:IVB851992 JEX851975:JEX851992 JOT851975:JOT851992 JYP851975:JYP851992 KIL851975:KIL851992 KSH851975:KSH851992 LCD851975:LCD851992 LLZ851975:LLZ851992 LVV851975:LVV851992 MFR851975:MFR851992 MPN851975:MPN851992 MZJ851975:MZJ851992 NJF851975:NJF851992 NTB851975:NTB851992 OCX851975:OCX851992 OMT851975:OMT851992 OWP851975:OWP851992 PGL851975:PGL851992 PQH851975:PQH851992 QAD851975:QAD851992 QJZ851975:QJZ851992 QTV851975:QTV851992 RDR851975:RDR851992 RNN851975:RNN851992 RXJ851975:RXJ851992 SHF851975:SHF851992 SRB851975:SRB851992 TAX851975:TAX851992 TKT851975:TKT851992 TUP851975:TUP851992 UEL851975:UEL851992 UOH851975:UOH851992 UYD851975:UYD851992 VHZ851975:VHZ851992 VRV851975:VRV851992 WBR851975:WBR851992 WLN851975:WLN851992 WVJ851975:WVJ851992 B917511:B917528 IX917511:IX917528 ST917511:ST917528 ACP917511:ACP917528 AML917511:AML917528 AWH917511:AWH917528 BGD917511:BGD917528 BPZ917511:BPZ917528 BZV917511:BZV917528 CJR917511:CJR917528 CTN917511:CTN917528 DDJ917511:DDJ917528 DNF917511:DNF917528 DXB917511:DXB917528 EGX917511:EGX917528 EQT917511:EQT917528 FAP917511:FAP917528 FKL917511:FKL917528 FUH917511:FUH917528 GED917511:GED917528 GNZ917511:GNZ917528 GXV917511:GXV917528 HHR917511:HHR917528 HRN917511:HRN917528 IBJ917511:IBJ917528 ILF917511:ILF917528 IVB917511:IVB917528 JEX917511:JEX917528 JOT917511:JOT917528 JYP917511:JYP917528 KIL917511:KIL917528 KSH917511:KSH917528 LCD917511:LCD917528 LLZ917511:LLZ917528 LVV917511:LVV917528 MFR917511:MFR917528 MPN917511:MPN917528 MZJ917511:MZJ917528 NJF917511:NJF917528 NTB917511:NTB917528 OCX917511:OCX917528 OMT917511:OMT917528 OWP917511:OWP917528 PGL917511:PGL917528 PQH917511:PQH917528 QAD917511:QAD917528 QJZ917511:QJZ917528 QTV917511:QTV917528 RDR917511:RDR917528 RNN917511:RNN917528 RXJ917511:RXJ917528 SHF917511:SHF917528 SRB917511:SRB917528 TAX917511:TAX917528 TKT917511:TKT917528 TUP917511:TUP917528 UEL917511:UEL917528 UOH917511:UOH917528 UYD917511:UYD917528 VHZ917511:VHZ917528 VRV917511:VRV917528 WBR917511:WBR917528 WLN917511:WLN917528 WVJ917511:WVJ917528" xr:uid="{00000000-0002-0000-1200-000000000000}">
      <formula1>trung</formula1>
    </dataValidation>
  </dataValidations>
  <pageMargins left="0.7" right="0.7" top="0.75" bottom="0.75" header="0.3" footer="0.3"/>
  <pageSetup paperSize="9" orientation="portrait" verticalDpi="0" copies="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showGridLines="0" defaultGridColor="0" view="pageBreakPreview" colorId="0" workbookViewId="0"/>
  </sheetViews>
  <sheetFormatPr defaultColWidth="8.8984375" defaultRowHeight="15"/>
  <sheetData/>
  <pageMargins left="0.7" right="0.7" top="0.75" bottom="0.75" header="0.3" footer="0.3"/>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356"/>
  <sheetViews>
    <sheetView topLeftCell="A15" workbookViewId="0">
      <selection activeCell="C35" sqref="C35"/>
    </sheetView>
  </sheetViews>
  <sheetFormatPr defaultColWidth="40.5" defaultRowHeight="15" customHeight="1" zeroHeight="1"/>
  <cols>
    <col min="1" max="1" width="4.19921875" style="16" customWidth="1"/>
    <col min="2" max="2" width="23.5" style="16" customWidth="1"/>
    <col min="3" max="3" width="5" style="87" customWidth="1"/>
    <col min="4" max="4" width="6.19921875" style="88" customWidth="1"/>
    <col min="5" max="5" width="10.8984375" style="89" customWidth="1"/>
    <col min="6" max="6" width="5.8984375" style="87" customWidth="1"/>
    <col min="7" max="7" width="11.8984375" style="89" customWidth="1"/>
    <col min="8" max="8" width="6.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53"/>
      <c r="G3" s="102"/>
      <c r="H3" s="103"/>
    </row>
    <row r="4" spans="1:8" s="98" customFormat="1" ht="18" customHeight="1">
      <c r="A4" s="414"/>
      <c r="B4" s="414"/>
      <c r="C4" s="415" t="s">
        <v>1740</v>
      </c>
      <c r="D4" s="416"/>
      <c r="E4" s="416"/>
      <c r="F4" s="416"/>
      <c r="G4" s="416"/>
      <c r="H4" s="416"/>
    </row>
    <row r="5" spans="1:8" s="98" customFormat="1" ht="15.6">
      <c r="A5" s="104"/>
      <c r="B5" s="104"/>
      <c r="C5" s="152"/>
      <c r="D5" s="105"/>
      <c r="E5" s="106"/>
      <c r="F5" s="152"/>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1830</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99.75" customHeight="1">
      <c r="A13" s="96" t="s">
        <v>17</v>
      </c>
      <c r="B13" s="425" t="s">
        <v>1831</v>
      </c>
      <c r="C13" s="425"/>
      <c r="D13" s="425"/>
      <c r="E13" s="425"/>
      <c r="F13" s="425"/>
      <c r="G13" s="73">
        <f>G14+G16</f>
        <v>192340000</v>
      </c>
      <c r="H13" s="74"/>
    </row>
    <row r="14" spans="1:8" s="131" customFormat="1" ht="40.5" customHeight="1">
      <c r="A14" s="123">
        <v>1</v>
      </c>
      <c r="B14" s="124" t="s">
        <v>1832</v>
      </c>
      <c r="C14" s="125" t="s">
        <v>1753</v>
      </c>
      <c r="D14" s="126">
        <v>12.9</v>
      </c>
      <c r="E14" s="127">
        <v>11800000</v>
      </c>
      <c r="F14" s="128">
        <v>1</v>
      </c>
      <c r="G14" s="129">
        <f>D14*E14*F14</f>
        <v>152220000</v>
      </c>
      <c r="H14" s="130"/>
    </row>
    <row r="15" spans="1:8" s="131" customFormat="1" ht="40.5" customHeight="1">
      <c r="A15" s="123">
        <v>2</v>
      </c>
      <c r="B15" s="124" t="s">
        <v>2035</v>
      </c>
      <c r="C15" s="125"/>
      <c r="D15" s="126"/>
      <c r="E15" s="127"/>
      <c r="F15" s="128"/>
      <c r="G15" s="129"/>
      <c r="H15" s="130"/>
    </row>
    <row r="16" spans="1:8" s="131" customFormat="1" ht="195.75" customHeight="1">
      <c r="A16" s="123"/>
      <c r="B16" s="124" t="s">
        <v>2054</v>
      </c>
      <c r="C16" s="125" t="s">
        <v>1753</v>
      </c>
      <c r="D16" s="126">
        <v>6.8</v>
      </c>
      <c r="E16" s="127">
        <v>11800000</v>
      </c>
      <c r="F16" s="188">
        <v>0.5</v>
      </c>
      <c r="G16" s="129">
        <f>D16*E16*F16</f>
        <v>40120000</v>
      </c>
      <c r="H16" s="130"/>
    </row>
    <row r="17" spans="1:8" ht="27" customHeight="1">
      <c r="A17" s="75" t="s">
        <v>18</v>
      </c>
      <c r="B17" s="426" t="s">
        <v>1725</v>
      </c>
      <c r="C17" s="426"/>
      <c r="D17" s="426"/>
      <c r="E17" s="426"/>
      <c r="F17" s="426"/>
      <c r="G17" s="76">
        <f>SUM(G18:G22)</f>
        <v>22625609.663600001</v>
      </c>
      <c r="H17" s="11"/>
    </row>
    <row r="18" spans="1:8" ht="31.2">
      <c r="A18" s="77">
        <v>1</v>
      </c>
      <c r="B18" s="78" t="s">
        <v>1833</v>
      </c>
      <c r="C18" s="14" t="s">
        <v>1754</v>
      </c>
      <c r="D18" s="132">
        <f>(8.3+11)*2.3*0.1</f>
        <v>4.4390000000000001</v>
      </c>
      <c r="E18" s="15">
        <v>1629758</v>
      </c>
      <c r="F18" s="14">
        <v>1</v>
      </c>
      <c r="G18" s="79">
        <f>D18*E18*F18</f>
        <v>7234495.7620000001</v>
      </c>
      <c r="H18" s="15"/>
    </row>
    <row r="19" spans="1:8" ht="31.2">
      <c r="A19" s="77">
        <v>2</v>
      </c>
      <c r="B19" s="78" t="s">
        <v>1834</v>
      </c>
      <c r="C19" s="14" t="s">
        <v>1754</v>
      </c>
      <c r="D19" s="132">
        <f>(1.1+1.3)*1.3*0.11</f>
        <v>0.34320000000000006</v>
      </c>
      <c r="E19" s="15">
        <v>2126713</v>
      </c>
      <c r="F19" s="14">
        <v>1</v>
      </c>
      <c r="G19" s="79">
        <f t="shared" ref="G19:G22" si="0">D19*E19*F19</f>
        <v>729887.9016000001</v>
      </c>
      <c r="H19" s="15"/>
    </row>
    <row r="20" spans="1:8" ht="33.75" customHeight="1">
      <c r="A20" s="77">
        <v>3</v>
      </c>
      <c r="B20" s="78" t="s">
        <v>1836</v>
      </c>
      <c r="C20" s="14" t="s">
        <v>66</v>
      </c>
      <c r="D20" s="132">
        <f>11*2.4</f>
        <v>26.4</v>
      </c>
      <c r="E20" s="15">
        <v>507361</v>
      </c>
      <c r="F20" s="14">
        <v>1</v>
      </c>
      <c r="G20" s="79">
        <f t="shared" si="0"/>
        <v>13394330.399999999</v>
      </c>
      <c r="H20" s="15"/>
    </row>
    <row r="21" spans="1:8" ht="46.8">
      <c r="A21" s="77">
        <v>4</v>
      </c>
      <c r="B21" s="78" t="s">
        <v>2049</v>
      </c>
      <c r="C21" s="14" t="s">
        <v>1755</v>
      </c>
      <c r="D21" s="132">
        <f>(10.76/6)*3*3</f>
        <v>16.14</v>
      </c>
      <c r="E21" s="15">
        <v>19900</v>
      </c>
      <c r="F21" s="14">
        <v>1</v>
      </c>
      <c r="G21" s="79">
        <f t="shared" si="0"/>
        <v>321186</v>
      </c>
      <c r="H21" s="15"/>
    </row>
    <row r="22" spans="1:8" ht="15.6">
      <c r="A22" s="77">
        <v>5</v>
      </c>
      <c r="B22" s="78" t="s">
        <v>1835</v>
      </c>
      <c r="C22" s="14" t="s">
        <v>66</v>
      </c>
      <c r="D22" s="132">
        <f>0.4*11</f>
        <v>4.4000000000000004</v>
      </c>
      <c r="E22" s="15">
        <v>214934</v>
      </c>
      <c r="F22" s="14">
        <v>1</v>
      </c>
      <c r="G22" s="79">
        <f t="shared" si="0"/>
        <v>945709.60000000009</v>
      </c>
      <c r="H22" s="15"/>
    </row>
    <row r="23" spans="1:8" ht="24" customHeight="1">
      <c r="A23" s="75" t="s">
        <v>19</v>
      </c>
      <c r="B23" s="426" t="s">
        <v>1727</v>
      </c>
      <c r="C23" s="426"/>
      <c r="D23" s="426"/>
      <c r="E23" s="426"/>
      <c r="F23" s="426"/>
      <c r="G23" s="76">
        <f>SUM(G24:G24)</f>
        <v>0</v>
      </c>
      <c r="H23" s="11"/>
    </row>
    <row r="24" spans="1:8" ht="30.6" customHeight="1">
      <c r="A24" s="77"/>
      <c r="B24" s="78" t="s">
        <v>1728</v>
      </c>
      <c r="C24" s="13"/>
      <c r="D24" s="13"/>
      <c r="E24" s="13"/>
      <c r="F24" s="13"/>
      <c r="G24" s="79"/>
      <c r="H24" s="15"/>
    </row>
    <row r="25" spans="1:8" ht="15.6">
      <c r="A25" s="80"/>
      <c r="B25" s="427" t="s">
        <v>62</v>
      </c>
      <c r="C25" s="428"/>
      <c r="D25" s="428"/>
      <c r="E25" s="428"/>
      <c r="F25" s="429"/>
      <c r="G25" s="81">
        <f>G13+G17+G23</f>
        <v>214965609.6636</v>
      </c>
      <c r="H25" s="82"/>
    </row>
    <row r="26" spans="1:8" ht="15.6">
      <c r="A26" s="80"/>
      <c r="B26" s="427" t="s">
        <v>1726</v>
      </c>
      <c r="C26" s="428"/>
      <c r="D26" s="428"/>
      <c r="E26" s="428"/>
      <c r="F26" s="429"/>
      <c r="G26" s="81">
        <f>ROUND(G25,-3)</f>
        <v>214966000</v>
      </c>
      <c r="H26" s="82"/>
    </row>
    <row r="27" spans="1:8" ht="15.6">
      <c r="A27" s="430" t="e" cm="1">
        <f t="array" aca="1" ref="A27" ca="1">[22]!vnd(G26)</f>
        <v>#NAME?</v>
      </c>
      <c r="B27" s="431"/>
      <c r="C27" s="431"/>
      <c r="D27" s="431"/>
      <c r="E27" s="431"/>
      <c r="F27" s="431"/>
      <c r="G27" s="431"/>
      <c r="H27" s="432"/>
    </row>
    <row r="28" spans="1:8">
      <c r="A28" s="17"/>
      <c r="B28" s="17"/>
      <c r="C28" s="97"/>
      <c r="D28" s="20"/>
      <c r="E28" s="19"/>
      <c r="F28" s="97"/>
      <c r="G28" s="19"/>
      <c r="H28" s="17"/>
    </row>
    <row r="29" spans="1:8" s="109" customFormat="1" ht="16.5" customHeight="1">
      <c r="A29" s="108"/>
      <c r="B29" s="108"/>
      <c r="C29" s="424" t="s">
        <v>1742</v>
      </c>
      <c r="D29" s="424"/>
      <c r="E29" s="424"/>
      <c r="F29" s="424"/>
      <c r="G29" s="424"/>
      <c r="H29" s="424"/>
    </row>
    <row r="30" spans="1:8" s="109" customFormat="1" ht="16.5" customHeight="1">
      <c r="A30" s="423" t="s">
        <v>63</v>
      </c>
      <c r="B30" s="423"/>
      <c r="C30" s="424" t="s">
        <v>1743</v>
      </c>
      <c r="D30" s="424"/>
      <c r="E30" s="424"/>
      <c r="F30" s="424" t="s">
        <v>1744</v>
      </c>
      <c r="G30" s="424"/>
      <c r="H30" s="424"/>
    </row>
    <row r="31" spans="1:8" s="109" customFormat="1" ht="15.6">
      <c r="A31" s="108"/>
      <c r="B31" s="108"/>
      <c r="C31" s="108"/>
      <c r="D31" s="110"/>
      <c r="E31" s="111"/>
      <c r="F31" s="112"/>
      <c r="G31" s="111"/>
      <c r="H31" s="113"/>
    </row>
    <row r="32" spans="1:8" s="109" customFormat="1" ht="15.6">
      <c r="A32" s="108"/>
      <c r="B32" s="108"/>
      <c r="C32" s="108"/>
      <c r="D32" s="110"/>
      <c r="E32" s="111"/>
      <c r="F32" s="112"/>
      <c r="G32" s="114"/>
      <c r="H32" s="113"/>
    </row>
    <row r="33" spans="1:8" s="109" customFormat="1" ht="15.6">
      <c r="A33" s="108"/>
      <c r="B33" s="108"/>
      <c r="C33" s="108"/>
      <c r="D33" s="110"/>
      <c r="E33" s="111"/>
      <c r="F33" s="112"/>
      <c r="G33" s="111"/>
      <c r="H33" s="113"/>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6.5" customHeight="1">
      <c r="A36" s="108"/>
      <c r="B36" s="150" t="s">
        <v>64</v>
      </c>
      <c r="C36" s="424"/>
      <c r="D36" s="424"/>
      <c r="E36" s="424"/>
      <c r="F36" s="424" t="s">
        <v>1745</v>
      </c>
      <c r="G36" s="424"/>
      <c r="H36" s="424"/>
    </row>
    <row r="37" spans="1:8" s="109" customFormat="1" ht="15.6">
      <c r="A37" s="108"/>
      <c r="B37" s="150"/>
      <c r="C37" s="151"/>
      <c r="D37" s="151"/>
      <c r="E37" s="151"/>
      <c r="F37" s="151"/>
      <c r="G37" s="151"/>
      <c r="H37" s="151"/>
    </row>
    <row r="38" spans="1:8" s="109" customFormat="1" ht="15" customHeight="1">
      <c r="A38" s="424" t="s">
        <v>1746</v>
      </c>
      <c r="B38" s="424"/>
      <c r="C38" s="424"/>
      <c r="D38" s="424"/>
      <c r="E38" s="424" t="s">
        <v>1747</v>
      </c>
      <c r="F38" s="424"/>
      <c r="G38" s="424"/>
      <c r="H38" s="424"/>
    </row>
    <row r="39" spans="1:8" s="109" customFormat="1" ht="33.6" customHeight="1">
      <c r="A39" s="424" t="s">
        <v>1748</v>
      </c>
      <c r="B39" s="424"/>
      <c r="C39" s="424"/>
      <c r="D39" s="424"/>
      <c r="E39" s="424" t="s">
        <v>65</v>
      </c>
      <c r="F39" s="424"/>
      <c r="G39" s="424"/>
      <c r="H39" s="424"/>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 r="A43" s="108"/>
      <c r="B43" s="108"/>
      <c r="C43" s="108"/>
      <c r="D43" s="110"/>
      <c r="E43" s="111"/>
      <c r="F43" s="112"/>
      <c r="G43" s="111"/>
      <c r="H43" s="113"/>
    </row>
    <row r="44" spans="1:8" s="109" customFormat="1" ht="15.6">
      <c r="A44" s="108"/>
      <c r="B44" s="108"/>
      <c r="C44" s="108"/>
      <c r="D44" s="110"/>
      <c r="E44" s="111"/>
      <c r="F44" s="112"/>
      <c r="G44" s="111"/>
      <c r="H44" s="113"/>
    </row>
    <row r="45" spans="1:8" s="109" customFormat="1" ht="15.6" customHeight="1">
      <c r="A45" s="108"/>
      <c r="B45" s="108"/>
      <c r="C45" s="108"/>
      <c r="D45" s="115"/>
      <c r="E45" s="439" t="s">
        <v>1749</v>
      </c>
      <c r="F45" s="439"/>
      <c r="G45" s="439"/>
      <c r="H45" s="439"/>
    </row>
    <row r="46" spans="1:8" s="109" customFormat="1" ht="16.5" customHeight="1">
      <c r="A46" s="424" t="s">
        <v>1751</v>
      </c>
      <c r="B46" s="424"/>
      <c r="C46" s="424"/>
      <c r="D46" s="424"/>
      <c r="E46" s="424" t="s">
        <v>1750</v>
      </c>
      <c r="F46" s="424"/>
      <c r="G46" s="424"/>
      <c r="H46" s="424"/>
    </row>
    <row r="47" spans="1:8" s="118" customFormat="1" ht="16.2" customHeight="1">
      <c r="A47" s="440"/>
      <c r="B47" s="440"/>
      <c r="C47" s="116"/>
      <c r="D47" s="117"/>
      <c r="E47" s="440"/>
      <c r="F47" s="440"/>
      <c r="G47" s="440"/>
      <c r="H47" s="440"/>
    </row>
    <row r="48" spans="1:8" s="118" customFormat="1" ht="15.75" customHeight="1">
      <c r="A48" s="440"/>
      <c r="B48" s="440"/>
      <c r="C48" s="440"/>
      <c r="D48" s="440"/>
      <c r="E48" s="440"/>
      <c r="F48" s="440"/>
      <c r="G48" s="440"/>
      <c r="H48" s="440"/>
    </row>
    <row r="49" spans="1:8" s="98" customFormat="1" ht="16.2" customHeight="1">
      <c r="A49" s="436"/>
      <c r="B49" s="436"/>
      <c r="C49" s="436"/>
      <c r="D49" s="436"/>
      <c r="E49" s="119"/>
      <c r="F49" s="120"/>
      <c r="G49" s="119"/>
      <c r="H49" s="121"/>
    </row>
    <row r="50" spans="1:8" s="98" customFormat="1" ht="16.2" customHeight="1">
      <c r="A50" s="436"/>
      <c r="B50" s="436"/>
      <c r="C50" s="436"/>
      <c r="D50" s="436"/>
      <c r="E50" s="119"/>
      <c r="F50" s="120"/>
      <c r="G50" s="119"/>
      <c r="H50" s="121"/>
    </row>
    <row r="51" spans="1:8" s="98" customFormat="1" ht="16.2" customHeight="1">
      <c r="A51" s="121"/>
      <c r="B51" s="121"/>
      <c r="C51" s="121"/>
      <c r="D51" s="122"/>
      <c r="E51" s="119"/>
      <c r="F51" s="120"/>
      <c r="G51" s="119"/>
      <c r="H51" s="121"/>
    </row>
    <row r="52" spans="1:8" ht="16.2" customHeight="1">
      <c r="A52" s="83"/>
      <c r="B52" s="83"/>
      <c r="C52" s="83"/>
      <c r="D52" s="84"/>
      <c r="E52" s="85"/>
      <c r="F52" s="86"/>
      <c r="G52" s="85"/>
      <c r="H52" s="83"/>
    </row>
    <row r="53" spans="1:8" ht="16.2" customHeight="1">
      <c r="A53" s="83"/>
      <c r="B53" s="83"/>
      <c r="C53" s="83"/>
      <c r="D53" s="84"/>
      <c r="E53" s="85"/>
      <c r="F53" s="86"/>
      <c r="G53" s="85"/>
      <c r="H53" s="83"/>
    </row>
    <row r="54" spans="1:8" ht="16.2" customHeight="1">
      <c r="A54" s="83"/>
      <c r="B54" s="83"/>
      <c r="C54" s="83"/>
      <c r="D54" s="84"/>
      <c r="E54" s="85"/>
      <c r="F54" s="86"/>
      <c r="G54" s="85"/>
      <c r="H54" s="83"/>
    </row>
    <row r="55" spans="1:8" ht="16.2" customHeight="1">
      <c r="A55" s="83"/>
      <c r="B55" s="83"/>
      <c r="C55" s="83"/>
      <c r="D55" s="84"/>
      <c r="E55" s="437"/>
      <c r="F55" s="437"/>
      <c r="G55" s="437"/>
      <c r="H55" s="437"/>
    </row>
    <row r="56" spans="1:8" ht="20.25" customHeight="1">
      <c r="A56" s="438"/>
      <c r="B56" s="438"/>
      <c r="C56" s="438"/>
      <c r="D56" s="438"/>
      <c r="E56" s="438"/>
      <c r="F56" s="438"/>
      <c r="G56" s="438"/>
      <c r="H56" s="438"/>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row r="232"/>
    <row r="233"/>
    <row r="234"/>
    <row r="235"/>
    <row r="236"/>
    <row r="237"/>
    <row r="238"/>
    <row r="239"/>
    <row r="240"/>
    <row r="241"/>
    <row r="242"/>
    <row r="243"/>
    <row r="244"/>
    <row r="245"/>
    <row r="246"/>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sheetData>
  <mergeCells count="40">
    <mergeCell ref="A4:B4"/>
    <mergeCell ref="C4:H4"/>
    <mergeCell ref="A1:B1"/>
    <mergeCell ref="C1:H1"/>
    <mergeCell ref="A2:B2"/>
    <mergeCell ref="C2:H2"/>
    <mergeCell ref="A3:B3"/>
    <mergeCell ref="A27:H27"/>
    <mergeCell ref="A6:H6"/>
    <mergeCell ref="A7:H7"/>
    <mergeCell ref="A8:H8"/>
    <mergeCell ref="A9:H9"/>
    <mergeCell ref="A10:H10"/>
    <mergeCell ref="A11:H11"/>
    <mergeCell ref="B13:F13"/>
    <mergeCell ref="B17:F17"/>
    <mergeCell ref="B23:F23"/>
    <mergeCell ref="B25:F25"/>
    <mergeCell ref="B26:F26"/>
    <mergeCell ref="A46:D46"/>
    <mergeCell ref="E46:H46"/>
    <mergeCell ref="C29:H29"/>
    <mergeCell ref="A30:B30"/>
    <mergeCell ref="C30:E30"/>
    <mergeCell ref="F30:H30"/>
    <mergeCell ref="C36:E36"/>
    <mergeCell ref="F36:H36"/>
    <mergeCell ref="A38:D38"/>
    <mergeCell ref="E38:H38"/>
    <mergeCell ref="A39:D39"/>
    <mergeCell ref="E39:H39"/>
    <mergeCell ref="E45:H45"/>
    <mergeCell ref="E55:H55"/>
    <mergeCell ref="A56:H56"/>
    <mergeCell ref="A47:B47"/>
    <mergeCell ref="E47:H47"/>
    <mergeCell ref="A48:D48"/>
    <mergeCell ref="E48:H48"/>
    <mergeCell ref="A49:D49"/>
    <mergeCell ref="A50:D50"/>
  </mergeCells>
  <dataValidations count="1">
    <dataValidation type="list" allowBlank="1" showInputMessage="1" showErrorMessage="1" sqref="WVJ983048:WVJ983065 B983048:B983065 IX983048:IX983065 ST983048:ST983065 ACP983048:ACP983065 AML983048:AML983065 AWH983048:AWH983065 BGD983048:BGD983065 BPZ983048:BPZ983065 BZV983048:BZV983065 CJR983048:CJR983065 CTN983048:CTN983065 DDJ983048:DDJ983065 DNF983048:DNF983065 DXB983048:DXB983065 EGX983048:EGX983065 EQT983048:EQT983065 FAP983048:FAP983065 FKL983048:FKL983065 FUH983048:FUH983065 GED983048:GED983065 GNZ983048:GNZ983065 GXV983048:GXV983065 HHR983048:HHR983065 HRN983048:HRN983065 IBJ983048:IBJ983065 ILF983048:ILF983065 IVB983048:IVB983065 JEX983048:JEX983065 JOT983048:JOT983065 JYP983048:JYP983065 KIL983048:KIL983065 KSH983048:KSH983065 LCD983048:LCD983065 LLZ983048:LLZ983065 LVV983048:LVV983065 MFR983048:MFR983065 MPN983048:MPN983065 MZJ983048:MZJ983065 NJF983048:NJF983065 NTB983048:NTB983065 OCX983048:OCX983065 OMT983048:OMT983065 OWP983048:OWP983065 PGL983048:PGL983065 PQH983048:PQH983065 QAD983048:QAD983065 QJZ983048:QJZ983065 QTV983048:QTV983065 RDR983048:RDR983065 RNN983048:RNN983065 RXJ983048:RXJ983065 SHF983048:SHF983065 SRB983048:SRB983065 TAX983048:TAX983065 TKT983048:TKT983065 TUP983048:TUP983065 UEL983048:UEL983065 UOH983048:UOH983065 UYD983048:UYD983065 VHZ983048:VHZ983065 VRV983048:VRV983065 WBR983048:WBR983065 WLN983048:WLN983065 B65544:B65561 IX65544:IX65561 ST65544:ST65561 ACP65544:ACP65561 AML65544:AML65561 AWH65544:AWH65561 BGD65544:BGD65561 BPZ65544:BPZ65561 BZV65544:BZV65561 CJR65544:CJR65561 CTN65544:CTN65561 DDJ65544:DDJ65561 DNF65544:DNF65561 DXB65544:DXB65561 EGX65544:EGX65561 EQT65544:EQT65561 FAP65544:FAP65561 FKL65544:FKL65561 FUH65544:FUH65561 GED65544:GED65561 GNZ65544:GNZ65561 GXV65544:GXV65561 HHR65544:HHR65561 HRN65544:HRN65561 IBJ65544:IBJ65561 ILF65544:ILF65561 IVB65544:IVB65561 JEX65544:JEX65561 JOT65544:JOT65561 JYP65544:JYP65561 KIL65544:KIL65561 KSH65544:KSH65561 LCD65544:LCD65561 LLZ65544:LLZ65561 LVV65544:LVV65561 MFR65544:MFR65561 MPN65544:MPN65561 MZJ65544:MZJ65561 NJF65544:NJF65561 NTB65544:NTB65561 OCX65544:OCX65561 OMT65544:OMT65561 OWP65544:OWP65561 PGL65544:PGL65561 PQH65544:PQH65561 QAD65544:QAD65561 QJZ65544:QJZ65561 QTV65544:QTV65561 RDR65544:RDR65561 RNN65544:RNN65561 RXJ65544:RXJ65561 SHF65544:SHF65561 SRB65544:SRB65561 TAX65544:TAX65561 TKT65544:TKT65561 TUP65544:TUP65561 UEL65544:UEL65561 UOH65544:UOH65561 UYD65544:UYD65561 VHZ65544:VHZ65561 VRV65544:VRV65561 WBR65544:WBR65561 WLN65544:WLN65561 WVJ65544:WVJ65561 B131080:B131097 IX131080:IX131097 ST131080:ST131097 ACP131080:ACP131097 AML131080:AML131097 AWH131080:AWH131097 BGD131080:BGD131097 BPZ131080:BPZ131097 BZV131080:BZV131097 CJR131080:CJR131097 CTN131080:CTN131097 DDJ131080:DDJ131097 DNF131080:DNF131097 DXB131080:DXB131097 EGX131080:EGX131097 EQT131080:EQT131097 FAP131080:FAP131097 FKL131080:FKL131097 FUH131080:FUH131097 GED131080:GED131097 GNZ131080:GNZ131097 GXV131080:GXV131097 HHR131080:HHR131097 HRN131080:HRN131097 IBJ131080:IBJ131097 ILF131080:ILF131097 IVB131080:IVB131097 JEX131080:JEX131097 JOT131080:JOT131097 JYP131080:JYP131097 KIL131080:KIL131097 KSH131080:KSH131097 LCD131080:LCD131097 LLZ131080:LLZ131097 LVV131080:LVV131097 MFR131080:MFR131097 MPN131080:MPN131097 MZJ131080:MZJ131097 NJF131080:NJF131097 NTB131080:NTB131097 OCX131080:OCX131097 OMT131080:OMT131097 OWP131080:OWP131097 PGL131080:PGL131097 PQH131080:PQH131097 QAD131080:QAD131097 QJZ131080:QJZ131097 QTV131080:QTV131097 RDR131080:RDR131097 RNN131080:RNN131097 RXJ131080:RXJ131097 SHF131080:SHF131097 SRB131080:SRB131097 TAX131080:TAX131097 TKT131080:TKT131097 TUP131080:TUP131097 UEL131080:UEL131097 UOH131080:UOH131097 UYD131080:UYD131097 VHZ131080:VHZ131097 VRV131080:VRV131097 WBR131080:WBR131097 WLN131080:WLN131097 WVJ131080:WVJ131097 B196616:B196633 IX196616:IX196633 ST196616:ST196633 ACP196616:ACP196633 AML196616:AML196633 AWH196616:AWH196633 BGD196616:BGD196633 BPZ196616:BPZ196633 BZV196616:BZV196633 CJR196616:CJR196633 CTN196616:CTN196633 DDJ196616:DDJ196633 DNF196616:DNF196633 DXB196616:DXB196633 EGX196616:EGX196633 EQT196616:EQT196633 FAP196616:FAP196633 FKL196616:FKL196633 FUH196616:FUH196633 GED196616:GED196633 GNZ196616:GNZ196633 GXV196616:GXV196633 HHR196616:HHR196633 HRN196616:HRN196633 IBJ196616:IBJ196633 ILF196616:ILF196633 IVB196616:IVB196633 JEX196616:JEX196633 JOT196616:JOT196633 JYP196616:JYP196633 KIL196616:KIL196633 KSH196616:KSH196633 LCD196616:LCD196633 LLZ196616:LLZ196633 LVV196616:LVV196633 MFR196616:MFR196633 MPN196616:MPN196633 MZJ196616:MZJ196633 NJF196616:NJF196633 NTB196616:NTB196633 OCX196616:OCX196633 OMT196616:OMT196633 OWP196616:OWP196633 PGL196616:PGL196633 PQH196616:PQH196633 QAD196616:QAD196633 QJZ196616:QJZ196633 QTV196616:QTV196633 RDR196616:RDR196633 RNN196616:RNN196633 RXJ196616:RXJ196633 SHF196616:SHF196633 SRB196616:SRB196633 TAX196616:TAX196633 TKT196616:TKT196633 TUP196616:TUP196633 UEL196616:UEL196633 UOH196616:UOH196633 UYD196616:UYD196633 VHZ196616:VHZ196633 VRV196616:VRV196633 WBR196616:WBR196633 WLN196616:WLN196633 WVJ196616:WVJ196633 B262152:B262169 IX262152:IX262169 ST262152:ST262169 ACP262152:ACP262169 AML262152:AML262169 AWH262152:AWH262169 BGD262152:BGD262169 BPZ262152:BPZ262169 BZV262152:BZV262169 CJR262152:CJR262169 CTN262152:CTN262169 DDJ262152:DDJ262169 DNF262152:DNF262169 DXB262152:DXB262169 EGX262152:EGX262169 EQT262152:EQT262169 FAP262152:FAP262169 FKL262152:FKL262169 FUH262152:FUH262169 GED262152:GED262169 GNZ262152:GNZ262169 GXV262152:GXV262169 HHR262152:HHR262169 HRN262152:HRN262169 IBJ262152:IBJ262169 ILF262152:ILF262169 IVB262152:IVB262169 JEX262152:JEX262169 JOT262152:JOT262169 JYP262152:JYP262169 KIL262152:KIL262169 KSH262152:KSH262169 LCD262152:LCD262169 LLZ262152:LLZ262169 LVV262152:LVV262169 MFR262152:MFR262169 MPN262152:MPN262169 MZJ262152:MZJ262169 NJF262152:NJF262169 NTB262152:NTB262169 OCX262152:OCX262169 OMT262152:OMT262169 OWP262152:OWP262169 PGL262152:PGL262169 PQH262152:PQH262169 QAD262152:QAD262169 QJZ262152:QJZ262169 QTV262152:QTV262169 RDR262152:RDR262169 RNN262152:RNN262169 RXJ262152:RXJ262169 SHF262152:SHF262169 SRB262152:SRB262169 TAX262152:TAX262169 TKT262152:TKT262169 TUP262152:TUP262169 UEL262152:UEL262169 UOH262152:UOH262169 UYD262152:UYD262169 VHZ262152:VHZ262169 VRV262152:VRV262169 WBR262152:WBR262169 WLN262152:WLN262169 WVJ262152:WVJ262169 B327688:B327705 IX327688:IX327705 ST327688:ST327705 ACP327688:ACP327705 AML327688:AML327705 AWH327688:AWH327705 BGD327688:BGD327705 BPZ327688:BPZ327705 BZV327688:BZV327705 CJR327688:CJR327705 CTN327688:CTN327705 DDJ327688:DDJ327705 DNF327688:DNF327705 DXB327688:DXB327705 EGX327688:EGX327705 EQT327688:EQT327705 FAP327688:FAP327705 FKL327688:FKL327705 FUH327688:FUH327705 GED327688:GED327705 GNZ327688:GNZ327705 GXV327688:GXV327705 HHR327688:HHR327705 HRN327688:HRN327705 IBJ327688:IBJ327705 ILF327688:ILF327705 IVB327688:IVB327705 JEX327688:JEX327705 JOT327688:JOT327705 JYP327688:JYP327705 KIL327688:KIL327705 KSH327688:KSH327705 LCD327688:LCD327705 LLZ327688:LLZ327705 LVV327688:LVV327705 MFR327688:MFR327705 MPN327688:MPN327705 MZJ327688:MZJ327705 NJF327688:NJF327705 NTB327688:NTB327705 OCX327688:OCX327705 OMT327688:OMT327705 OWP327688:OWP327705 PGL327688:PGL327705 PQH327688:PQH327705 QAD327688:QAD327705 QJZ327688:QJZ327705 QTV327688:QTV327705 RDR327688:RDR327705 RNN327688:RNN327705 RXJ327688:RXJ327705 SHF327688:SHF327705 SRB327688:SRB327705 TAX327688:TAX327705 TKT327688:TKT327705 TUP327688:TUP327705 UEL327688:UEL327705 UOH327688:UOH327705 UYD327688:UYD327705 VHZ327688:VHZ327705 VRV327688:VRV327705 WBR327688:WBR327705 WLN327688:WLN327705 WVJ327688:WVJ327705 B393224:B393241 IX393224:IX393241 ST393224:ST393241 ACP393224:ACP393241 AML393224:AML393241 AWH393224:AWH393241 BGD393224:BGD393241 BPZ393224:BPZ393241 BZV393224:BZV393241 CJR393224:CJR393241 CTN393224:CTN393241 DDJ393224:DDJ393241 DNF393224:DNF393241 DXB393224:DXB393241 EGX393224:EGX393241 EQT393224:EQT393241 FAP393224:FAP393241 FKL393224:FKL393241 FUH393224:FUH393241 GED393224:GED393241 GNZ393224:GNZ393241 GXV393224:GXV393241 HHR393224:HHR393241 HRN393224:HRN393241 IBJ393224:IBJ393241 ILF393224:ILF393241 IVB393224:IVB393241 JEX393224:JEX393241 JOT393224:JOT393241 JYP393224:JYP393241 KIL393224:KIL393241 KSH393224:KSH393241 LCD393224:LCD393241 LLZ393224:LLZ393241 LVV393224:LVV393241 MFR393224:MFR393241 MPN393224:MPN393241 MZJ393224:MZJ393241 NJF393224:NJF393241 NTB393224:NTB393241 OCX393224:OCX393241 OMT393224:OMT393241 OWP393224:OWP393241 PGL393224:PGL393241 PQH393224:PQH393241 QAD393224:QAD393241 QJZ393224:QJZ393241 QTV393224:QTV393241 RDR393224:RDR393241 RNN393224:RNN393241 RXJ393224:RXJ393241 SHF393224:SHF393241 SRB393224:SRB393241 TAX393224:TAX393241 TKT393224:TKT393241 TUP393224:TUP393241 UEL393224:UEL393241 UOH393224:UOH393241 UYD393224:UYD393241 VHZ393224:VHZ393241 VRV393224:VRV393241 WBR393224:WBR393241 WLN393224:WLN393241 WVJ393224:WVJ393241 B458760:B458777 IX458760:IX458777 ST458760:ST458777 ACP458760:ACP458777 AML458760:AML458777 AWH458760:AWH458777 BGD458760:BGD458777 BPZ458760:BPZ458777 BZV458760:BZV458777 CJR458760:CJR458777 CTN458760:CTN458777 DDJ458760:DDJ458777 DNF458760:DNF458777 DXB458760:DXB458777 EGX458760:EGX458777 EQT458760:EQT458777 FAP458760:FAP458777 FKL458760:FKL458777 FUH458760:FUH458777 GED458760:GED458777 GNZ458760:GNZ458777 GXV458760:GXV458777 HHR458760:HHR458777 HRN458760:HRN458777 IBJ458760:IBJ458777 ILF458760:ILF458777 IVB458760:IVB458777 JEX458760:JEX458777 JOT458760:JOT458777 JYP458760:JYP458777 KIL458760:KIL458777 KSH458760:KSH458777 LCD458760:LCD458777 LLZ458760:LLZ458777 LVV458760:LVV458777 MFR458760:MFR458777 MPN458760:MPN458777 MZJ458760:MZJ458777 NJF458760:NJF458777 NTB458760:NTB458777 OCX458760:OCX458777 OMT458760:OMT458777 OWP458760:OWP458777 PGL458760:PGL458777 PQH458760:PQH458777 QAD458760:QAD458777 QJZ458760:QJZ458777 QTV458760:QTV458777 RDR458760:RDR458777 RNN458760:RNN458777 RXJ458760:RXJ458777 SHF458760:SHF458777 SRB458760:SRB458777 TAX458760:TAX458777 TKT458760:TKT458777 TUP458760:TUP458777 UEL458760:UEL458777 UOH458760:UOH458777 UYD458760:UYD458777 VHZ458760:VHZ458777 VRV458760:VRV458777 WBR458760:WBR458777 WLN458760:WLN458777 WVJ458760:WVJ458777 B524296:B524313 IX524296:IX524313 ST524296:ST524313 ACP524296:ACP524313 AML524296:AML524313 AWH524296:AWH524313 BGD524296:BGD524313 BPZ524296:BPZ524313 BZV524296:BZV524313 CJR524296:CJR524313 CTN524296:CTN524313 DDJ524296:DDJ524313 DNF524296:DNF524313 DXB524296:DXB524313 EGX524296:EGX524313 EQT524296:EQT524313 FAP524296:FAP524313 FKL524296:FKL524313 FUH524296:FUH524313 GED524296:GED524313 GNZ524296:GNZ524313 GXV524296:GXV524313 HHR524296:HHR524313 HRN524296:HRN524313 IBJ524296:IBJ524313 ILF524296:ILF524313 IVB524296:IVB524313 JEX524296:JEX524313 JOT524296:JOT524313 JYP524296:JYP524313 KIL524296:KIL524313 KSH524296:KSH524313 LCD524296:LCD524313 LLZ524296:LLZ524313 LVV524296:LVV524313 MFR524296:MFR524313 MPN524296:MPN524313 MZJ524296:MZJ524313 NJF524296:NJF524313 NTB524296:NTB524313 OCX524296:OCX524313 OMT524296:OMT524313 OWP524296:OWP524313 PGL524296:PGL524313 PQH524296:PQH524313 QAD524296:QAD524313 QJZ524296:QJZ524313 QTV524296:QTV524313 RDR524296:RDR524313 RNN524296:RNN524313 RXJ524296:RXJ524313 SHF524296:SHF524313 SRB524296:SRB524313 TAX524296:TAX524313 TKT524296:TKT524313 TUP524296:TUP524313 UEL524296:UEL524313 UOH524296:UOH524313 UYD524296:UYD524313 VHZ524296:VHZ524313 VRV524296:VRV524313 WBR524296:WBR524313 WLN524296:WLN524313 WVJ524296:WVJ524313 B589832:B589849 IX589832:IX589849 ST589832:ST589849 ACP589832:ACP589849 AML589832:AML589849 AWH589832:AWH589849 BGD589832:BGD589849 BPZ589832:BPZ589849 BZV589832:BZV589849 CJR589832:CJR589849 CTN589832:CTN589849 DDJ589832:DDJ589849 DNF589832:DNF589849 DXB589832:DXB589849 EGX589832:EGX589849 EQT589832:EQT589849 FAP589832:FAP589849 FKL589832:FKL589849 FUH589832:FUH589849 GED589832:GED589849 GNZ589832:GNZ589849 GXV589832:GXV589849 HHR589832:HHR589849 HRN589832:HRN589849 IBJ589832:IBJ589849 ILF589832:ILF589849 IVB589832:IVB589849 JEX589832:JEX589849 JOT589832:JOT589849 JYP589832:JYP589849 KIL589832:KIL589849 KSH589832:KSH589849 LCD589832:LCD589849 LLZ589832:LLZ589849 LVV589832:LVV589849 MFR589832:MFR589849 MPN589832:MPN589849 MZJ589832:MZJ589849 NJF589832:NJF589849 NTB589832:NTB589849 OCX589832:OCX589849 OMT589832:OMT589849 OWP589832:OWP589849 PGL589832:PGL589849 PQH589832:PQH589849 QAD589832:QAD589849 QJZ589832:QJZ589849 QTV589832:QTV589849 RDR589832:RDR589849 RNN589832:RNN589849 RXJ589832:RXJ589849 SHF589832:SHF589849 SRB589832:SRB589849 TAX589832:TAX589849 TKT589832:TKT589849 TUP589832:TUP589849 UEL589832:UEL589849 UOH589832:UOH589849 UYD589832:UYD589849 VHZ589832:VHZ589849 VRV589832:VRV589849 WBR589832:WBR589849 WLN589832:WLN589849 WVJ589832:WVJ589849 B655368:B655385 IX655368:IX655385 ST655368:ST655385 ACP655368:ACP655385 AML655368:AML655385 AWH655368:AWH655385 BGD655368:BGD655385 BPZ655368:BPZ655385 BZV655368:BZV655385 CJR655368:CJR655385 CTN655368:CTN655385 DDJ655368:DDJ655385 DNF655368:DNF655385 DXB655368:DXB655385 EGX655368:EGX655385 EQT655368:EQT655385 FAP655368:FAP655385 FKL655368:FKL655385 FUH655368:FUH655385 GED655368:GED655385 GNZ655368:GNZ655385 GXV655368:GXV655385 HHR655368:HHR655385 HRN655368:HRN655385 IBJ655368:IBJ655385 ILF655368:ILF655385 IVB655368:IVB655385 JEX655368:JEX655385 JOT655368:JOT655385 JYP655368:JYP655385 KIL655368:KIL655385 KSH655368:KSH655385 LCD655368:LCD655385 LLZ655368:LLZ655385 LVV655368:LVV655385 MFR655368:MFR655385 MPN655368:MPN655385 MZJ655368:MZJ655385 NJF655368:NJF655385 NTB655368:NTB655385 OCX655368:OCX655385 OMT655368:OMT655385 OWP655368:OWP655385 PGL655368:PGL655385 PQH655368:PQH655385 QAD655368:QAD655385 QJZ655368:QJZ655385 QTV655368:QTV655385 RDR655368:RDR655385 RNN655368:RNN655385 RXJ655368:RXJ655385 SHF655368:SHF655385 SRB655368:SRB655385 TAX655368:TAX655385 TKT655368:TKT655385 TUP655368:TUP655385 UEL655368:UEL655385 UOH655368:UOH655385 UYD655368:UYD655385 VHZ655368:VHZ655385 VRV655368:VRV655385 WBR655368:WBR655385 WLN655368:WLN655385 WVJ655368:WVJ655385 B720904:B720921 IX720904:IX720921 ST720904:ST720921 ACP720904:ACP720921 AML720904:AML720921 AWH720904:AWH720921 BGD720904:BGD720921 BPZ720904:BPZ720921 BZV720904:BZV720921 CJR720904:CJR720921 CTN720904:CTN720921 DDJ720904:DDJ720921 DNF720904:DNF720921 DXB720904:DXB720921 EGX720904:EGX720921 EQT720904:EQT720921 FAP720904:FAP720921 FKL720904:FKL720921 FUH720904:FUH720921 GED720904:GED720921 GNZ720904:GNZ720921 GXV720904:GXV720921 HHR720904:HHR720921 HRN720904:HRN720921 IBJ720904:IBJ720921 ILF720904:ILF720921 IVB720904:IVB720921 JEX720904:JEX720921 JOT720904:JOT720921 JYP720904:JYP720921 KIL720904:KIL720921 KSH720904:KSH720921 LCD720904:LCD720921 LLZ720904:LLZ720921 LVV720904:LVV720921 MFR720904:MFR720921 MPN720904:MPN720921 MZJ720904:MZJ720921 NJF720904:NJF720921 NTB720904:NTB720921 OCX720904:OCX720921 OMT720904:OMT720921 OWP720904:OWP720921 PGL720904:PGL720921 PQH720904:PQH720921 QAD720904:QAD720921 QJZ720904:QJZ720921 QTV720904:QTV720921 RDR720904:RDR720921 RNN720904:RNN720921 RXJ720904:RXJ720921 SHF720904:SHF720921 SRB720904:SRB720921 TAX720904:TAX720921 TKT720904:TKT720921 TUP720904:TUP720921 UEL720904:UEL720921 UOH720904:UOH720921 UYD720904:UYD720921 VHZ720904:VHZ720921 VRV720904:VRV720921 WBR720904:WBR720921 WLN720904:WLN720921 WVJ720904:WVJ720921 B786440:B786457 IX786440:IX786457 ST786440:ST786457 ACP786440:ACP786457 AML786440:AML786457 AWH786440:AWH786457 BGD786440:BGD786457 BPZ786440:BPZ786457 BZV786440:BZV786457 CJR786440:CJR786457 CTN786440:CTN786457 DDJ786440:DDJ786457 DNF786440:DNF786457 DXB786440:DXB786457 EGX786440:EGX786457 EQT786440:EQT786457 FAP786440:FAP786457 FKL786440:FKL786457 FUH786440:FUH786457 GED786440:GED786457 GNZ786440:GNZ786457 GXV786440:GXV786457 HHR786440:HHR786457 HRN786440:HRN786457 IBJ786440:IBJ786457 ILF786440:ILF786457 IVB786440:IVB786457 JEX786440:JEX786457 JOT786440:JOT786457 JYP786440:JYP786457 KIL786440:KIL786457 KSH786440:KSH786457 LCD786440:LCD786457 LLZ786440:LLZ786457 LVV786440:LVV786457 MFR786440:MFR786457 MPN786440:MPN786457 MZJ786440:MZJ786457 NJF786440:NJF786457 NTB786440:NTB786457 OCX786440:OCX786457 OMT786440:OMT786457 OWP786440:OWP786457 PGL786440:PGL786457 PQH786440:PQH786457 QAD786440:QAD786457 QJZ786440:QJZ786457 QTV786440:QTV786457 RDR786440:RDR786457 RNN786440:RNN786457 RXJ786440:RXJ786457 SHF786440:SHF786457 SRB786440:SRB786457 TAX786440:TAX786457 TKT786440:TKT786457 TUP786440:TUP786457 UEL786440:UEL786457 UOH786440:UOH786457 UYD786440:UYD786457 VHZ786440:VHZ786457 VRV786440:VRV786457 WBR786440:WBR786457 WLN786440:WLN786457 WVJ786440:WVJ786457 B851976:B851993 IX851976:IX851993 ST851976:ST851993 ACP851976:ACP851993 AML851976:AML851993 AWH851976:AWH851993 BGD851976:BGD851993 BPZ851976:BPZ851993 BZV851976:BZV851993 CJR851976:CJR851993 CTN851976:CTN851993 DDJ851976:DDJ851993 DNF851976:DNF851993 DXB851976:DXB851993 EGX851976:EGX851993 EQT851976:EQT851993 FAP851976:FAP851993 FKL851976:FKL851993 FUH851976:FUH851993 GED851976:GED851993 GNZ851976:GNZ851993 GXV851976:GXV851993 HHR851976:HHR851993 HRN851976:HRN851993 IBJ851976:IBJ851993 ILF851976:ILF851993 IVB851976:IVB851993 JEX851976:JEX851993 JOT851976:JOT851993 JYP851976:JYP851993 KIL851976:KIL851993 KSH851976:KSH851993 LCD851976:LCD851993 LLZ851976:LLZ851993 LVV851976:LVV851993 MFR851976:MFR851993 MPN851976:MPN851993 MZJ851976:MZJ851993 NJF851976:NJF851993 NTB851976:NTB851993 OCX851976:OCX851993 OMT851976:OMT851993 OWP851976:OWP851993 PGL851976:PGL851993 PQH851976:PQH851993 QAD851976:QAD851993 QJZ851976:QJZ851993 QTV851976:QTV851993 RDR851976:RDR851993 RNN851976:RNN851993 RXJ851976:RXJ851993 SHF851976:SHF851993 SRB851976:SRB851993 TAX851976:TAX851993 TKT851976:TKT851993 TUP851976:TUP851993 UEL851976:UEL851993 UOH851976:UOH851993 UYD851976:UYD851993 VHZ851976:VHZ851993 VRV851976:VRV851993 WBR851976:WBR851993 WLN851976:WLN851993 WVJ851976:WVJ851993 B917512:B917529 IX917512:IX917529 ST917512:ST917529 ACP917512:ACP917529 AML917512:AML917529 AWH917512:AWH917529 BGD917512:BGD917529 BPZ917512:BPZ917529 BZV917512:BZV917529 CJR917512:CJR917529 CTN917512:CTN917529 DDJ917512:DDJ917529 DNF917512:DNF917529 DXB917512:DXB917529 EGX917512:EGX917529 EQT917512:EQT917529 FAP917512:FAP917529 FKL917512:FKL917529 FUH917512:FUH917529 GED917512:GED917529 GNZ917512:GNZ917529 GXV917512:GXV917529 HHR917512:HHR917529 HRN917512:HRN917529 IBJ917512:IBJ917529 ILF917512:ILF917529 IVB917512:IVB917529 JEX917512:JEX917529 JOT917512:JOT917529 JYP917512:JYP917529 KIL917512:KIL917529 KSH917512:KSH917529 LCD917512:LCD917529 LLZ917512:LLZ917529 LVV917512:LVV917529 MFR917512:MFR917529 MPN917512:MPN917529 MZJ917512:MZJ917529 NJF917512:NJF917529 NTB917512:NTB917529 OCX917512:OCX917529 OMT917512:OMT917529 OWP917512:OWP917529 PGL917512:PGL917529 PQH917512:PQH917529 QAD917512:QAD917529 QJZ917512:QJZ917529 QTV917512:QTV917529 RDR917512:RDR917529 RNN917512:RNN917529 RXJ917512:RXJ917529 SHF917512:SHF917529 SRB917512:SRB917529 TAX917512:TAX917529 TKT917512:TKT917529 TUP917512:TUP917529 UEL917512:UEL917529 UOH917512:UOH917529 UYD917512:UYD917529 VHZ917512:VHZ917529 VRV917512:VRV917529 WBR917512:WBR917529 WLN917512:WLN917529 WVJ917512:WVJ917529" xr:uid="{00000000-0002-0000-1300-000000000000}">
      <formula1>trung</formula1>
    </dataValidation>
  </dataValidation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358"/>
  <sheetViews>
    <sheetView topLeftCell="A11"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53"/>
      <c r="G3" s="102"/>
      <c r="H3" s="103"/>
    </row>
    <row r="4" spans="1:8" s="98" customFormat="1" ht="18" customHeight="1">
      <c r="A4" s="414"/>
      <c r="B4" s="414"/>
      <c r="C4" s="415" t="s">
        <v>1740</v>
      </c>
      <c r="D4" s="416"/>
      <c r="E4" s="416"/>
      <c r="F4" s="416"/>
      <c r="G4" s="416"/>
      <c r="H4" s="416"/>
    </row>
    <row r="5" spans="1:8" s="98" customFormat="1" ht="15.6">
      <c r="A5" s="104"/>
      <c r="B5" s="104"/>
      <c r="C5" s="152"/>
      <c r="D5" s="105"/>
      <c r="E5" s="106"/>
      <c r="F5" s="152"/>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1842</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1843</v>
      </c>
      <c r="C13" s="425"/>
      <c r="D13" s="425"/>
      <c r="E13" s="425"/>
      <c r="F13" s="425"/>
      <c r="G13" s="73">
        <f>G14</f>
        <v>75520000</v>
      </c>
      <c r="H13" s="74"/>
    </row>
    <row r="14" spans="1:8" s="131" customFormat="1" ht="40.5" customHeight="1">
      <c r="A14" s="123"/>
      <c r="B14" s="124" t="s">
        <v>1757</v>
      </c>
      <c r="C14" s="125" t="s">
        <v>1753</v>
      </c>
      <c r="D14" s="126">
        <v>6.4</v>
      </c>
      <c r="E14" s="127">
        <v>11800000</v>
      </c>
      <c r="F14" s="128">
        <v>1</v>
      </c>
      <c r="G14" s="129">
        <f>D14*E14*F14</f>
        <v>75520000</v>
      </c>
      <c r="H14" s="130"/>
    </row>
    <row r="15" spans="1:8" ht="27" customHeight="1">
      <c r="A15" s="75" t="s">
        <v>18</v>
      </c>
      <c r="B15" s="426" t="s">
        <v>1725</v>
      </c>
      <c r="C15" s="426"/>
      <c r="D15" s="426"/>
      <c r="E15" s="426"/>
      <c r="F15" s="426"/>
      <c r="G15" s="76">
        <f>SUM(G16:G25)</f>
        <v>6825020.7685333323</v>
      </c>
      <c r="H15" s="11"/>
    </row>
    <row r="16" spans="1:8" ht="31.2">
      <c r="A16" s="77">
        <v>1</v>
      </c>
      <c r="B16" s="78" t="s">
        <v>1844</v>
      </c>
      <c r="C16" s="14" t="s">
        <v>1754</v>
      </c>
      <c r="D16" s="132">
        <f>2.8*0.8*0.11</f>
        <v>0.24639999999999998</v>
      </c>
      <c r="E16" s="15">
        <v>2126713</v>
      </c>
      <c r="F16" s="14">
        <v>1</v>
      </c>
      <c r="G16" s="79">
        <f t="shared" ref="G16:G25" si="0">D16*E16*F16</f>
        <v>524022.08319999994</v>
      </c>
      <c r="H16" s="15"/>
    </row>
    <row r="17" spans="1:8" ht="15.6">
      <c r="A17" s="77"/>
      <c r="B17" s="78" t="s">
        <v>1968</v>
      </c>
      <c r="C17" s="14" t="s">
        <v>66</v>
      </c>
      <c r="D17" s="132">
        <f>2.8*0.8*2</f>
        <v>4.4799999999999995</v>
      </c>
      <c r="E17" s="15">
        <v>141099</v>
      </c>
      <c r="F17" s="14">
        <v>1</v>
      </c>
      <c r="G17" s="79">
        <f t="shared" si="0"/>
        <v>632123.5199999999</v>
      </c>
      <c r="H17" s="15"/>
    </row>
    <row r="18" spans="1:8" ht="31.2">
      <c r="A18" s="77">
        <v>2</v>
      </c>
      <c r="B18" s="78" t="s">
        <v>1845</v>
      </c>
      <c r="C18" s="14" t="s">
        <v>1754</v>
      </c>
      <c r="D18" s="132">
        <f>(0.2*0.2*0.8)*2</f>
        <v>6.4000000000000015E-2</v>
      </c>
      <c r="E18" s="15">
        <v>2623803</v>
      </c>
      <c r="F18" s="14">
        <v>1</v>
      </c>
      <c r="G18" s="79">
        <f t="shared" si="0"/>
        <v>167923.39200000005</v>
      </c>
      <c r="H18" s="15"/>
    </row>
    <row r="19" spans="1:8" ht="30.6" customHeight="1">
      <c r="A19" s="77"/>
      <c r="B19" s="78" t="s">
        <v>1969</v>
      </c>
      <c r="C19" s="14" t="s">
        <v>66</v>
      </c>
      <c r="D19" s="132">
        <f>0.2*0.8*4*2</f>
        <v>1.2800000000000002</v>
      </c>
      <c r="E19" s="15">
        <v>250492</v>
      </c>
      <c r="F19" s="14">
        <v>1</v>
      </c>
      <c r="G19" s="79">
        <f t="shared" si="0"/>
        <v>320629.76000000007</v>
      </c>
      <c r="H19" s="15"/>
    </row>
    <row r="20" spans="1:8" ht="15.6">
      <c r="A20" s="77">
        <v>3</v>
      </c>
      <c r="B20" s="78" t="s">
        <v>1846</v>
      </c>
      <c r="C20" s="14" t="s">
        <v>66</v>
      </c>
      <c r="D20" s="132">
        <f>2.4*1</f>
        <v>2.4</v>
      </c>
      <c r="E20" s="15">
        <v>550000</v>
      </c>
      <c r="F20" s="14">
        <v>1</v>
      </c>
      <c r="G20" s="79">
        <f t="shared" si="0"/>
        <v>1320000</v>
      </c>
      <c r="H20" s="15"/>
    </row>
    <row r="21" spans="1:8" ht="15.6">
      <c r="A21" s="77">
        <v>4</v>
      </c>
      <c r="B21" s="78" t="s">
        <v>1847</v>
      </c>
      <c r="C21" s="14" t="s">
        <v>66</v>
      </c>
      <c r="D21" s="132">
        <f>2.3*1.7</f>
        <v>3.9099999999999997</v>
      </c>
      <c r="E21" s="15">
        <v>550000</v>
      </c>
      <c r="F21" s="14">
        <v>1</v>
      </c>
      <c r="G21" s="79">
        <f t="shared" si="0"/>
        <v>2150500</v>
      </c>
      <c r="H21" s="15"/>
    </row>
    <row r="22" spans="1:8" ht="94.5" customHeight="1">
      <c r="A22" s="77">
        <v>5</v>
      </c>
      <c r="B22" s="78" t="s">
        <v>2048</v>
      </c>
      <c r="C22" s="14" t="s">
        <v>1755</v>
      </c>
      <c r="D22" s="132">
        <f>(6.62/6)*1</f>
        <v>1.1033333333333333</v>
      </c>
      <c r="E22" s="15">
        <v>19900</v>
      </c>
      <c r="F22" s="14">
        <v>1</v>
      </c>
      <c r="G22" s="79">
        <f t="shared" si="0"/>
        <v>21956.333333333332</v>
      </c>
      <c r="H22" s="446"/>
    </row>
    <row r="23" spans="1:8" ht="15.6">
      <c r="A23" s="77">
        <v>6</v>
      </c>
      <c r="B23" s="78" t="s">
        <v>1848</v>
      </c>
      <c r="C23" s="14" t="s">
        <v>1755</v>
      </c>
      <c r="D23" s="132">
        <f>(2.04/6)*1*3</f>
        <v>1.02</v>
      </c>
      <c r="E23" s="15">
        <v>19900</v>
      </c>
      <c r="F23" s="14">
        <v>1</v>
      </c>
      <c r="G23" s="79">
        <f t="shared" si="0"/>
        <v>20298</v>
      </c>
      <c r="H23" s="447"/>
    </row>
    <row r="24" spans="1:8" ht="15.6">
      <c r="A24" s="77">
        <v>7</v>
      </c>
      <c r="B24" s="78" t="s">
        <v>1849</v>
      </c>
      <c r="C24" s="14" t="s">
        <v>66</v>
      </c>
      <c r="D24" s="132">
        <v>1</v>
      </c>
      <c r="E24" s="15">
        <v>103000</v>
      </c>
      <c r="F24" s="14">
        <v>1</v>
      </c>
      <c r="G24" s="79">
        <f t="shared" si="0"/>
        <v>103000</v>
      </c>
      <c r="H24" s="15"/>
    </row>
    <row r="25" spans="1:8" ht="15.6">
      <c r="A25" s="77">
        <v>8</v>
      </c>
      <c r="B25" s="78" t="s">
        <v>1850</v>
      </c>
      <c r="C25" s="14" t="s">
        <v>1754</v>
      </c>
      <c r="D25" s="132">
        <f>8*1.2*0.1</f>
        <v>0.96</v>
      </c>
      <c r="E25" s="15">
        <v>1629758</v>
      </c>
      <c r="F25" s="14">
        <v>1</v>
      </c>
      <c r="G25" s="79">
        <f t="shared" si="0"/>
        <v>1564567.68</v>
      </c>
      <c r="H25" s="15"/>
    </row>
    <row r="26" spans="1:8" ht="24" customHeight="1">
      <c r="A26" s="75" t="s">
        <v>19</v>
      </c>
      <c r="B26" s="426" t="s">
        <v>1727</v>
      </c>
      <c r="C26" s="426"/>
      <c r="D26" s="426"/>
      <c r="E26" s="426"/>
      <c r="F26" s="426"/>
      <c r="G26" s="76">
        <f>SUM(G27:G27)</f>
        <v>1555000</v>
      </c>
      <c r="H26" s="11"/>
    </row>
    <row r="27" spans="1:8" s="12" customFormat="1" ht="34.200000000000003" customHeight="1">
      <c r="A27" s="94">
        <v>1</v>
      </c>
      <c r="B27" s="154" t="s">
        <v>820</v>
      </c>
      <c r="C27" s="14" t="s">
        <v>1724</v>
      </c>
      <c r="D27" s="14">
        <v>1</v>
      </c>
      <c r="E27" s="79" t="str">
        <f>VLOOKUP(B27,'[20]Đơn giá cây cối'!$A$2:$C$1361,3,0)</f>
        <v>1.555.000</v>
      </c>
      <c r="F27" s="137">
        <v>1</v>
      </c>
      <c r="G27" s="79">
        <f>D27*E27*F27</f>
        <v>1555000</v>
      </c>
      <c r="H27" s="95"/>
    </row>
    <row r="28" spans="1:8" ht="15.6">
      <c r="A28" s="80"/>
      <c r="B28" s="427" t="s">
        <v>62</v>
      </c>
      <c r="C28" s="428"/>
      <c r="D28" s="428"/>
      <c r="E28" s="428"/>
      <c r="F28" s="429"/>
      <c r="G28" s="81">
        <f>G13+G15+G26</f>
        <v>83900020.768533334</v>
      </c>
      <c r="H28" s="82"/>
    </row>
    <row r="29" spans="1:8" ht="15.6">
      <c r="A29" s="80"/>
      <c r="B29" s="427" t="s">
        <v>1726</v>
      </c>
      <c r="C29" s="428"/>
      <c r="D29" s="428"/>
      <c r="E29" s="428"/>
      <c r="F29" s="429"/>
      <c r="G29" s="81">
        <f>ROUND(G28,-3)</f>
        <v>83900000</v>
      </c>
      <c r="H29" s="82"/>
    </row>
    <row r="30" spans="1:8" ht="15.6">
      <c r="A30" s="430" t="e">
        <f ca="1">[19]!vnd(G29)</f>
        <v>#NAME?</v>
      </c>
      <c r="B30" s="431"/>
      <c r="C30" s="431"/>
      <c r="D30" s="431"/>
      <c r="E30" s="431"/>
      <c r="F30" s="431"/>
      <c r="G30" s="431"/>
      <c r="H30" s="432"/>
    </row>
    <row r="31" spans="1:8">
      <c r="A31" s="17"/>
      <c r="B31" s="17"/>
      <c r="C31" s="97"/>
      <c r="D31" s="20"/>
      <c r="E31" s="19"/>
      <c r="F31" s="97"/>
      <c r="G31" s="19"/>
      <c r="H31" s="17"/>
    </row>
    <row r="32" spans="1:8" s="109" customFormat="1" ht="16.5" customHeight="1">
      <c r="A32" s="108"/>
      <c r="B32" s="108"/>
      <c r="C32" s="424" t="s">
        <v>1742</v>
      </c>
      <c r="D32" s="424"/>
      <c r="E32" s="424"/>
      <c r="F32" s="424"/>
      <c r="G32" s="424"/>
      <c r="H32" s="424"/>
    </row>
    <row r="33" spans="1:8" s="109" customFormat="1" ht="16.5" customHeight="1">
      <c r="A33" s="423" t="s">
        <v>63</v>
      </c>
      <c r="B33" s="423"/>
      <c r="C33" s="424" t="s">
        <v>1743</v>
      </c>
      <c r="D33" s="424"/>
      <c r="E33" s="424"/>
      <c r="F33" s="424" t="s">
        <v>1744</v>
      </c>
      <c r="G33" s="424"/>
      <c r="H33" s="424"/>
    </row>
    <row r="34" spans="1:8" s="109" customFormat="1" ht="15.6">
      <c r="A34" s="108"/>
      <c r="B34" s="108"/>
      <c r="C34" s="108"/>
      <c r="D34" s="110"/>
      <c r="E34" s="111"/>
      <c r="F34" s="112"/>
      <c r="G34" s="111"/>
      <c r="H34" s="113"/>
    </row>
    <row r="35" spans="1:8" s="109" customFormat="1" ht="15.6">
      <c r="A35" s="108"/>
      <c r="B35" s="108"/>
      <c r="C35" s="108"/>
      <c r="D35" s="110"/>
      <c r="E35" s="111"/>
      <c r="F35" s="112"/>
      <c r="G35" s="114"/>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6.5" customHeight="1">
      <c r="A39" s="108"/>
      <c r="B39" s="150" t="s">
        <v>64</v>
      </c>
      <c r="C39" s="424"/>
      <c r="D39" s="424"/>
      <c r="E39" s="424"/>
      <c r="F39" s="424" t="s">
        <v>1745</v>
      </c>
      <c r="G39" s="424"/>
      <c r="H39" s="424"/>
    </row>
    <row r="40" spans="1:8" s="109" customFormat="1" ht="15.6">
      <c r="A40" s="108"/>
      <c r="B40" s="150"/>
      <c r="C40" s="151"/>
      <c r="D40" s="151"/>
      <c r="E40" s="151"/>
      <c r="F40" s="151"/>
      <c r="G40" s="151"/>
      <c r="H40" s="151"/>
    </row>
    <row r="41" spans="1:8" s="109" customFormat="1" ht="15" customHeight="1">
      <c r="A41" s="424" t="s">
        <v>1746</v>
      </c>
      <c r="B41" s="424"/>
      <c r="C41" s="424"/>
      <c r="D41" s="424"/>
      <c r="E41" s="424" t="s">
        <v>1747</v>
      </c>
      <c r="F41" s="424"/>
      <c r="G41" s="424"/>
      <c r="H41" s="424"/>
    </row>
    <row r="42" spans="1:8" s="109" customFormat="1" ht="33.6" customHeight="1">
      <c r="A42" s="424" t="s">
        <v>1748</v>
      </c>
      <c r="B42" s="424"/>
      <c r="C42" s="424"/>
      <c r="D42" s="424"/>
      <c r="E42" s="424" t="s">
        <v>65</v>
      </c>
      <c r="F42" s="424"/>
      <c r="G42" s="424"/>
      <c r="H42" s="424"/>
    </row>
    <row r="43" spans="1:8" s="109" customFormat="1" ht="15.6">
      <c r="A43" s="108"/>
      <c r="B43" s="108"/>
      <c r="C43" s="108"/>
      <c r="D43" s="110"/>
      <c r="E43" s="111"/>
      <c r="F43" s="112"/>
      <c r="G43" s="111"/>
      <c r="H43" s="113"/>
    </row>
    <row r="44" spans="1:8" s="109" customFormat="1" ht="15.6">
      <c r="A44" s="108"/>
      <c r="B44" s="108"/>
      <c r="C44" s="108"/>
      <c r="D44" s="110"/>
      <c r="E44" s="111"/>
      <c r="F44" s="112"/>
      <c r="G44" s="111"/>
      <c r="H44" s="113"/>
    </row>
    <row r="45" spans="1:8" s="109" customFormat="1" ht="15.6">
      <c r="A45" s="108"/>
      <c r="B45" s="108"/>
      <c r="C45" s="108"/>
      <c r="D45" s="110"/>
      <c r="E45" s="111"/>
      <c r="F45" s="112"/>
      <c r="G45" s="111"/>
      <c r="H45" s="113"/>
    </row>
    <row r="46" spans="1:8" s="109" customFormat="1" ht="15.6">
      <c r="A46" s="108"/>
      <c r="B46" s="108"/>
      <c r="C46" s="108"/>
      <c r="D46" s="110"/>
      <c r="E46" s="111"/>
      <c r="F46" s="112"/>
      <c r="G46" s="111"/>
      <c r="H46" s="113"/>
    </row>
    <row r="47" spans="1:8" s="109" customFormat="1" ht="15.6">
      <c r="A47" s="108"/>
      <c r="B47" s="108"/>
      <c r="C47" s="108"/>
      <c r="D47" s="110"/>
      <c r="E47" s="111"/>
      <c r="F47" s="112"/>
      <c r="G47" s="111"/>
      <c r="H47" s="113"/>
    </row>
    <row r="48" spans="1:8" s="109" customFormat="1" ht="15.6" customHeight="1">
      <c r="A48" s="108"/>
      <c r="B48" s="108"/>
      <c r="C48" s="108"/>
      <c r="D48" s="115"/>
      <c r="E48" s="439" t="s">
        <v>1749</v>
      </c>
      <c r="F48" s="439"/>
      <c r="G48" s="439"/>
      <c r="H48" s="439"/>
    </row>
    <row r="49" spans="1:8" s="109" customFormat="1" ht="16.5" customHeight="1">
      <c r="A49" s="424" t="s">
        <v>1751</v>
      </c>
      <c r="B49" s="424"/>
      <c r="C49" s="424"/>
      <c r="D49" s="424"/>
      <c r="E49" s="424" t="s">
        <v>1750</v>
      </c>
      <c r="F49" s="424"/>
      <c r="G49" s="424"/>
      <c r="H49" s="424"/>
    </row>
    <row r="50" spans="1:8" s="118" customFormat="1" ht="16.2" customHeight="1">
      <c r="A50" s="440"/>
      <c r="B50" s="440"/>
      <c r="C50" s="116"/>
      <c r="D50" s="117"/>
      <c r="E50" s="440"/>
      <c r="F50" s="440"/>
      <c r="G50" s="440"/>
      <c r="H50" s="440"/>
    </row>
    <row r="51" spans="1:8" s="118" customFormat="1" ht="15.75" customHeight="1">
      <c r="A51" s="440"/>
      <c r="B51" s="440"/>
      <c r="C51" s="440"/>
      <c r="D51" s="440"/>
      <c r="E51" s="440"/>
      <c r="F51" s="440"/>
      <c r="G51" s="440"/>
      <c r="H51" s="440"/>
    </row>
    <row r="52" spans="1:8" s="98" customFormat="1" ht="16.2" customHeight="1">
      <c r="A52" s="436"/>
      <c r="B52" s="436"/>
      <c r="C52" s="436"/>
      <c r="D52" s="436"/>
      <c r="E52" s="119"/>
      <c r="F52" s="120"/>
      <c r="G52" s="119"/>
      <c r="H52" s="121"/>
    </row>
    <row r="53" spans="1:8" s="98" customFormat="1" ht="16.2" customHeight="1">
      <c r="A53" s="436"/>
      <c r="B53" s="436"/>
      <c r="C53" s="436"/>
      <c r="D53" s="436"/>
      <c r="E53" s="119"/>
      <c r="F53" s="120"/>
      <c r="G53" s="119"/>
      <c r="H53" s="121"/>
    </row>
    <row r="54" spans="1:8" s="98" customFormat="1" ht="16.2" customHeight="1">
      <c r="A54" s="121"/>
      <c r="B54" s="121"/>
      <c r="C54" s="121"/>
      <c r="D54" s="122"/>
      <c r="E54" s="119"/>
      <c r="F54" s="120"/>
      <c r="G54" s="119"/>
      <c r="H54" s="121"/>
    </row>
    <row r="55" spans="1:8" ht="16.2" customHeight="1">
      <c r="A55" s="83"/>
      <c r="B55" s="83"/>
      <c r="C55" s="83"/>
      <c r="D55" s="84"/>
      <c r="E55" s="85"/>
      <c r="F55" s="86"/>
      <c r="G55" s="85"/>
      <c r="H55" s="83"/>
    </row>
    <row r="56" spans="1:8" ht="16.2" customHeight="1">
      <c r="A56" s="83"/>
      <c r="B56" s="83"/>
      <c r="C56" s="83"/>
      <c r="D56" s="84"/>
      <c r="E56" s="85"/>
      <c r="F56" s="86"/>
      <c r="G56" s="85"/>
      <c r="H56" s="83"/>
    </row>
    <row r="57" spans="1:8" ht="16.2" customHeight="1">
      <c r="A57" s="83"/>
      <c r="B57" s="83"/>
      <c r="C57" s="83"/>
      <c r="D57" s="84"/>
      <c r="E57" s="85"/>
      <c r="F57" s="86"/>
      <c r="G57" s="85"/>
      <c r="H57" s="83"/>
    </row>
    <row r="58" spans="1:8" ht="16.2" customHeight="1">
      <c r="A58" s="83"/>
      <c r="B58" s="83"/>
      <c r="C58" s="83"/>
      <c r="D58" s="84"/>
      <c r="E58" s="437"/>
      <c r="F58" s="437"/>
      <c r="G58" s="437"/>
      <c r="H58" s="437"/>
    </row>
    <row r="59" spans="1:8" ht="20.25" customHeight="1">
      <c r="A59" s="438"/>
      <c r="B59" s="438"/>
      <c r="C59" s="438"/>
      <c r="D59" s="438"/>
      <c r="E59" s="438"/>
      <c r="F59" s="438"/>
      <c r="G59" s="438"/>
      <c r="H59" s="438"/>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D73" s="18"/>
      <c r="E73" s="19"/>
      <c r="F73" s="97"/>
      <c r="G73" s="19"/>
    </row>
    <row r="74" spans="3:7" s="17" customFormat="1" ht="16.2" customHeight="1">
      <c r="D74" s="18"/>
      <c r="E74" s="19"/>
      <c r="F74" s="97"/>
      <c r="G74" s="19"/>
    </row>
    <row r="75" spans="3:7" s="17" customFormat="1" ht="16.2" customHeight="1">
      <c r="D75" s="18"/>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s="17" customFormat="1" ht="16.2" customHeight="1">
      <c r="C87" s="97"/>
      <c r="D87" s="20"/>
      <c r="E87" s="19"/>
      <c r="F87" s="97"/>
      <c r="G87" s="19"/>
    </row>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row r="235"/>
    <row r="236"/>
    <row r="237"/>
    <row r="238"/>
    <row r="239"/>
    <row r="240"/>
    <row r="241"/>
    <row r="242"/>
    <row r="243"/>
    <row r="244"/>
    <row r="245"/>
    <row r="246"/>
    <row r="247"/>
    <row r="248"/>
    <row r="249"/>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sheetData>
  <mergeCells count="41">
    <mergeCell ref="A4:B4"/>
    <mergeCell ref="C4:H4"/>
    <mergeCell ref="A1:B1"/>
    <mergeCell ref="C1:H1"/>
    <mergeCell ref="A2:B2"/>
    <mergeCell ref="C2:H2"/>
    <mergeCell ref="A3:B3"/>
    <mergeCell ref="A30:H30"/>
    <mergeCell ref="A6:H6"/>
    <mergeCell ref="A7:H7"/>
    <mergeCell ref="A8:H8"/>
    <mergeCell ref="A9:H9"/>
    <mergeCell ref="A10:H10"/>
    <mergeCell ref="A11:H11"/>
    <mergeCell ref="B13:F13"/>
    <mergeCell ref="B15:F15"/>
    <mergeCell ref="B26:F26"/>
    <mergeCell ref="B28:F28"/>
    <mergeCell ref="B29:F29"/>
    <mergeCell ref="H22:H23"/>
    <mergeCell ref="A49:D49"/>
    <mergeCell ref="E49:H49"/>
    <mergeCell ref="C32:H32"/>
    <mergeCell ref="A33:B33"/>
    <mergeCell ref="C33:E33"/>
    <mergeCell ref="F33:H33"/>
    <mergeCell ref="C39:E39"/>
    <mergeCell ref="F39:H39"/>
    <mergeCell ref="A41:D41"/>
    <mergeCell ref="E41:H41"/>
    <mergeCell ref="A42:D42"/>
    <mergeCell ref="E42:H42"/>
    <mergeCell ref="E48:H48"/>
    <mergeCell ref="E58:H58"/>
    <mergeCell ref="A59:H59"/>
    <mergeCell ref="A50:B50"/>
    <mergeCell ref="E50:H50"/>
    <mergeCell ref="A51:D51"/>
    <mergeCell ref="E51:H51"/>
    <mergeCell ref="A52:D52"/>
    <mergeCell ref="A53:D53"/>
  </mergeCells>
  <dataValidations count="2">
    <dataValidation type="list" allowBlank="1" showInputMessage="1" showErrorMessage="1" sqref="B27" xr:uid="{00000000-0002-0000-1400-000000000000}">
      <formula1>bichphuong</formula1>
    </dataValidation>
    <dataValidation type="list" allowBlank="1" showInputMessage="1" showErrorMessage="1" sqref="WVJ983051:WVJ983068 B983051:B983068 IX983051:IX983068 ST983051:ST983068 ACP983051:ACP983068 AML983051:AML983068 AWH983051:AWH983068 BGD983051:BGD983068 BPZ983051:BPZ983068 BZV983051:BZV983068 CJR983051:CJR983068 CTN983051:CTN983068 DDJ983051:DDJ983068 DNF983051:DNF983068 DXB983051:DXB983068 EGX983051:EGX983068 EQT983051:EQT983068 FAP983051:FAP983068 FKL983051:FKL983068 FUH983051:FUH983068 GED983051:GED983068 GNZ983051:GNZ983068 GXV983051:GXV983068 HHR983051:HHR983068 HRN983051:HRN983068 IBJ983051:IBJ983068 ILF983051:ILF983068 IVB983051:IVB983068 JEX983051:JEX983068 JOT983051:JOT983068 JYP983051:JYP983068 KIL983051:KIL983068 KSH983051:KSH983068 LCD983051:LCD983068 LLZ983051:LLZ983068 LVV983051:LVV983068 MFR983051:MFR983068 MPN983051:MPN983068 MZJ983051:MZJ983068 NJF983051:NJF983068 NTB983051:NTB983068 OCX983051:OCX983068 OMT983051:OMT983068 OWP983051:OWP983068 PGL983051:PGL983068 PQH983051:PQH983068 QAD983051:QAD983068 QJZ983051:QJZ983068 QTV983051:QTV983068 RDR983051:RDR983068 RNN983051:RNN983068 RXJ983051:RXJ983068 SHF983051:SHF983068 SRB983051:SRB983068 TAX983051:TAX983068 TKT983051:TKT983068 TUP983051:TUP983068 UEL983051:UEL983068 UOH983051:UOH983068 UYD983051:UYD983068 VHZ983051:VHZ983068 VRV983051:VRV983068 WBR983051:WBR983068 WLN983051:WLN983068 B65547:B65564 IX65547:IX65564 ST65547:ST65564 ACP65547:ACP65564 AML65547:AML65564 AWH65547:AWH65564 BGD65547:BGD65564 BPZ65547:BPZ65564 BZV65547:BZV65564 CJR65547:CJR65564 CTN65547:CTN65564 DDJ65547:DDJ65564 DNF65547:DNF65564 DXB65547:DXB65564 EGX65547:EGX65564 EQT65547:EQT65564 FAP65547:FAP65564 FKL65547:FKL65564 FUH65547:FUH65564 GED65547:GED65564 GNZ65547:GNZ65564 GXV65547:GXV65564 HHR65547:HHR65564 HRN65547:HRN65564 IBJ65547:IBJ65564 ILF65547:ILF65564 IVB65547:IVB65564 JEX65547:JEX65564 JOT65547:JOT65564 JYP65547:JYP65564 KIL65547:KIL65564 KSH65547:KSH65564 LCD65547:LCD65564 LLZ65547:LLZ65564 LVV65547:LVV65564 MFR65547:MFR65564 MPN65547:MPN65564 MZJ65547:MZJ65564 NJF65547:NJF65564 NTB65547:NTB65564 OCX65547:OCX65564 OMT65547:OMT65564 OWP65547:OWP65564 PGL65547:PGL65564 PQH65547:PQH65564 QAD65547:QAD65564 QJZ65547:QJZ65564 QTV65547:QTV65564 RDR65547:RDR65564 RNN65547:RNN65564 RXJ65547:RXJ65564 SHF65547:SHF65564 SRB65547:SRB65564 TAX65547:TAX65564 TKT65547:TKT65564 TUP65547:TUP65564 UEL65547:UEL65564 UOH65547:UOH65564 UYD65547:UYD65564 VHZ65547:VHZ65564 VRV65547:VRV65564 WBR65547:WBR65564 WLN65547:WLN65564 WVJ65547:WVJ65564 B131083:B131100 IX131083:IX131100 ST131083:ST131100 ACP131083:ACP131100 AML131083:AML131100 AWH131083:AWH131100 BGD131083:BGD131100 BPZ131083:BPZ131100 BZV131083:BZV131100 CJR131083:CJR131100 CTN131083:CTN131100 DDJ131083:DDJ131100 DNF131083:DNF131100 DXB131083:DXB131100 EGX131083:EGX131100 EQT131083:EQT131100 FAP131083:FAP131100 FKL131083:FKL131100 FUH131083:FUH131100 GED131083:GED131100 GNZ131083:GNZ131100 GXV131083:GXV131100 HHR131083:HHR131100 HRN131083:HRN131100 IBJ131083:IBJ131100 ILF131083:ILF131100 IVB131083:IVB131100 JEX131083:JEX131100 JOT131083:JOT131100 JYP131083:JYP131100 KIL131083:KIL131100 KSH131083:KSH131100 LCD131083:LCD131100 LLZ131083:LLZ131100 LVV131083:LVV131100 MFR131083:MFR131100 MPN131083:MPN131100 MZJ131083:MZJ131100 NJF131083:NJF131100 NTB131083:NTB131100 OCX131083:OCX131100 OMT131083:OMT131100 OWP131083:OWP131100 PGL131083:PGL131100 PQH131083:PQH131100 QAD131083:QAD131100 QJZ131083:QJZ131100 QTV131083:QTV131100 RDR131083:RDR131100 RNN131083:RNN131100 RXJ131083:RXJ131100 SHF131083:SHF131100 SRB131083:SRB131100 TAX131083:TAX131100 TKT131083:TKT131100 TUP131083:TUP131100 UEL131083:UEL131100 UOH131083:UOH131100 UYD131083:UYD131100 VHZ131083:VHZ131100 VRV131083:VRV131100 WBR131083:WBR131100 WLN131083:WLN131100 WVJ131083:WVJ131100 B196619:B196636 IX196619:IX196636 ST196619:ST196636 ACP196619:ACP196636 AML196619:AML196636 AWH196619:AWH196636 BGD196619:BGD196636 BPZ196619:BPZ196636 BZV196619:BZV196636 CJR196619:CJR196636 CTN196619:CTN196636 DDJ196619:DDJ196636 DNF196619:DNF196636 DXB196619:DXB196636 EGX196619:EGX196636 EQT196619:EQT196636 FAP196619:FAP196636 FKL196619:FKL196636 FUH196619:FUH196636 GED196619:GED196636 GNZ196619:GNZ196636 GXV196619:GXV196636 HHR196619:HHR196636 HRN196619:HRN196636 IBJ196619:IBJ196636 ILF196619:ILF196636 IVB196619:IVB196636 JEX196619:JEX196636 JOT196619:JOT196636 JYP196619:JYP196636 KIL196619:KIL196636 KSH196619:KSH196636 LCD196619:LCD196636 LLZ196619:LLZ196636 LVV196619:LVV196636 MFR196619:MFR196636 MPN196619:MPN196636 MZJ196619:MZJ196636 NJF196619:NJF196636 NTB196619:NTB196636 OCX196619:OCX196636 OMT196619:OMT196636 OWP196619:OWP196636 PGL196619:PGL196636 PQH196619:PQH196636 QAD196619:QAD196636 QJZ196619:QJZ196636 QTV196619:QTV196636 RDR196619:RDR196636 RNN196619:RNN196636 RXJ196619:RXJ196636 SHF196619:SHF196636 SRB196619:SRB196636 TAX196619:TAX196636 TKT196619:TKT196636 TUP196619:TUP196636 UEL196619:UEL196636 UOH196619:UOH196636 UYD196619:UYD196636 VHZ196619:VHZ196636 VRV196619:VRV196636 WBR196619:WBR196636 WLN196619:WLN196636 WVJ196619:WVJ196636 B262155:B262172 IX262155:IX262172 ST262155:ST262172 ACP262155:ACP262172 AML262155:AML262172 AWH262155:AWH262172 BGD262155:BGD262172 BPZ262155:BPZ262172 BZV262155:BZV262172 CJR262155:CJR262172 CTN262155:CTN262172 DDJ262155:DDJ262172 DNF262155:DNF262172 DXB262155:DXB262172 EGX262155:EGX262172 EQT262155:EQT262172 FAP262155:FAP262172 FKL262155:FKL262172 FUH262155:FUH262172 GED262155:GED262172 GNZ262155:GNZ262172 GXV262155:GXV262172 HHR262155:HHR262172 HRN262155:HRN262172 IBJ262155:IBJ262172 ILF262155:ILF262172 IVB262155:IVB262172 JEX262155:JEX262172 JOT262155:JOT262172 JYP262155:JYP262172 KIL262155:KIL262172 KSH262155:KSH262172 LCD262155:LCD262172 LLZ262155:LLZ262172 LVV262155:LVV262172 MFR262155:MFR262172 MPN262155:MPN262172 MZJ262155:MZJ262172 NJF262155:NJF262172 NTB262155:NTB262172 OCX262155:OCX262172 OMT262155:OMT262172 OWP262155:OWP262172 PGL262155:PGL262172 PQH262155:PQH262172 QAD262155:QAD262172 QJZ262155:QJZ262172 QTV262155:QTV262172 RDR262155:RDR262172 RNN262155:RNN262172 RXJ262155:RXJ262172 SHF262155:SHF262172 SRB262155:SRB262172 TAX262155:TAX262172 TKT262155:TKT262172 TUP262155:TUP262172 UEL262155:UEL262172 UOH262155:UOH262172 UYD262155:UYD262172 VHZ262155:VHZ262172 VRV262155:VRV262172 WBR262155:WBR262172 WLN262155:WLN262172 WVJ262155:WVJ262172 B327691:B327708 IX327691:IX327708 ST327691:ST327708 ACP327691:ACP327708 AML327691:AML327708 AWH327691:AWH327708 BGD327691:BGD327708 BPZ327691:BPZ327708 BZV327691:BZV327708 CJR327691:CJR327708 CTN327691:CTN327708 DDJ327691:DDJ327708 DNF327691:DNF327708 DXB327691:DXB327708 EGX327691:EGX327708 EQT327691:EQT327708 FAP327691:FAP327708 FKL327691:FKL327708 FUH327691:FUH327708 GED327691:GED327708 GNZ327691:GNZ327708 GXV327691:GXV327708 HHR327691:HHR327708 HRN327691:HRN327708 IBJ327691:IBJ327708 ILF327691:ILF327708 IVB327691:IVB327708 JEX327691:JEX327708 JOT327691:JOT327708 JYP327691:JYP327708 KIL327691:KIL327708 KSH327691:KSH327708 LCD327691:LCD327708 LLZ327691:LLZ327708 LVV327691:LVV327708 MFR327691:MFR327708 MPN327691:MPN327708 MZJ327691:MZJ327708 NJF327691:NJF327708 NTB327691:NTB327708 OCX327691:OCX327708 OMT327691:OMT327708 OWP327691:OWP327708 PGL327691:PGL327708 PQH327691:PQH327708 QAD327691:QAD327708 QJZ327691:QJZ327708 QTV327691:QTV327708 RDR327691:RDR327708 RNN327691:RNN327708 RXJ327691:RXJ327708 SHF327691:SHF327708 SRB327691:SRB327708 TAX327691:TAX327708 TKT327691:TKT327708 TUP327691:TUP327708 UEL327691:UEL327708 UOH327691:UOH327708 UYD327691:UYD327708 VHZ327691:VHZ327708 VRV327691:VRV327708 WBR327691:WBR327708 WLN327691:WLN327708 WVJ327691:WVJ327708 B393227:B393244 IX393227:IX393244 ST393227:ST393244 ACP393227:ACP393244 AML393227:AML393244 AWH393227:AWH393244 BGD393227:BGD393244 BPZ393227:BPZ393244 BZV393227:BZV393244 CJR393227:CJR393244 CTN393227:CTN393244 DDJ393227:DDJ393244 DNF393227:DNF393244 DXB393227:DXB393244 EGX393227:EGX393244 EQT393227:EQT393244 FAP393227:FAP393244 FKL393227:FKL393244 FUH393227:FUH393244 GED393227:GED393244 GNZ393227:GNZ393244 GXV393227:GXV393244 HHR393227:HHR393244 HRN393227:HRN393244 IBJ393227:IBJ393244 ILF393227:ILF393244 IVB393227:IVB393244 JEX393227:JEX393244 JOT393227:JOT393244 JYP393227:JYP393244 KIL393227:KIL393244 KSH393227:KSH393244 LCD393227:LCD393244 LLZ393227:LLZ393244 LVV393227:LVV393244 MFR393227:MFR393244 MPN393227:MPN393244 MZJ393227:MZJ393244 NJF393227:NJF393244 NTB393227:NTB393244 OCX393227:OCX393244 OMT393227:OMT393244 OWP393227:OWP393244 PGL393227:PGL393244 PQH393227:PQH393244 QAD393227:QAD393244 QJZ393227:QJZ393244 QTV393227:QTV393244 RDR393227:RDR393244 RNN393227:RNN393244 RXJ393227:RXJ393244 SHF393227:SHF393244 SRB393227:SRB393244 TAX393227:TAX393244 TKT393227:TKT393244 TUP393227:TUP393244 UEL393227:UEL393244 UOH393227:UOH393244 UYD393227:UYD393244 VHZ393227:VHZ393244 VRV393227:VRV393244 WBR393227:WBR393244 WLN393227:WLN393244 WVJ393227:WVJ393244 B458763:B458780 IX458763:IX458780 ST458763:ST458780 ACP458763:ACP458780 AML458763:AML458780 AWH458763:AWH458780 BGD458763:BGD458780 BPZ458763:BPZ458780 BZV458763:BZV458780 CJR458763:CJR458780 CTN458763:CTN458780 DDJ458763:DDJ458780 DNF458763:DNF458780 DXB458763:DXB458780 EGX458763:EGX458780 EQT458763:EQT458780 FAP458763:FAP458780 FKL458763:FKL458780 FUH458763:FUH458780 GED458763:GED458780 GNZ458763:GNZ458780 GXV458763:GXV458780 HHR458763:HHR458780 HRN458763:HRN458780 IBJ458763:IBJ458780 ILF458763:ILF458780 IVB458763:IVB458780 JEX458763:JEX458780 JOT458763:JOT458780 JYP458763:JYP458780 KIL458763:KIL458780 KSH458763:KSH458780 LCD458763:LCD458780 LLZ458763:LLZ458780 LVV458763:LVV458780 MFR458763:MFR458780 MPN458763:MPN458780 MZJ458763:MZJ458780 NJF458763:NJF458780 NTB458763:NTB458780 OCX458763:OCX458780 OMT458763:OMT458780 OWP458763:OWP458780 PGL458763:PGL458780 PQH458763:PQH458780 QAD458763:QAD458780 QJZ458763:QJZ458780 QTV458763:QTV458780 RDR458763:RDR458780 RNN458763:RNN458780 RXJ458763:RXJ458780 SHF458763:SHF458780 SRB458763:SRB458780 TAX458763:TAX458780 TKT458763:TKT458780 TUP458763:TUP458780 UEL458763:UEL458780 UOH458763:UOH458780 UYD458763:UYD458780 VHZ458763:VHZ458780 VRV458763:VRV458780 WBR458763:WBR458780 WLN458763:WLN458780 WVJ458763:WVJ458780 B524299:B524316 IX524299:IX524316 ST524299:ST524316 ACP524299:ACP524316 AML524299:AML524316 AWH524299:AWH524316 BGD524299:BGD524316 BPZ524299:BPZ524316 BZV524299:BZV524316 CJR524299:CJR524316 CTN524299:CTN524316 DDJ524299:DDJ524316 DNF524299:DNF524316 DXB524299:DXB524316 EGX524299:EGX524316 EQT524299:EQT524316 FAP524299:FAP524316 FKL524299:FKL524316 FUH524299:FUH524316 GED524299:GED524316 GNZ524299:GNZ524316 GXV524299:GXV524316 HHR524299:HHR524316 HRN524299:HRN524316 IBJ524299:IBJ524316 ILF524299:ILF524316 IVB524299:IVB524316 JEX524299:JEX524316 JOT524299:JOT524316 JYP524299:JYP524316 KIL524299:KIL524316 KSH524299:KSH524316 LCD524299:LCD524316 LLZ524299:LLZ524316 LVV524299:LVV524316 MFR524299:MFR524316 MPN524299:MPN524316 MZJ524299:MZJ524316 NJF524299:NJF524316 NTB524299:NTB524316 OCX524299:OCX524316 OMT524299:OMT524316 OWP524299:OWP524316 PGL524299:PGL524316 PQH524299:PQH524316 QAD524299:QAD524316 QJZ524299:QJZ524316 QTV524299:QTV524316 RDR524299:RDR524316 RNN524299:RNN524316 RXJ524299:RXJ524316 SHF524299:SHF524316 SRB524299:SRB524316 TAX524299:TAX524316 TKT524299:TKT524316 TUP524299:TUP524316 UEL524299:UEL524316 UOH524299:UOH524316 UYD524299:UYD524316 VHZ524299:VHZ524316 VRV524299:VRV524316 WBR524299:WBR524316 WLN524299:WLN524316 WVJ524299:WVJ524316 B589835:B589852 IX589835:IX589852 ST589835:ST589852 ACP589835:ACP589852 AML589835:AML589852 AWH589835:AWH589852 BGD589835:BGD589852 BPZ589835:BPZ589852 BZV589835:BZV589852 CJR589835:CJR589852 CTN589835:CTN589852 DDJ589835:DDJ589852 DNF589835:DNF589852 DXB589835:DXB589852 EGX589835:EGX589852 EQT589835:EQT589852 FAP589835:FAP589852 FKL589835:FKL589852 FUH589835:FUH589852 GED589835:GED589852 GNZ589835:GNZ589852 GXV589835:GXV589852 HHR589835:HHR589852 HRN589835:HRN589852 IBJ589835:IBJ589852 ILF589835:ILF589852 IVB589835:IVB589852 JEX589835:JEX589852 JOT589835:JOT589852 JYP589835:JYP589852 KIL589835:KIL589852 KSH589835:KSH589852 LCD589835:LCD589852 LLZ589835:LLZ589852 LVV589835:LVV589852 MFR589835:MFR589852 MPN589835:MPN589852 MZJ589835:MZJ589852 NJF589835:NJF589852 NTB589835:NTB589852 OCX589835:OCX589852 OMT589835:OMT589852 OWP589835:OWP589852 PGL589835:PGL589852 PQH589835:PQH589852 QAD589835:QAD589852 QJZ589835:QJZ589852 QTV589835:QTV589852 RDR589835:RDR589852 RNN589835:RNN589852 RXJ589835:RXJ589852 SHF589835:SHF589852 SRB589835:SRB589852 TAX589835:TAX589852 TKT589835:TKT589852 TUP589835:TUP589852 UEL589835:UEL589852 UOH589835:UOH589852 UYD589835:UYD589852 VHZ589835:VHZ589852 VRV589835:VRV589852 WBR589835:WBR589852 WLN589835:WLN589852 WVJ589835:WVJ589852 B655371:B655388 IX655371:IX655388 ST655371:ST655388 ACP655371:ACP655388 AML655371:AML655388 AWH655371:AWH655388 BGD655371:BGD655388 BPZ655371:BPZ655388 BZV655371:BZV655388 CJR655371:CJR655388 CTN655371:CTN655388 DDJ655371:DDJ655388 DNF655371:DNF655388 DXB655371:DXB655388 EGX655371:EGX655388 EQT655371:EQT655388 FAP655371:FAP655388 FKL655371:FKL655388 FUH655371:FUH655388 GED655371:GED655388 GNZ655371:GNZ655388 GXV655371:GXV655388 HHR655371:HHR655388 HRN655371:HRN655388 IBJ655371:IBJ655388 ILF655371:ILF655388 IVB655371:IVB655388 JEX655371:JEX655388 JOT655371:JOT655388 JYP655371:JYP655388 KIL655371:KIL655388 KSH655371:KSH655388 LCD655371:LCD655388 LLZ655371:LLZ655388 LVV655371:LVV655388 MFR655371:MFR655388 MPN655371:MPN655388 MZJ655371:MZJ655388 NJF655371:NJF655388 NTB655371:NTB655388 OCX655371:OCX655388 OMT655371:OMT655388 OWP655371:OWP655388 PGL655371:PGL655388 PQH655371:PQH655388 QAD655371:QAD655388 QJZ655371:QJZ655388 QTV655371:QTV655388 RDR655371:RDR655388 RNN655371:RNN655388 RXJ655371:RXJ655388 SHF655371:SHF655388 SRB655371:SRB655388 TAX655371:TAX655388 TKT655371:TKT655388 TUP655371:TUP655388 UEL655371:UEL655388 UOH655371:UOH655388 UYD655371:UYD655388 VHZ655371:VHZ655388 VRV655371:VRV655388 WBR655371:WBR655388 WLN655371:WLN655388 WVJ655371:WVJ655388 B720907:B720924 IX720907:IX720924 ST720907:ST720924 ACP720907:ACP720924 AML720907:AML720924 AWH720907:AWH720924 BGD720907:BGD720924 BPZ720907:BPZ720924 BZV720907:BZV720924 CJR720907:CJR720924 CTN720907:CTN720924 DDJ720907:DDJ720924 DNF720907:DNF720924 DXB720907:DXB720924 EGX720907:EGX720924 EQT720907:EQT720924 FAP720907:FAP720924 FKL720907:FKL720924 FUH720907:FUH720924 GED720907:GED720924 GNZ720907:GNZ720924 GXV720907:GXV720924 HHR720907:HHR720924 HRN720907:HRN720924 IBJ720907:IBJ720924 ILF720907:ILF720924 IVB720907:IVB720924 JEX720907:JEX720924 JOT720907:JOT720924 JYP720907:JYP720924 KIL720907:KIL720924 KSH720907:KSH720924 LCD720907:LCD720924 LLZ720907:LLZ720924 LVV720907:LVV720924 MFR720907:MFR720924 MPN720907:MPN720924 MZJ720907:MZJ720924 NJF720907:NJF720924 NTB720907:NTB720924 OCX720907:OCX720924 OMT720907:OMT720924 OWP720907:OWP720924 PGL720907:PGL720924 PQH720907:PQH720924 QAD720907:QAD720924 QJZ720907:QJZ720924 QTV720907:QTV720924 RDR720907:RDR720924 RNN720907:RNN720924 RXJ720907:RXJ720924 SHF720907:SHF720924 SRB720907:SRB720924 TAX720907:TAX720924 TKT720907:TKT720924 TUP720907:TUP720924 UEL720907:UEL720924 UOH720907:UOH720924 UYD720907:UYD720924 VHZ720907:VHZ720924 VRV720907:VRV720924 WBR720907:WBR720924 WLN720907:WLN720924 WVJ720907:WVJ720924 B786443:B786460 IX786443:IX786460 ST786443:ST786460 ACP786443:ACP786460 AML786443:AML786460 AWH786443:AWH786460 BGD786443:BGD786460 BPZ786443:BPZ786460 BZV786443:BZV786460 CJR786443:CJR786460 CTN786443:CTN786460 DDJ786443:DDJ786460 DNF786443:DNF786460 DXB786443:DXB786460 EGX786443:EGX786460 EQT786443:EQT786460 FAP786443:FAP786460 FKL786443:FKL786460 FUH786443:FUH786460 GED786443:GED786460 GNZ786443:GNZ786460 GXV786443:GXV786460 HHR786443:HHR786460 HRN786443:HRN786460 IBJ786443:IBJ786460 ILF786443:ILF786460 IVB786443:IVB786460 JEX786443:JEX786460 JOT786443:JOT786460 JYP786443:JYP786460 KIL786443:KIL786460 KSH786443:KSH786460 LCD786443:LCD786460 LLZ786443:LLZ786460 LVV786443:LVV786460 MFR786443:MFR786460 MPN786443:MPN786460 MZJ786443:MZJ786460 NJF786443:NJF786460 NTB786443:NTB786460 OCX786443:OCX786460 OMT786443:OMT786460 OWP786443:OWP786460 PGL786443:PGL786460 PQH786443:PQH786460 QAD786443:QAD786460 QJZ786443:QJZ786460 QTV786443:QTV786460 RDR786443:RDR786460 RNN786443:RNN786460 RXJ786443:RXJ786460 SHF786443:SHF786460 SRB786443:SRB786460 TAX786443:TAX786460 TKT786443:TKT786460 TUP786443:TUP786460 UEL786443:UEL786460 UOH786443:UOH786460 UYD786443:UYD786460 VHZ786443:VHZ786460 VRV786443:VRV786460 WBR786443:WBR786460 WLN786443:WLN786460 WVJ786443:WVJ786460 B851979:B851996 IX851979:IX851996 ST851979:ST851996 ACP851979:ACP851996 AML851979:AML851996 AWH851979:AWH851996 BGD851979:BGD851996 BPZ851979:BPZ851996 BZV851979:BZV851996 CJR851979:CJR851996 CTN851979:CTN851996 DDJ851979:DDJ851996 DNF851979:DNF851996 DXB851979:DXB851996 EGX851979:EGX851996 EQT851979:EQT851996 FAP851979:FAP851996 FKL851979:FKL851996 FUH851979:FUH851996 GED851979:GED851996 GNZ851979:GNZ851996 GXV851979:GXV851996 HHR851979:HHR851996 HRN851979:HRN851996 IBJ851979:IBJ851996 ILF851979:ILF851996 IVB851979:IVB851996 JEX851979:JEX851996 JOT851979:JOT851996 JYP851979:JYP851996 KIL851979:KIL851996 KSH851979:KSH851996 LCD851979:LCD851996 LLZ851979:LLZ851996 LVV851979:LVV851996 MFR851979:MFR851996 MPN851979:MPN851996 MZJ851979:MZJ851996 NJF851979:NJF851996 NTB851979:NTB851996 OCX851979:OCX851996 OMT851979:OMT851996 OWP851979:OWP851996 PGL851979:PGL851996 PQH851979:PQH851996 QAD851979:QAD851996 QJZ851979:QJZ851996 QTV851979:QTV851996 RDR851979:RDR851996 RNN851979:RNN851996 RXJ851979:RXJ851996 SHF851979:SHF851996 SRB851979:SRB851996 TAX851979:TAX851996 TKT851979:TKT851996 TUP851979:TUP851996 UEL851979:UEL851996 UOH851979:UOH851996 UYD851979:UYD851996 VHZ851979:VHZ851996 VRV851979:VRV851996 WBR851979:WBR851996 WLN851979:WLN851996 WVJ851979:WVJ851996 B917515:B917532 IX917515:IX917532 ST917515:ST917532 ACP917515:ACP917532 AML917515:AML917532 AWH917515:AWH917532 BGD917515:BGD917532 BPZ917515:BPZ917532 BZV917515:BZV917532 CJR917515:CJR917532 CTN917515:CTN917532 DDJ917515:DDJ917532 DNF917515:DNF917532 DXB917515:DXB917532 EGX917515:EGX917532 EQT917515:EQT917532 FAP917515:FAP917532 FKL917515:FKL917532 FUH917515:FUH917532 GED917515:GED917532 GNZ917515:GNZ917532 GXV917515:GXV917532 HHR917515:HHR917532 HRN917515:HRN917532 IBJ917515:IBJ917532 ILF917515:ILF917532 IVB917515:IVB917532 JEX917515:JEX917532 JOT917515:JOT917532 JYP917515:JYP917532 KIL917515:KIL917532 KSH917515:KSH917532 LCD917515:LCD917532 LLZ917515:LLZ917532 LVV917515:LVV917532 MFR917515:MFR917532 MPN917515:MPN917532 MZJ917515:MZJ917532 NJF917515:NJF917532 NTB917515:NTB917532 OCX917515:OCX917532 OMT917515:OMT917532 OWP917515:OWP917532 PGL917515:PGL917532 PQH917515:PQH917532 QAD917515:QAD917532 QJZ917515:QJZ917532 QTV917515:QTV917532 RDR917515:RDR917532 RNN917515:RNN917532 RXJ917515:RXJ917532 SHF917515:SHF917532 SRB917515:SRB917532 TAX917515:TAX917532 TKT917515:TKT917532 TUP917515:TUP917532 UEL917515:UEL917532 UOH917515:UOH917532 UYD917515:UYD917532 VHZ917515:VHZ917532 VRV917515:VRV917532 WBR917515:WBR917532 WLN917515:WLN917532 WVJ917515:WVJ917532" xr:uid="{00000000-0002-0000-1400-000001000000}">
      <formula1>trung</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363"/>
  <sheetViews>
    <sheetView topLeftCell="A11" workbookViewId="0">
      <selection activeCell="C35" sqref="C35:E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53"/>
      <c r="G3" s="102"/>
      <c r="H3" s="103"/>
    </row>
    <row r="4" spans="1:8" s="98" customFormat="1" ht="18" customHeight="1">
      <c r="A4" s="414"/>
      <c r="B4" s="414"/>
      <c r="C4" s="415" t="s">
        <v>1740</v>
      </c>
      <c r="D4" s="416"/>
      <c r="E4" s="416"/>
      <c r="F4" s="416"/>
      <c r="G4" s="416"/>
      <c r="H4" s="416"/>
    </row>
    <row r="5" spans="1:8" s="98" customFormat="1" ht="15.6">
      <c r="A5" s="104"/>
      <c r="B5" s="104"/>
      <c r="C5" s="152"/>
      <c r="D5" s="105"/>
      <c r="E5" s="106"/>
      <c r="F5" s="152"/>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1851</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1852</v>
      </c>
      <c r="C13" s="425"/>
      <c r="D13" s="425"/>
      <c r="E13" s="425"/>
      <c r="F13" s="425"/>
      <c r="G13" s="73">
        <f>G14</f>
        <v>132159999.99999999</v>
      </c>
      <c r="H13" s="74"/>
    </row>
    <row r="14" spans="1:8" s="131" customFormat="1" ht="40.5" customHeight="1">
      <c r="A14" s="123"/>
      <c r="B14" s="124" t="s">
        <v>1757</v>
      </c>
      <c r="C14" s="125" t="s">
        <v>1753</v>
      </c>
      <c r="D14" s="126">
        <v>11.2</v>
      </c>
      <c r="E14" s="127">
        <v>11800000</v>
      </c>
      <c r="F14" s="128">
        <v>1</v>
      </c>
      <c r="G14" s="129">
        <f>D14*E14*F14</f>
        <v>132159999.99999999</v>
      </c>
      <c r="H14" s="130"/>
    </row>
    <row r="15" spans="1:8" ht="27" customHeight="1">
      <c r="A15" s="75" t="s">
        <v>18</v>
      </c>
      <c r="B15" s="426" t="s">
        <v>1725</v>
      </c>
      <c r="C15" s="426"/>
      <c r="D15" s="426"/>
      <c r="E15" s="426"/>
      <c r="F15" s="426"/>
      <c r="G15" s="76">
        <f>SUM(G16:G27)</f>
        <v>11414248.6141</v>
      </c>
      <c r="H15" s="11"/>
    </row>
    <row r="16" spans="1:8" ht="15.6">
      <c r="A16" s="77">
        <v>1</v>
      </c>
      <c r="B16" s="78" t="s">
        <v>1853</v>
      </c>
      <c r="C16" s="14" t="s">
        <v>66</v>
      </c>
      <c r="D16" s="132">
        <f>4.9*1.4</f>
        <v>6.86</v>
      </c>
      <c r="E16" s="15">
        <v>488333</v>
      </c>
      <c r="F16" s="14">
        <v>1</v>
      </c>
      <c r="G16" s="79">
        <f t="shared" ref="G16:G18" si="0">D16*E16*F16</f>
        <v>3349964.3800000004</v>
      </c>
      <c r="H16" s="15"/>
    </row>
    <row r="17" spans="1:8" ht="15.6">
      <c r="A17" s="77">
        <v>2</v>
      </c>
      <c r="B17" s="78" t="s">
        <v>1854</v>
      </c>
      <c r="C17" s="14" t="s">
        <v>1754</v>
      </c>
      <c r="D17" s="132">
        <f>2.2*4.9*0.1</f>
        <v>1.0780000000000001</v>
      </c>
      <c r="E17" s="15">
        <v>1629758</v>
      </c>
      <c r="F17" s="14">
        <v>1</v>
      </c>
      <c r="G17" s="79">
        <f t="shared" si="0"/>
        <v>1756879.1240000001</v>
      </c>
      <c r="H17" s="15"/>
    </row>
    <row r="18" spans="1:8" ht="46.8">
      <c r="A18" s="77">
        <v>3</v>
      </c>
      <c r="B18" s="78" t="s">
        <v>2046</v>
      </c>
      <c r="C18" s="14" t="s">
        <v>1755</v>
      </c>
      <c r="D18" s="132">
        <f>(10.76/6)*3.1*2</f>
        <v>11.118666666666666</v>
      </c>
      <c r="E18" s="15">
        <v>19900</v>
      </c>
      <c r="F18" s="14">
        <v>1</v>
      </c>
      <c r="G18" s="79">
        <f t="shared" si="0"/>
        <v>221261.46666666665</v>
      </c>
      <c r="H18" s="15"/>
    </row>
    <row r="19" spans="1:8" ht="31.2">
      <c r="A19" s="77">
        <v>4</v>
      </c>
      <c r="B19" s="78" t="s">
        <v>1855</v>
      </c>
      <c r="C19" s="14" t="s">
        <v>1754</v>
      </c>
      <c r="D19" s="132">
        <f>0.5*0.5*0.11</f>
        <v>2.75E-2</v>
      </c>
      <c r="E19" s="15">
        <v>2126713</v>
      </c>
      <c r="F19" s="14">
        <v>1</v>
      </c>
      <c r="G19" s="79">
        <f t="shared" ref="G19:G27" si="1">D19*E19*F19</f>
        <v>58484.607499999998</v>
      </c>
      <c r="H19" s="15"/>
    </row>
    <row r="20" spans="1:8" ht="15.6">
      <c r="A20" s="77"/>
      <c r="B20" s="78" t="s">
        <v>1970</v>
      </c>
      <c r="C20" s="14" t="s">
        <v>66</v>
      </c>
      <c r="D20" s="132">
        <f>0.5*0.5*2</f>
        <v>0.5</v>
      </c>
      <c r="E20" s="15">
        <v>141099</v>
      </c>
      <c r="F20" s="14">
        <v>1</v>
      </c>
      <c r="G20" s="79">
        <f t="shared" si="1"/>
        <v>70549.5</v>
      </c>
      <c r="H20" s="15"/>
    </row>
    <row r="21" spans="1:8" ht="31.2">
      <c r="A21" s="77">
        <v>5</v>
      </c>
      <c r="B21" s="78" t="s">
        <v>1856</v>
      </c>
      <c r="C21" s="14" t="s">
        <v>1754</v>
      </c>
      <c r="D21" s="132">
        <f>0.7*1.3*0.22</f>
        <v>0.20019999999999999</v>
      </c>
      <c r="E21" s="15">
        <v>1919493</v>
      </c>
      <c r="F21" s="14">
        <v>1</v>
      </c>
      <c r="G21" s="79">
        <f t="shared" si="1"/>
        <v>384282.49859999999</v>
      </c>
      <c r="H21" s="15"/>
    </row>
    <row r="22" spans="1:8" ht="15.6">
      <c r="A22" s="77"/>
      <c r="B22" s="78" t="s">
        <v>1971</v>
      </c>
      <c r="C22" s="14" t="s">
        <v>66</v>
      </c>
      <c r="D22" s="132">
        <f>0.7*1.3*2</f>
        <v>1.8199999999999998</v>
      </c>
      <c r="E22" s="15">
        <v>141099</v>
      </c>
      <c r="F22" s="14">
        <v>1</v>
      </c>
      <c r="G22" s="79">
        <f t="shared" ref="G22" si="2">D22*E22*F22</f>
        <v>256800.17999999996</v>
      </c>
      <c r="H22" s="15"/>
    </row>
    <row r="23" spans="1:8" ht="15.6">
      <c r="A23" s="77">
        <v>6</v>
      </c>
      <c r="B23" s="78" t="s">
        <v>1857</v>
      </c>
      <c r="C23" s="14" t="s">
        <v>66</v>
      </c>
      <c r="D23" s="132">
        <f>1.8*1.25</f>
        <v>2.25</v>
      </c>
      <c r="E23" s="15">
        <v>550000</v>
      </c>
      <c r="F23" s="14">
        <v>1</v>
      </c>
      <c r="G23" s="79">
        <f t="shared" si="1"/>
        <v>1237500</v>
      </c>
      <c r="H23" s="15"/>
    </row>
    <row r="24" spans="1:8" ht="15.6">
      <c r="A24" s="77">
        <v>7</v>
      </c>
      <c r="B24" s="78" t="s">
        <v>1858</v>
      </c>
      <c r="C24" s="14" t="s">
        <v>66</v>
      </c>
      <c r="D24" s="132">
        <f>1.4*2.9</f>
        <v>4.0599999999999996</v>
      </c>
      <c r="E24" s="15">
        <v>379477</v>
      </c>
      <c r="F24" s="14">
        <v>1</v>
      </c>
      <c r="G24" s="79">
        <f t="shared" si="1"/>
        <v>1540676.6199999999</v>
      </c>
      <c r="H24" s="15"/>
    </row>
    <row r="25" spans="1:8" ht="15.6">
      <c r="A25" s="77">
        <v>8</v>
      </c>
      <c r="B25" s="78" t="s">
        <v>1859</v>
      </c>
      <c r="C25" s="14" t="s">
        <v>1754</v>
      </c>
      <c r="D25" s="132">
        <f>2.2*2.9*0.1</f>
        <v>0.63800000000000001</v>
      </c>
      <c r="E25" s="15">
        <v>1629758</v>
      </c>
      <c r="F25" s="14">
        <v>1</v>
      </c>
      <c r="G25" s="79">
        <f t="shared" ref="G25" si="3">D25*E25*F25</f>
        <v>1039785.6040000001</v>
      </c>
      <c r="H25" s="15"/>
    </row>
    <row r="26" spans="1:8" ht="15.6">
      <c r="A26" s="77">
        <v>9</v>
      </c>
      <c r="B26" s="78" t="s">
        <v>1860</v>
      </c>
      <c r="C26" s="14" t="s">
        <v>66</v>
      </c>
      <c r="D26" s="132">
        <f>2*1.3</f>
        <v>2.6</v>
      </c>
      <c r="E26" s="15">
        <v>550000</v>
      </c>
      <c r="F26" s="14">
        <v>1</v>
      </c>
      <c r="G26" s="79">
        <f t="shared" si="1"/>
        <v>1430000</v>
      </c>
      <c r="H26" s="15"/>
    </row>
    <row r="27" spans="1:8" ht="46.8">
      <c r="A27" s="77">
        <v>10</v>
      </c>
      <c r="B27" s="78" t="s">
        <v>2047</v>
      </c>
      <c r="C27" s="14" t="s">
        <v>1755</v>
      </c>
      <c r="D27" s="132">
        <f>(6.62/6)*3.1</f>
        <v>3.4203333333333332</v>
      </c>
      <c r="E27" s="15">
        <v>19900</v>
      </c>
      <c r="F27" s="14">
        <v>1</v>
      </c>
      <c r="G27" s="79">
        <f t="shared" si="1"/>
        <v>68064.633333333331</v>
      </c>
      <c r="H27" s="15"/>
    </row>
    <row r="28" spans="1:8" ht="24" customHeight="1">
      <c r="A28" s="75" t="s">
        <v>19</v>
      </c>
      <c r="B28" s="426" t="s">
        <v>1727</v>
      </c>
      <c r="C28" s="426"/>
      <c r="D28" s="426"/>
      <c r="E28" s="426"/>
      <c r="F28" s="426"/>
      <c r="G28" s="76">
        <f>SUM(G29:G29)</f>
        <v>0</v>
      </c>
      <c r="H28" s="11"/>
    </row>
    <row r="29" spans="1:8" ht="30.6" customHeight="1">
      <c r="A29" s="77"/>
      <c r="B29" s="78" t="s">
        <v>1728</v>
      </c>
      <c r="C29" s="13"/>
      <c r="D29" s="13"/>
      <c r="E29" s="13"/>
      <c r="F29" s="13"/>
      <c r="G29" s="79"/>
      <c r="H29" s="15"/>
    </row>
    <row r="30" spans="1:8" ht="15.6">
      <c r="A30" s="80"/>
      <c r="B30" s="427" t="s">
        <v>62</v>
      </c>
      <c r="C30" s="428"/>
      <c r="D30" s="428"/>
      <c r="E30" s="428"/>
      <c r="F30" s="429"/>
      <c r="G30" s="81">
        <f>G13+G15+G28</f>
        <v>143574248.61409998</v>
      </c>
      <c r="H30" s="82"/>
    </row>
    <row r="31" spans="1:8" ht="15.6">
      <c r="A31" s="80"/>
      <c r="B31" s="427" t="s">
        <v>1726</v>
      </c>
      <c r="C31" s="428"/>
      <c r="D31" s="428"/>
      <c r="E31" s="428"/>
      <c r="F31" s="429"/>
      <c r="G31" s="81">
        <f>ROUND(G30,-3)</f>
        <v>143574000</v>
      </c>
      <c r="H31" s="82"/>
    </row>
    <row r="32" spans="1:8" ht="15.6">
      <c r="A32" s="430" t="e">
        <f ca="1">[19]!vnd(G31)</f>
        <v>#NAME?</v>
      </c>
      <c r="B32" s="431"/>
      <c r="C32" s="431"/>
      <c r="D32" s="431"/>
      <c r="E32" s="431"/>
      <c r="F32" s="431"/>
      <c r="G32" s="431"/>
      <c r="H32" s="432"/>
    </row>
    <row r="33" spans="1:8">
      <c r="A33" s="17"/>
      <c r="B33" s="17"/>
      <c r="C33" s="97"/>
      <c r="D33" s="20"/>
      <c r="E33" s="19"/>
      <c r="F33" s="97"/>
      <c r="G33" s="19"/>
      <c r="H33" s="17"/>
    </row>
    <row r="34" spans="1:8" s="109" customFormat="1" ht="16.5" customHeight="1">
      <c r="A34" s="108"/>
      <c r="B34" s="108"/>
      <c r="C34" s="424" t="s">
        <v>1742</v>
      </c>
      <c r="D34" s="424"/>
      <c r="E34" s="424"/>
      <c r="F34" s="424"/>
      <c r="G34" s="424"/>
      <c r="H34" s="424"/>
    </row>
    <row r="35" spans="1:8" s="109" customFormat="1" ht="16.5" customHeight="1">
      <c r="A35" s="423" t="s">
        <v>63</v>
      </c>
      <c r="B35" s="423"/>
      <c r="C35" s="424" t="s">
        <v>1743</v>
      </c>
      <c r="D35" s="424"/>
      <c r="E35" s="424"/>
      <c r="F35" s="424" t="s">
        <v>1744</v>
      </c>
      <c r="G35" s="424"/>
      <c r="H35" s="424"/>
    </row>
    <row r="36" spans="1:8" s="109" customFormat="1" ht="15.6">
      <c r="A36" s="108"/>
      <c r="B36" s="108"/>
      <c r="C36" s="108"/>
      <c r="D36" s="110"/>
      <c r="E36" s="111"/>
      <c r="F36" s="112"/>
      <c r="G36" s="111"/>
      <c r="H36" s="113"/>
    </row>
    <row r="37" spans="1:8" s="109" customFormat="1" ht="15.6">
      <c r="A37" s="108"/>
      <c r="B37" s="108"/>
      <c r="C37" s="108"/>
      <c r="D37" s="110"/>
      <c r="E37" s="111"/>
      <c r="F37" s="112"/>
      <c r="G37" s="114"/>
      <c r="H37" s="113"/>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6.5" customHeight="1">
      <c r="A41" s="108"/>
      <c r="B41" s="150" t="s">
        <v>64</v>
      </c>
      <c r="C41" s="424"/>
      <c r="D41" s="424"/>
      <c r="E41" s="424"/>
      <c r="F41" s="424" t="s">
        <v>1745</v>
      </c>
      <c r="G41" s="424"/>
      <c r="H41" s="424"/>
    </row>
    <row r="42" spans="1:8" s="109" customFormat="1" ht="15.6">
      <c r="A42" s="108"/>
      <c r="B42" s="150"/>
      <c r="C42" s="151"/>
      <c r="D42" s="151"/>
      <c r="E42" s="151"/>
      <c r="F42" s="151"/>
      <c r="G42" s="151"/>
      <c r="H42" s="151"/>
    </row>
    <row r="43" spans="1:8" s="109" customFormat="1" ht="15" customHeight="1">
      <c r="A43" s="424" t="s">
        <v>1746</v>
      </c>
      <c r="B43" s="424"/>
      <c r="C43" s="424"/>
      <c r="D43" s="424"/>
      <c r="E43" s="424" t="s">
        <v>1747</v>
      </c>
      <c r="F43" s="424"/>
      <c r="G43" s="424"/>
      <c r="H43" s="424"/>
    </row>
    <row r="44" spans="1:8" s="109" customFormat="1" ht="33.6" customHeight="1">
      <c r="A44" s="424" t="s">
        <v>1748</v>
      </c>
      <c r="B44" s="424"/>
      <c r="C44" s="424"/>
      <c r="D44" s="424"/>
      <c r="E44" s="424" t="s">
        <v>65</v>
      </c>
      <c r="F44" s="424"/>
      <c r="G44" s="424"/>
      <c r="H44" s="424"/>
    </row>
    <row r="45" spans="1:8" s="109" customFormat="1" ht="15.6">
      <c r="A45" s="108"/>
      <c r="B45" s="108"/>
      <c r="C45" s="108"/>
      <c r="D45" s="110"/>
      <c r="E45" s="111"/>
      <c r="F45" s="112"/>
      <c r="G45" s="111"/>
      <c r="H45" s="113"/>
    </row>
    <row r="46" spans="1:8" s="109" customFormat="1" ht="15.6">
      <c r="A46" s="108"/>
      <c r="B46" s="108"/>
      <c r="C46" s="108"/>
      <c r="D46" s="110"/>
      <c r="E46" s="111"/>
      <c r="F46" s="112"/>
      <c r="G46" s="111"/>
      <c r="H46" s="113"/>
    </row>
    <row r="47" spans="1:8" s="109" customFormat="1" ht="15.6">
      <c r="A47" s="108"/>
      <c r="B47" s="108"/>
      <c r="C47" s="108"/>
      <c r="D47" s="110"/>
      <c r="E47" s="111"/>
      <c r="F47" s="112"/>
      <c r="G47" s="111"/>
      <c r="H47" s="113"/>
    </row>
    <row r="48" spans="1:8" s="109" customFormat="1" ht="15.6">
      <c r="A48" s="108"/>
      <c r="B48" s="108"/>
      <c r="C48" s="108"/>
      <c r="D48" s="110"/>
      <c r="E48" s="111"/>
      <c r="F48" s="112"/>
      <c r="G48" s="111"/>
      <c r="H48" s="113"/>
    </row>
    <row r="49" spans="1:8" s="109" customFormat="1" ht="15.6">
      <c r="A49" s="108"/>
      <c r="B49" s="108"/>
      <c r="C49" s="108"/>
      <c r="D49" s="110"/>
      <c r="E49" s="111"/>
      <c r="F49" s="112"/>
      <c r="G49" s="111"/>
      <c r="H49" s="113"/>
    </row>
    <row r="50" spans="1:8" s="109" customFormat="1" ht="15.6" customHeight="1">
      <c r="A50" s="108"/>
      <c r="B50" s="108"/>
      <c r="C50" s="108"/>
      <c r="D50" s="115"/>
      <c r="E50" s="439" t="s">
        <v>1749</v>
      </c>
      <c r="F50" s="439"/>
      <c r="G50" s="439"/>
      <c r="H50" s="439"/>
    </row>
    <row r="51" spans="1:8" s="109" customFormat="1" ht="16.5" customHeight="1">
      <c r="A51" s="424" t="s">
        <v>1751</v>
      </c>
      <c r="B51" s="424"/>
      <c r="C51" s="424"/>
      <c r="D51" s="424"/>
      <c r="E51" s="424" t="s">
        <v>1750</v>
      </c>
      <c r="F51" s="424"/>
      <c r="G51" s="424"/>
      <c r="H51" s="424"/>
    </row>
    <row r="52" spans="1:8" s="118" customFormat="1" ht="16.2" customHeight="1">
      <c r="A52" s="440"/>
      <c r="B52" s="440"/>
      <c r="C52" s="116"/>
      <c r="D52" s="117"/>
      <c r="E52" s="440"/>
      <c r="F52" s="440"/>
      <c r="G52" s="440"/>
      <c r="H52" s="440"/>
    </row>
    <row r="53" spans="1:8" s="118" customFormat="1" ht="15.75" customHeight="1">
      <c r="A53" s="440"/>
      <c r="B53" s="440"/>
      <c r="C53" s="440"/>
      <c r="D53" s="440"/>
      <c r="E53" s="440"/>
      <c r="F53" s="440"/>
      <c r="G53" s="440"/>
      <c r="H53" s="440"/>
    </row>
    <row r="54" spans="1:8" s="98" customFormat="1" ht="16.2" customHeight="1">
      <c r="A54" s="436"/>
      <c r="B54" s="436"/>
      <c r="C54" s="436"/>
      <c r="D54" s="436"/>
      <c r="E54" s="119"/>
      <c r="F54" s="120"/>
      <c r="G54" s="119"/>
      <c r="H54" s="121"/>
    </row>
    <row r="55" spans="1:8" s="98" customFormat="1" ht="16.2" customHeight="1">
      <c r="A55" s="436"/>
      <c r="B55" s="436"/>
      <c r="C55" s="436"/>
      <c r="D55" s="436"/>
      <c r="E55" s="119"/>
      <c r="F55" s="120"/>
      <c r="G55" s="119"/>
      <c r="H55" s="121"/>
    </row>
    <row r="56" spans="1:8" s="98" customFormat="1" ht="16.2" customHeight="1">
      <c r="A56" s="121"/>
      <c r="B56" s="121"/>
      <c r="C56" s="121"/>
      <c r="D56" s="122"/>
      <c r="E56" s="119"/>
      <c r="F56" s="120"/>
      <c r="G56" s="119"/>
      <c r="H56" s="121"/>
    </row>
    <row r="57" spans="1:8" ht="16.2" customHeight="1">
      <c r="A57" s="83"/>
      <c r="B57" s="83"/>
      <c r="C57" s="83"/>
      <c r="D57" s="84"/>
      <c r="E57" s="85"/>
      <c r="F57" s="86"/>
      <c r="G57" s="85"/>
      <c r="H57" s="83"/>
    </row>
    <row r="58" spans="1:8" ht="16.2" customHeight="1">
      <c r="A58" s="83"/>
      <c r="B58" s="83"/>
      <c r="C58" s="83"/>
      <c r="D58" s="84"/>
      <c r="E58" s="85"/>
      <c r="F58" s="86"/>
      <c r="G58" s="85"/>
      <c r="H58" s="83"/>
    </row>
    <row r="59" spans="1:8" ht="16.2" customHeight="1">
      <c r="A59" s="83"/>
      <c r="B59" s="83"/>
      <c r="C59" s="83"/>
      <c r="D59" s="84"/>
      <c r="E59" s="85"/>
      <c r="F59" s="86"/>
      <c r="G59" s="85"/>
      <c r="H59" s="83"/>
    </row>
    <row r="60" spans="1:8" ht="16.2" customHeight="1">
      <c r="A60" s="83"/>
      <c r="B60" s="83"/>
      <c r="C60" s="83"/>
      <c r="D60" s="84"/>
      <c r="E60" s="437"/>
      <c r="F60" s="437"/>
      <c r="G60" s="437"/>
      <c r="H60" s="437"/>
    </row>
    <row r="61" spans="1:8" ht="20.25" customHeight="1">
      <c r="A61" s="438"/>
      <c r="B61" s="438"/>
      <c r="C61" s="438"/>
      <c r="D61" s="438"/>
      <c r="E61" s="438"/>
      <c r="F61" s="438"/>
      <c r="G61" s="438"/>
      <c r="H61" s="438"/>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D73" s="18"/>
      <c r="E73" s="19"/>
      <c r="F73" s="97"/>
      <c r="G73" s="19"/>
    </row>
    <row r="74" spans="3:7" s="17" customFormat="1" ht="16.2" customHeight="1">
      <c r="D74" s="18"/>
      <c r="E74" s="19"/>
      <c r="F74" s="97"/>
      <c r="G74" s="19"/>
    </row>
    <row r="75" spans="3:7" s="17" customFormat="1" ht="16.2" customHeight="1">
      <c r="D75" s="18"/>
      <c r="E75" s="19"/>
      <c r="F75" s="97"/>
      <c r="G75" s="19"/>
    </row>
    <row r="76" spans="3:7" s="17" customFormat="1" ht="16.2" customHeight="1">
      <c r="D76" s="18"/>
      <c r="E76" s="19"/>
      <c r="F76" s="97"/>
      <c r="G76" s="19"/>
    </row>
    <row r="77" spans="3:7" s="17" customFormat="1" ht="16.2" customHeight="1">
      <c r="D77" s="18"/>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s="17" customFormat="1" ht="16.2" customHeight="1">
      <c r="C87" s="97"/>
      <c r="D87" s="20"/>
      <c r="E87" s="19"/>
      <c r="F87" s="97"/>
      <c r="G87" s="19"/>
    </row>
    <row r="88" spans="3:7" s="17" customFormat="1" ht="16.2" customHeight="1">
      <c r="C88" s="97"/>
      <c r="D88" s="20"/>
      <c r="E88" s="19"/>
      <c r="F88" s="97"/>
      <c r="G88" s="19"/>
    </row>
    <row r="89" spans="3:7" s="17" customFormat="1" ht="16.2" customHeight="1">
      <c r="C89" s="97"/>
      <c r="D89" s="20"/>
      <c r="E89" s="19"/>
      <c r="F89" s="97"/>
      <c r="G89" s="19"/>
    </row>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ht="16.2" customHeight="1"/>
    <row r="235" ht="16.2" customHeight="1"/>
    <row r="236"/>
    <row r="237"/>
    <row r="238"/>
    <row r="239"/>
    <row r="240"/>
    <row r="241"/>
    <row r="242"/>
    <row r="243"/>
    <row r="244"/>
    <row r="245"/>
    <row r="246"/>
    <row r="247"/>
    <row r="248"/>
    <row r="249"/>
    <row r="250"/>
    <row r="25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sheetData>
  <mergeCells count="40">
    <mergeCell ref="A4:B4"/>
    <mergeCell ref="C4:H4"/>
    <mergeCell ref="A1:B1"/>
    <mergeCell ref="C1:H1"/>
    <mergeCell ref="A2:B2"/>
    <mergeCell ref="C2:H2"/>
    <mergeCell ref="A3:B3"/>
    <mergeCell ref="A32:H32"/>
    <mergeCell ref="A6:H6"/>
    <mergeCell ref="A7:H7"/>
    <mergeCell ref="A8:H8"/>
    <mergeCell ref="A9:H9"/>
    <mergeCell ref="A10:H10"/>
    <mergeCell ref="A11:H11"/>
    <mergeCell ref="B13:F13"/>
    <mergeCell ref="B15:F15"/>
    <mergeCell ref="B28:F28"/>
    <mergeCell ref="B30:F30"/>
    <mergeCell ref="B31:F31"/>
    <mergeCell ref="A51:D51"/>
    <mergeCell ref="E51:H51"/>
    <mergeCell ref="C34:H34"/>
    <mergeCell ref="A35:B35"/>
    <mergeCell ref="C35:E35"/>
    <mergeCell ref="F35:H35"/>
    <mergeCell ref="C41:E41"/>
    <mergeCell ref="F41:H41"/>
    <mergeCell ref="A43:D43"/>
    <mergeCell ref="E43:H43"/>
    <mergeCell ref="A44:D44"/>
    <mergeCell ref="E44:H44"/>
    <mergeCell ref="E50:H50"/>
    <mergeCell ref="E60:H60"/>
    <mergeCell ref="A61:H61"/>
    <mergeCell ref="A52:B52"/>
    <mergeCell ref="E52:H52"/>
    <mergeCell ref="A53:D53"/>
    <mergeCell ref="E53:H53"/>
    <mergeCell ref="A54:D54"/>
    <mergeCell ref="A55:D55"/>
  </mergeCells>
  <dataValidations count="1">
    <dataValidation type="list" allowBlank="1" showInputMessage="1" showErrorMessage="1" sqref="WVJ983053:WVJ983070 B983053:B983070 IX983053:IX983070 ST983053:ST983070 ACP983053:ACP983070 AML983053:AML983070 AWH983053:AWH983070 BGD983053:BGD983070 BPZ983053:BPZ983070 BZV983053:BZV983070 CJR983053:CJR983070 CTN983053:CTN983070 DDJ983053:DDJ983070 DNF983053:DNF983070 DXB983053:DXB983070 EGX983053:EGX983070 EQT983053:EQT983070 FAP983053:FAP983070 FKL983053:FKL983070 FUH983053:FUH983070 GED983053:GED983070 GNZ983053:GNZ983070 GXV983053:GXV983070 HHR983053:HHR983070 HRN983053:HRN983070 IBJ983053:IBJ983070 ILF983053:ILF983070 IVB983053:IVB983070 JEX983053:JEX983070 JOT983053:JOT983070 JYP983053:JYP983070 KIL983053:KIL983070 KSH983053:KSH983070 LCD983053:LCD983070 LLZ983053:LLZ983070 LVV983053:LVV983070 MFR983053:MFR983070 MPN983053:MPN983070 MZJ983053:MZJ983070 NJF983053:NJF983070 NTB983053:NTB983070 OCX983053:OCX983070 OMT983053:OMT983070 OWP983053:OWP983070 PGL983053:PGL983070 PQH983053:PQH983070 QAD983053:QAD983070 QJZ983053:QJZ983070 QTV983053:QTV983070 RDR983053:RDR983070 RNN983053:RNN983070 RXJ983053:RXJ983070 SHF983053:SHF983070 SRB983053:SRB983070 TAX983053:TAX983070 TKT983053:TKT983070 TUP983053:TUP983070 UEL983053:UEL983070 UOH983053:UOH983070 UYD983053:UYD983070 VHZ983053:VHZ983070 VRV983053:VRV983070 WBR983053:WBR983070 WLN983053:WLN983070 B65549:B65566 IX65549:IX65566 ST65549:ST65566 ACP65549:ACP65566 AML65549:AML65566 AWH65549:AWH65566 BGD65549:BGD65566 BPZ65549:BPZ65566 BZV65549:BZV65566 CJR65549:CJR65566 CTN65549:CTN65566 DDJ65549:DDJ65566 DNF65549:DNF65566 DXB65549:DXB65566 EGX65549:EGX65566 EQT65549:EQT65566 FAP65549:FAP65566 FKL65549:FKL65566 FUH65549:FUH65566 GED65549:GED65566 GNZ65549:GNZ65566 GXV65549:GXV65566 HHR65549:HHR65566 HRN65549:HRN65566 IBJ65549:IBJ65566 ILF65549:ILF65566 IVB65549:IVB65566 JEX65549:JEX65566 JOT65549:JOT65566 JYP65549:JYP65566 KIL65549:KIL65566 KSH65549:KSH65566 LCD65549:LCD65566 LLZ65549:LLZ65566 LVV65549:LVV65566 MFR65549:MFR65566 MPN65549:MPN65566 MZJ65549:MZJ65566 NJF65549:NJF65566 NTB65549:NTB65566 OCX65549:OCX65566 OMT65549:OMT65566 OWP65549:OWP65566 PGL65549:PGL65566 PQH65549:PQH65566 QAD65549:QAD65566 QJZ65549:QJZ65566 QTV65549:QTV65566 RDR65549:RDR65566 RNN65549:RNN65566 RXJ65549:RXJ65566 SHF65549:SHF65566 SRB65549:SRB65566 TAX65549:TAX65566 TKT65549:TKT65566 TUP65549:TUP65566 UEL65549:UEL65566 UOH65549:UOH65566 UYD65549:UYD65566 VHZ65549:VHZ65566 VRV65549:VRV65566 WBR65549:WBR65566 WLN65549:WLN65566 WVJ65549:WVJ65566 B131085:B131102 IX131085:IX131102 ST131085:ST131102 ACP131085:ACP131102 AML131085:AML131102 AWH131085:AWH131102 BGD131085:BGD131102 BPZ131085:BPZ131102 BZV131085:BZV131102 CJR131085:CJR131102 CTN131085:CTN131102 DDJ131085:DDJ131102 DNF131085:DNF131102 DXB131085:DXB131102 EGX131085:EGX131102 EQT131085:EQT131102 FAP131085:FAP131102 FKL131085:FKL131102 FUH131085:FUH131102 GED131085:GED131102 GNZ131085:GNZ131102 GXV131085:GXV131102 HHR131085:HHR131102 HRN131085:HRN131102 IBJ131085:IBJ131102 ILF131085:ILF131102 IVB131085:IVB131102 JEX131085:JEX131102 JOT131085:JOT131102 JYP131085:JYP131102 KIL131085:KIL131102 KSH131085:KSH131102 LCD131085:LCD131102 LLZ131085:LLZ131102 LVV131085:LVV131102 MFR131085:MFR131102 MPN131085:MPN131102 MZJ131085:MZJ131102 NJF131085:NJF131102 NTB131085:NTB131102 OCX131085:OCX131102 OMT131085:OMT131102 OWP131085:OWP131102 PGL131085:PGL131102 PQH131085:PQH131102 QAD131085:QAD131102 QJZ131085:QJZ131102 QTV131085:QTV131102 RDR131085:RDR131102 RNN131085:RNN131102 RXJ131085:RXJ131102 SHF131085:SHF131102 SRB131085:SRB131102 TAX131085:TAX131102 TKT131085:TKT131102 TUP131085:TUP131102 UEL131085:UEL131102 UOH131085:UOH131102 UYD131085:UYD131102 VHZ131085:VHZ131102 VRV131085:VRV131102 WBR131085:WBR131102 WLN131085:WLN131102 WVJ131085:WVJ131102 B196621:B196638 IX196621:IX196638 ST196621:ST196638 ACP196621:ACP196638 AML196621:AML196638 AWH196621:AWH196638 BGD196621:BGD196638 BPZ196621:BPZ196638 BZV196621:BZV196638 CJR196621:CJR196638 CTN196621:CTN196638 DDJ196621:DDJ196638 DNF196621:DNF196638 DXB196621:DXB196638 EGX196621:EGX196638 EQT196621:EQT196638 FAP196621:FAP196638 FKL196621:FKL196638 FUH196621:FUH196638 GED196621:GED196638 GNZ196621:GNZ196638 GXV196621:GXV196638 HHR196621:HHR196638 HRN196621:HRN196638 IBJ196621:IBJ196638 ILF196621:ILF196638 IVB196621:IVB196638 JEX196621:JEX196638 JOT196621:JOT196638 JYP196621:JYP196638 KIL196621:KIL196638 KSH196621:KSH196638 LCD196621:LCD196638 LLZ196621:LLZ196638 LVV196621:LVV196638 MFR196621:MFR196638 MPN196621:MPN196638 MZJ196621:MZJ196638 NJF196621:NJF196638 NTB196621:NTB196638 OCX196621:OCX196638 OMT196621:OMT196638 OWP196621:OWP196638 PGL196621:PGL196638 PQH196621:PQH196638 QAD196621:QAD196638 QJZ196621:QJZ196638 QTV196621:QTV196638 RDR196621:RDR196638 RNN196621:RNN196638 RXJ196621:RXJ196638 SHF196621:SHF196638 SRB196621:SRB196638 TAX196621:TAX196638 TKT196621:TKT196638 TUP196621:TUP196638 UEL196621:UEL196638 UOH196621:UOH196638 UYD196621:UYD196638 VHZ196621:VHZ196638 VRV196621:VRV196638 WBR196621:WBR196638 WLN196621:WLN196638 WVJ196621:WVJ196638 B262157:B262174 IX262157:IX262174 ST262157:ST262174 ACP262157:ACP262174 AML262157:AML262174 AWH262157:AWH262174 BGD262157:BGD262174 BPZ262157:BPZ262174 BZV262157:BZV262174 CJR262157:CJR262174 CTN262157:CTN262174 DDJ262157:DDJ262174 DNF262157:DNF262174 DXB262157:DXB262174 EGX262157:EGX262174 EQT262157:EQT262174 FAP262157:FAP262174 FKL262157:FKL262174 FUH262157:FUH262174 GED262157:GED262174 GNZ262157:GNZ262174 GXV262157:GXV262174 HHR262157:HHR262174 HRN262157:HRN262174 IBJ262157:IBJ262174 ILF262157:ILF262174 IVB262157:IVB262174 JEX262157:JEX262174 JOT262157:JOT262174 JYP262157:JYP262174 KIL262157:KIL262174 KSH262157:KSH262174 LCD262157:LCD262174 LLZ262157:LLZ262174 LVV262157:LVV262174 MFR262157:MFR262174 MPN262157:MPN262174 MZJ262157:MZJ262174 NJF262157:NJF262174 NTB262157:NTB262174 OCX262157:OCX262174 OMT262157:OMT262174 OWP262157:OWP262174 PGL262157:PGL262174 PQH262157:PQH262174 QAD262157:QAD262174 QJZ262157:QJZ262174 QTV262157:QTV262174 RDR262157:RDR262174 RNN262157:RNN262174 RXJ262157:RXJ262174 SHF262157:SHF262174 SRB262157:SRB262174 TAX262157:TAX262174 TKT262157:TKT262174 TUP262157:TUP262174 UEL262157:UEL262174 UOH262157:UOH262174 UYD262157:UYD262174 VHZ262157:VHZ262174 VRV262157:VRV262174 WBR262157:WBR262174 WLN262157:WLN262174 WVJ262157:WVJ262174 B327693:B327710 IX327693:IX327710 ST327693:ST327710 ACP327693:ACP327710 AML327693:AML327710 AWH327693:AWH327710 BGD327693:BGD327710 BPZ327693:BPZ327710 BZV327693:BZV327710 CJR327693:CJR327710 CTN327693:CTN327710 DDJ327693:DDJ327710 DNF327693:DNF327710 DXB327693:DXB327710 EGX327693:EGX327710 EQT327693:EQT327710 FAP327693:FAP327710 FKL327693:FKL327710 FUH327693:FUH327710 GED327693:GED327710 GNZ327693:GNZ327710 GXV327693:GXV327710 HHR327693:HHR327710 HRN327693:HRN327710 IBJ327693:IBJ327710 ILF327693:ILF327710 IVB327693:IVB327710 JEX327693:JEX327710 JOT327693:JOT327710 JYP327693:JYP327710 KIL327693:KIL327710 KSH327693:KSH327710 LCD327693:LCD327710 LLZ327693:LLZ327710 LVV327693:LVV327710 MFR327693:MFR327710 MPN327693:MPN327710 MZJ327693:MZJ327710 NJF327693:NJF327710 NTB327693:NTB327710 OCX327693:OCX327710 OMT327693:OMT327710 OWP327693:OWP327710 PGL327693:PGL327710 PQH327693:PQH327710 QAD327693:QAD327710 QJZ327693:QJZ327710 QTV327693:QTV327710 RDR327693:RDR327710 RNN327693:RNN327710 RXJ327693:RXJ327710 SHF327693:SHF327710 SRB327693:SRB327710 TAX327693:TAX327710 TKT327693:TKT327710 TUP327693:TUP327710 UEL327693:UEL327710 UOH327693:UOH327710 UYD327693:UYD327710 VHZ327693:VHZ327710 VRV327693:VRV327710 WBR327693:WBR327710 WLN327693:WLN327710 WVJ327693:WVJ327710 B393229:B393246 IX393229:IX393246 ST393229:ST393246 ACP393229:ACP393246 AML393229:AML393246 AWH393229:AWH393246 BGD393229:BGD393246 BPZ393229:BPZ393246 BZV393229:BZV393246 CJR393229:CJR393246 CTN393229:CTN393246 DDJ393229:DDJ393246 DNF393229:DNF393246 DXB393229:DXB393246 EGX393229:EGX393246 EQT393229:EQT393246 FAP393229:FAP393246 FKL393229:FKL393246 FUH393229:FUH393246 GED393229:GED393246 GNZ393229:GNZ393246 GXV393229:GXV393246 HHR393229:HHR393246 HRN393229:HRN393246 IBJ393229:IBJ393246 ILF393229:ILF393246 IVB393229:IVB393246 JEX393229:JEX393246 JOT393229:JOT393246 JYP393229:JYP393246 KIL393229:KIL393246 KSH393229:KSH393246 LCD393229:LCD393246 LLZ393229:LLZ393246 LVV393229:LVV393246 MFR393229:MFR393246 MPN393229:MPN393246 MZJ393229:MZJ393246 NJF393229:NJF393246 NTB393229:NTB393246 OCX393229:OCX393246 OMT393229:OMT393246 OWP393229:OWP393246 PGL393229:PGL393246 PQH393229:PQH393246 QAD393229:QAD393246 QJZ393229:QJZ393246 QTV393229:QTV393246 RDR393229:RDR393246 RNN393229:RNN393246 RXJ393229:RXJ393246 SHF393229:SHF393246 SRB393229:SRB393246 TAX393229:TAX393246 TKT393229:TKT393246 TUP393229:TUP393246 UEL393229:UEL393246 UOH393229:UOH393246 UYD393229:UYD393246 VHZ393229:VHZ393246 VRV393229:VRV393246 WBR393229:WBR393246 WLN393229:WLN393246 WVJ393229:WVJ393246 B458765:B458782 IX458765:IX458782 ST458765:ST458782 ACP458765:ACP458782 AML458765:AML458782 AWH458765:AWH458782 BGD458765:BGD458782 BPZ458765:BPZ458782 BZV458765:BZV458782 CJR458765:CJR458782 CTN458765:CTN458782 DDJ458765:DDJ458782 DNF458765:DNF458782 DXB458765:DXB458782 EGX458765:EGX458782 EQT458765:EQT458782 FAP458765:FAP458782 FKL458765:FKL458782 FUH458765:FUH458782 GED458765:GED458782 GNZ458765:GNZ458782 GXV458765:GXV458782 HHR458765:HHR458782 HRN458765:HRN458782 IBJ458765:IBJ458782 ILF458765:ILF458782 IVB458765:IVB458782 JEX458765:JEX458782 JOT458765:JOT458782 JYP458765:JYP458782 KIL458765:KIL458782 KSH458765:KSH458782 LCD458765:LCD458782 LLZ458765:LLZ458782 LVV458765:LVV458782 MFR458765:MFR458782 MPN458765:MPN458782 MZJ458765:MZJ458782 NJF458765:NJF458782 NTB458765:NTB458782 OCX458765:OCX458782 OMT458765:OMT458782 OWP458765:OWP458782 PGL458765:PGL458782 PQH458765:PQH458782 QAD458765:QAD458782 QJZ458765:QJZ458782 QTV458765:QTV458782 RDR458765:RDR458782 RNN458765:RNN458782 RXJ458765:RXJ458782 SHF458765:SHF458782 SRB458765:SRB458782 TAX458765:TAX458782 TKT458765:TKT458782 TUP458765:TUP458782 UEL458765:UEL458782 UOH458765:UOH458782 UYD458765:UYD458782 VHZ458765:VHZ458782 VRV458765:VRV458782 WBR458765:WBR458782 WLN458765:WLN458782 WVJ458765:WVJ458782 B524301:B524318 IX524301:IX524318 ST524301:ST524318 ACP524301:ACP524318 AML524301:AML524318 AWH524301:AWH524318 BGD524301:BGD524318 BPZ524301:BPZ524318 BZV524301:BZV524318 CJR524301:CJR524318 CTN524301:CTN524318 DDJ524301:DDJ524318 DNF524301:DNF524318 DXB524301:DXB524318 EGX524301:EGX524318 EQT524301:EQT524318 FAP524301:FAP524318 FKL524301:FKL524318 FUH524301:FUH524318 GED524301:GED524318 GNZ524301:GNZ524318 GXV524301:GXV524318 HHR524301:HHR524318 HRN524301:HRN524318 IBJ524301:IBJ524318 ILF524301:ILF524318 IVB524301:IVB524318 JEX524301:JEX524318 JOT524301:JOT524318 JYP524301:JYP524318 KIL524301:KIL524318 KSH524301:KSH524318 LCD524301:LCD524318 LLZ524301:LLZ524318 LVV524301:LVV524318 MFR524301:MFR524318 MPN524301:MPN524318 MZJ524301:MZJ524318 NJF524301:NJF524318 NTB524301:NTB524318 OCX524301:OCX524318 OMT524301:OMT524318 OWP524301:OWP524318 PGL524301:PGL524318 PQH524301:PQH524318 QAD524301:QAD524318 QJZ524301:QJZ524318 QTV524301:QTV524318 RDR524301:RDR524318 RNN524301:RNN524318 RXJ524301:RXJ524318 SHF524301:SHF524318 SRB524301:SRB524318 TAX524301:TAX524318 TKT524301:TKT524318 TUP524301:TUP524318 UEL524301:UEL524318 UOH524301:UOH524318 UYD524301:UYD524318 VHZ524301:VHZ524318 VRV524301:VRV524318 WBR524301:WBR524318 WLN524301:WLN524318 WVJ524301:WVJ524318 B589837:B589854 IX589837:IX589854 ST589837:ST589854 ACP589837:ACP589854 AML589837:AML589854 AWH589837:AWH589854 BGD589837:BGD589854 BPZ589837:BPZ589854 BZV589837:BZV589854 CJR589837:CJR589854 CTN589837:CTN589854 DDJ589837:DDJ589854 DNF589837:DNF589854 DXB589837:DXB589854 EGX589837:EGX589854 EQT589837:EQT589854 FAP589837:FAP589854 FKL589837:FKL589854 FUH589837:FUH589854 GED589837:GED589854 GNZ589837:GNZ589854 GXV589837:GXV589854 HHR589837:HHR589854 HRN589837:HRN589854 IBJ589837:IBJ589854 ILF589837:ILF589854 IVB589837:IVB589854 JEX589837:JEX589854 JOT589837:JOT589854 JYP589837:JYP589854 KIL589837:KIL589854 KSH589837:KSH589854 LCD589837:LCD589854 LLZ589837:LLZ589854 LVV589837:LVV589854 MFR589837:MFR589854 MPN589837:MPN589854 MZJ589837:MZJ589854 NJF589837:NJF589854 NTB589837:NTB589854 OCX589837:OCX589854 OMT589837:OMT589854 OWP589837:OWP589854 PGL589837:PGL589854 PQH589837:PQH589854 QAD589837:QAD589854 QJZ589837:QJZ589854 QTV589837:QTV589854 RDR589837:RDR589854 RNN589837:RNN589854 RXJ589837:RXJ589854 SHF589837:SHF589854 SRB589837:SRB589854 TAX589837:TAX589854 TKT589837:TKT589854 TUP589837:TUP589854 UEL589837:UEL589854 UOH589837:UOH589854 UYD589837:UYD589854 VHZ589837:VHZ589854 VRV589837:VRV589854 WBR589837:WBR589854 WLN589837:WLN589854 WVJ589837:WVJ589854 B655373:B655390 IX655373:IX655390 ST655373:ST655390 ACP655373:ACP655390 AML655373:AML655390 AWH655373:AWH655390 BGD655373:BGD655390 BPZ655373:BPZ655390 BZV655373:BZV655390 CJR655373:CJR655390 CTN655373:CTN655390 DDJ655373:DDJ655390 DNF655373:DNF655390 DXB655373:DXB655390 EGX655373:EGX655390 EQT655373:EQT655390 FAP655373:FAP655390 FKL655373:FKL655390 FUH655373:FUH655390 GED655373:GED655390 GNZ655373:GNZ655390 GXV655373:GXV655390 HHR655373:HHR655390 HRN655373:HRN655390 IBJ655373:IBJ655390 ILF655373:ILF655390 IVB655373:IVB655390 JEX655373:JEX655390 JOT655373:JOT655390 JYP655373:JYP655390 KIL655373:KIL655390 KSH655373:KSH655390 LCD655373:LCD655390 LLZ655373:LLZ655390 LVV655373:LVV655390 MFR655373:MFR655390 MPN655373:MPN655390 MZJ655373:MZJ655390 NJF655373:NJF655390 NTB655373:NTB655390 OCX655373:OCX655390 OMT655373:OMT655390 OWP655373:OWP655390 PGL655373:PGL655390 PQH655373:PQH655390 QAD655373:QAD655390 QJZ655373:QJZ655390 QTV655373:QTV655390 RDR655373:RDR655390 RNN655373:RNN655390 RXJ655373:RXJ655390 SHF655373:SHF655390 SRB655373:SRB655390 TAX655373:TAX655390 TKT655373:TKT655390 TUP655373:TUP655390 UEL655373:UEL655390 UOH655373:UOH655390 UYD655373:UYD655390 VHZ655373:VHZ655390 VRV655373:VRV655390 WBR655373:WBR655390 WLN655373:WLN655390 WVJ655373:WVJ655390 B720909:B720926 IX720909:IX720926 ST720909:ST720926 ACP720909:ACP720926 AML720909:AML720926 AWH720909:AWH720926 BGD720909:BGD720926 BPZ720909:BPZ720926 BZV720909:BZV720926 CJR720909:CJR720926 CTN720909:CTN720926 DDJ720909:DDJ720926 DNF720909:DNF720926 DXB720909:DXB720926 EGX720909:EGX720926 EQT720909:EQT720926 FAP720909:FAP720926 FKL720909:FKL720926 FUH720909:FUH720926 GED720909:GED720926 GNZ720909:GNZ720926 GXV720909:GXV720926 HHR720909:HHR720926 HRN720909:HRN720926 IBJ720909:IBJ720926 ILF720909:ILF720926 IVB720909:IVB720926 JEX720909:JEX720926 JOT720909:JOT720926 JYP720909:JYP720926 KIL720909:KIL720926 KSH720909:KSH720926 LCD720909:LCD720926 LLZ720909:LLZ720926 LVV720909:LVV720926 MFR720909:MFR720926 MPN720909:MPN720926 MZJ720909:MZJ720926 NJF720909:NJF720926 NTB720909:NTB720926 OCX720909:OCX720926 OMT720909:OMT720926 OWP720909:OWP720926 PGL720909:PGL720926 PQH720909:PQH720926 QAD720909:QAD720926 QJZ720909:QJZ720926 QTV720909:QTV720926 RDR720909:RDR720926 RNN720909:RNN720926 RXJ720909:RXJ720926 SHF720909:SHF720926 SRB720909:SRB720926 TAX720909:TAX720926 TKT720909:TKT720926 TUP720909:TUP720926 UEL720909:UEL720926 UOH720909:UOH720926 UYD720909:UYD720926 VHZ720909:VHZ720926 VRV720909:VRV720926 WBR720909:WBR720926 WLN720909:WLN720926 WVJ720909:WVJ720926 B786445:B786462 IX786445:IX786462 ST786445:ST786462 ACP786445:ACP786462 AML786445:AML786462 AWH786445:AWH786462 BGD786445:BGD786462 BPZ786445:BPZ786462 BZV786445:BZV786462 CJR786445:CJR786462 CTN786445:CTN786462 DDJ786445:DDJ786462 DNF786445:DNF786462 DXB786445:DXB786462 EGX786445:EGX786462 EQT786445:EQT786462 FAP786445:FAP786462 FKL786445:FKL786462 FUH786445:FUH786462 GED786445:GED786462 GNZ786445:GNZ786462 GXV786445:GXV786462 HHR786445:HHR786462 HRN786445:HRN786462 IBJ786445:IBJ786462 ILF786445:ILF786462 IVB786445:IVB786462 JEX786445:JEX786462 JOT786445:JOT786462 JYP786445:JYP786462 KIL786445:KIL786462 KSH786445:KSH786462 LCD786445:LCD786462 LLZ786445:LLZ786462 LVV786445:LVV786462 MFR786445:MFR786462 MPN786445:MPN786462 MZJ786445:MZJ786462 NJF786445:NJF786462 NTB786445:NTB786462 OCX786445:OCX786462 OMT786445:OMT786462 OWP786445:OWP786462 PGL786445:PGL786462 PQH786445:PQH786462 QAD786445:QAD786462 QJZ786445:QJZ786462 QTV786445:QTV786462 RDR786445:RDR786462 RNN786445:RNN786462 RXJ786445:RXJ786462 SHF786445:SHF786462 SRB786445:SRB786462 TAX786445:TAX786462 TKT786445:TKT786462 TUP786445:TUP786462 UEL786445:UEL786462 UOH786445:UOH786462 UYD786445:UYD786462 VHZ786445:VHZ786462 VRV786445:VRV786462 WBR786445:WBR786462 WLN786445:WLN786462 WVJ786445:WVJ786462 B851981:B851998 IX851981:IX851998 ST851981:ST851998 ACP851981:ACP851998 AML851981:AML851998 AWH851981:AWH851998 BGD851981:BGD851998 BPZ851981:BPZ851998 BZV851981:BZV851998 CJR851981:CJR851998 CTN851981:CTN851998 DDJ851981:DDJ851998 DNF851981:DNF851998 DXB851981:DXB851998 EGX851981:EGX851998 EQT851981:EQT851998 FAP851981:FAP851998 FKL851981:FKL851998 FUH851981:FUH851998 GED851981:GED851998 GNZ851981:GNZ851998 GXV851981:GXV851998 HHR851981:HHR851998 HRN851981:HRN851998 IBJ851981:IBJ851998 ILF851981:ILF851998 IVB851981:IVB851998 JEX851981:JEX851998 JOT851981:JOT851998 JYP851981:JYP851998 KIL851981:KIL851998 KSH851981:KSH851998 LCD851981:LCD851998 LLZ851981:LLZ851998 LVV851981:LVV851998 MFR851981:MFR851998 MPN851981:MPN851998 MZJ851981:MZJ851998 NJF851981:NJF851998 NTB851981:NTB851998 OCX851981:OCX851998 OMT851981:OMT851998 OWP851981:OWP851998 PGL851981:PGL851998 PQH851981:PQH851998 QAD851981:QAD851998 QJZ851981:QJZ851998 QTV851981:QTV851998 RDR851981:RDR851998 RNN851981:RNN851998 RXJ851981:RXJ851998 SHF851981:SHF851998 SRB851981:SRB851998 TAX851981:TAX851998 TKT851981:TKT851998 TUP851981:TUP851998 UEL851981:UEL851998 UOH851981:UOH851998 UYD851981:UYD851998 VHZ851981:VHZ851998 VRV851981:VRV851998 WBR851981:WBR851998 WLN851981:WLN851998 WVJ851981:WVJ851998 B917517:B917534 IX917517:IX917534 ST917517:ST917534 ACP917517:ACP917534 AML917517:AML917534 AWH917517:AWH917534 BGD917517:BGD917534 BPZ917517:BPZ917534 BZV917517:BZV917534 CJR917517:CJR917534 CTN917517:CTN917534 DDJ917517:DDJ917534 DNF917517:DNF917534 DXB917517:DXB917534 EGX917517:EGX917534 EQT917517:EQT917534 FAP917517:FAP917534 FKL917517:FKL917534 FUH917517:FUH917534 GED917517:GED917534 GNZ917517:GNZ917534 GXV917517:GXV917534 HHR917517:HHR917534 HRN917517:HRN917534 IBJ917517:IBJ917534 ILF917517:ILF917534 IVB917517:IVB917534 JEX917517:JEX917534 JOT917517:JOT917534 JYP917517:JYP917534 KIL917517:KIL917534 KSH917517:KSH917534 LCD917517:LCD917534 LLZ917517:LLZ917534 LVV917517:LVV917534 MFR917517:MFR917534 MPN917517:MPN917534 MZJ917517:MZJ917534 NJF917517:NJF917534 NTB917517:NTB917534 OCX917517:OCX917534 OMT917517:OMT917534 OWP917517:OWP917534 PGL917517:PGL917534 PQH917517:PQH917534 QAD917517:QAD917534 QJZ917517:QJZ917534 QTV917517:QTV917534 RDR917517:RDR917534 RNN917517:RNN917534 RXJ917517:RXJ917534 SHF917517:SHF917534 SRB917517:SRB917534 TAX917517:TAX917534 TKT917517:TKT917534 TUP917517:TUP917534 UEL917517:UEL917534 UOH917517:UOH917534 UYD917517:UYD917534 VHZ917517:VHZ917534 VRV917517:VRV917534 WBR917517:WBR917534 WLN917517:WLN917534 WVJ917517:WVJ917534" xr:uid="{00000000-0002-0000-1500-000000000000}">
      <formula1>trung</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366"/>
  <sheetViews>
    <sheetView topLeftCell="A11"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57"/>
      <c r="G3" s="102"/>
      <c r="H3" s="103"/>
    </row>
    <row r="4" spans="1:8" s="98" customFormat="1" ht="18" customHeight="1">
      <c r="A4" s="414"/>
      <c r="B4" s="414"/>
      <c r="C4" s="415" t="s">
        <v>1740</v>
      </c>
      <c r="D4" s="416"/>
      <c r="E4" s="416"/>
      <c r="F4" s="416"/>
      <c r="G4" s="416"/>
      <c r="H4" s="416"/>
    </row>
    <row r="5" spans="1:8" s="98" customFormat="1" ht="15.6">
      <c r="A5" s="104"/>
      <c r="B5" s="104"/>
      <c r="C5" s="156"/>
      <c r="D5" s="105"/>
      <c r="E5" s="106"/>
      <c r="F5" s="156"/>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1851</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1903</v>
      </c>
      <c r="C13" s="425"/>
      <c r="D13" s="425"/>
      <c r="E13" s="425"/>
      <c r="F13" s="425"/>
      <c r="G13" s="73">
        <f>G14</f>
        <v>19470000</v>
      </c>
      <c r="H13" s="74"/>
    </row>
    <row r="14" spans="1:8" s="131" customFormat="1" ht="183" customHeight="1">
      <c r="A14" s="123"/>
      <c r="B14" s="124" t="s">
        <v>2054</v>
      </c>
      <c r="C14" s="125" t="s">
        <v>1753</v>
      </c>
      <c r="D14" s="126">
        <v>3.3</v>
      </c>
      <c r="E14" s="127">
        <v>11800000</v>
      </c>
      <c r="F14" s="188">
        <v>0.5</v>
      </c>
      <c r="G14" s="129">
        <f>D14*E14*F14</f>
        <v>19470000</v>
      </c>
      <c r="H14" s="130"/>
    </row>
    <row r="15" spans="1:8" ht="27" customHeight="1">
      <c r="A15" s="75" t="s">
        <v>18</v>
      </c>
      <c r="B15" s="426" t="s">
        <v>1725</v>
      </c>
      <c r="C15" s="426"/>
      <c r="D15" s="426"/>
      <c r="E15" s="426"/>
      <c r="F15" s="426"/>
      <c r="G15" s="76">
        <f>SUM(G17:G22)</f>
        <v>5238831.051466668</v>
      </c>
      <c r="H15" s="11"/>
    </row>
    <row r="16" spans="1:8" ht="60" customHeight="1">
      <c r="A16" s="75"/>
      <c r="B16" s="433" t="s">
        <v>2039</v>
      </c>
      <c r="C16" s="434"/>
      <c r="D16" s="434"/>
      <c r="E16" s="434"/>
      <c r="F16" s="435"/>
      <c r="G16" s="76"/>
      <c r="H16" s="11"/>
    </row>
    <row r="17" spans="1:8" ht="31.2">
      <c r="A17" s="167">
        <v>1</v>
      </c>
      <c r="B17" s="168" t="s">
        <v>1904</v>
      </c>
      <c r="C17" s="169" t="s">
        <v>1754</v>
      </c>
      <c r="D17" s="170">
        <f>1*1.1*0.11</f>
        <v>0.12100000000000001</v>
      </c>
      <c r="E17" s="171">
        <v>2126713</v>
      </c>
      <c r="F17" s="189">
        <v>0.8</v>
      </c>
      <c r="G17" s="172">
        <f>D17*E17*F17</f>
        <v>205865.81840000002</v>
      </c>
      <c r="H17" s="171"/>
    </row>
    <row r="18" spans="1:8" s="179" customFormat="1" ht="15.6">
      <c r="A18" s="77"/>
      <c r="B18" s="78" t="s">
        <v>1982</v>
      </c>
      <c r="C18" s="14" t="s">
        <v>66</v>
      </c>
      <c r="D18" s="132">
        <f>1*1.1*2</f>
        <v>2.2000000000000002</v>
      </c>
      <c r="E18" s="15">
        <v>141099</v>
      </c>
      <c r="F18" s="189">
        <v>0.8</v>
      </c>
      <c r="G18" s="79">
        <f t="shared" ref="G18" si="0">D18*E18*F18</f>
        <v>248334.24000000005</v>
      </c>
      <c r="H18" s="15"/>
    </row>
    <row r="19" spans="1:8" ht="15.6">
      <c r="A19" s="173">
        <v>2</v>
      </c>
      <c r="B19" s="174" t="s">
        <v>1905</v>
      </c>
      <c r="C19" s="175" t="s">
        <v>1754</v>
      </c>
      <c r="D19" s="176">
        <f>2.2*4.8*0.1</f>
        <v>1.056</v>
      </c>
      <c r="E19" s="177">
        <v>1629758</v>
      </c>
      <c r="F19" s="189">
        <v>0.8</v>
      </c>
      <c r="G19" s="178">
        <f t="shared" ref="G19:G22" si="1">D19*E19*F19</f>
        <v>1376819.5584000002</v>
      </c>
      <c r="H19" s="177"/>
    </row>
    <row r="20" spans="1:8" ht="15.6">
      <c r="A20" s="77">
        <v>3</v>
      </c>
      <c r="B20" s="78" t="s">
        <v>1906</v>
      </c>
      <c r="C20" s="14" t="s">
        <v>66</v>
      </c>
      <c r="D20" s="132">
        <f>4.8*2.2</f>
        <v>10.56</v>
      </c>
      <c r="E20" s="15">
        <v>379477</v>
      </c>
      <c r="F20" s="189">
        <v>0.8</v>
      </c>
      <c r="G20" s="79">
        <f>D20*E20*F20</f>
        <v>3205821.6960000005</v>
      </c>
      <c r="H20" s="15"/>
    </row>
    <row r="21" spans="1:8" ht="15.6">
      <c r="A21" s="77">
        <v>4</v>
      </c>
      <c r="B21" s="78" t="s">
        <v>1907</v>
      </c>
      <c r="C21" s="14" t="s">
        <v>66</v>
      </c>
      <c r="D21" s="132">
        <f>0.3*2.2</f>
        <v>0.66</v>
      </c>
      <c r="E21" s="15">
        <v>214934</v>
      </c>
      <c r="F21" s="189">
        <v>0.8</v>
      </c>
      <c r="G21" s="79">
        <f t="shared" ref="G21" si="2">D21*E21*F21</f>
        <v>113485.152</v>
      </c>
      <c r="H21" s="15"/>
    </row>
    <row r="22" spans="1:8" ht="46.8">
      <c r="A22" s="77">
        <v>5</v>
      </c>
      <c r="B22" s="78" t="s">
        <v>2045</v>
      </c>
      <c r="C22" s="14" t="s">
        <v>1755</v>
      </c>
      <c r="D22" s="132">
        <f>(10.76/6)*3.1</f>
        <v>5.559333333333333</v>
      </c>
      <c r="E22" s="15">
        <v>19900</v>
      </c>
      <c r="F22" s="189">
        <v>0.8</v>
      </c>
      <c r="G22" s="79">
        <f t="shared" si="1"/>
        <v>88504.58666666667</v>
      </c>
      <c r="H22" s="15"/>
    </row>
    <row r="23" spans="1:8" ht="24" customHeight="1">
      <c r="A23" s="75" t="s">
        <v>19</v>
      </c>
      <c r="B23" s="426" t="s">
        <v>1727</v>
      </c>
      <c r="C23" s="426"/>
      <c r="D23" s="426"/>
      <c r="E23" s="426"/>
      <c r="F23" s="426"/>
      <c r="G23" s="76">
        <f>SUM(G24:G24)</f>
        <v>0</v>
      </c>
      <c r="H23" s="11"/>
    </row>
    <row r="24" spans="1:8" ht="30.6" customHeight="1">
      <c r="A24" s="77"/>
      <c r="B24" s="78" t="s">
        <v>1728</v>
      </c>
      <c r="C24" s="13"/>
      <c r="D24" s="13"/>
      <c r="E24" s="13"/>
      <c r="F24" s="13"/>
      <c r="G24" s="79"/>
      <c r="H24" s="15"/>
    </row>
    <row r="25" spans="1:8" ht="15.6">
      <c r="A25" s="80"/>
      <c r="B25" s="427" t="s">
        <v>62</v>
      </c>
      <c r="C25" s="428"/>
      <c r="D25" s="428"/>
      <c r="E25" s="428"/>
      <c r="F25" s="429"/>
      <c r="G25" s="81">
        <f>G13+G15+G23</f>
        <v>24708831.051466666</v>
      </c>
      <c r="H25" s="82"/>
    </row>
    <row r="26" spans="1:8" ht="15.6">
      <c r="A26" s="80"/>
      <c r="B26" s="427" t="s">
        <v>1726</v>
      </c>
      <c r="C26" s="428"/>
      <c r="D26" s="428"/>
      <c r="E26" s="428"/>
      <c r="F26" s="429"/>
      <c r="G26" s="81">
        <f>ROUND(G25,-3)</f>
        <v>24709000</v>
      </c>
      <c r="H26" s="82"/>
    </row>
    <row r="27" spans="1:8" ht="15.6">
      <c r="A27" s="430" t="e">
        <f ca="1">[19]!vnd(G26)</f>
        <v>#NAME?</v>
      </c>
      <c r="B27" s="431"/>
      <c r="C27" s="431"/>
      <c r="D27" s="431"/>
      <c r="E27" s="431"/>
      <c r="F27" s="431"/>
      <c r="G27" s="431"/>
      <c r="H27" s="432"/>
    </row>
    <row r="28" spans="1:8">
      <c r="A28" s="17"/>
      <c r="B28" s="17"/>
      <c r="C28" s="97"/>
      <c r="D28" s="20"/>
      <c r="E28" s="19"/>
      <c r="F28" s="97"/>
      <c r="G28" s="19"/>
      <c r="H28" s="17"/>
    </row>
    <row r="29" spans="1:8" s="109" customFormat="1" ht="16.5" customHeight="1">
      <c r="A29" s="108"/>
      <c r="B29" s="108"/>
      <c r="C29" s="424" t="s">
        <v>1742</v>
      </c>
      <c r="D29" s="424"/>
      <c r="E29" s="424"/>
      <c r="F29" s="424"/>
      <c r="G29" s="424"/>
      <c r="H29" s="424"/>
    </row>
    <row r="30" spans="1:8" s="109" customFormat="1" ht="16.5" customHeight="1">
      <c r="A30" s="423" t="s">
        <v>63</v>
      </c>
      <c r="B30" s="423"/>
      <c r="C30" s="424" t="s">
        <v>1743</v>
      </c>
      <c r="D30" s="424"/>
      <c r="E30" s="424"/>
      <c r="F30" s="424" t="s">
        <v>1744</v>
      </c>
      <c r="G30" s="424"/>
      <c r="H30" s="424"/>
    </row>
    <row r="31" spans="1:8" s="109" customFormat="1" ht="15.6">
      <c r="A31" s="108"/>
      <c r="B31" s="108"/>
      <c r="C31" s="108"/>
      <c r="D31" s="110"/>
      <c r="E31" s="111"/>
      <c r="F31" s="112"/>
      <c r="G31" s="111"/>
      <c r="H31" s="113"/>
    </row>
    <row r="32" spans="1:8" s="109" customFormat="1" ht="15.6">
      <c r="A32" s="108"/>
      <c r="B32" s="108"/>
      <c r="C32" s="108"/>
      <c r="D32" s="110"/>
      <c r="E32" s="111"/>
      <c r="F32" s="112"/>
      <c r="G32" s="114"/>
      <c r="H32" s="113"/>
    </row>
    <row r="33" spans="1:8" s="109" customFormat="1" ht="15.6">
      <c r="A33" s="108"/>
      <c r="B33" s="108"/>
      <c r="C33" s="108"/>
      <c r="D33" s="110"/>
      <c r="E33" s="111"/>
      <c r="F33" s="112"/>
      <c r="G33" s="111"/>
      <c r="H33" s="113"/>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6.5" customHeight="1">
      <c r="A36" s="108"/>
      <c r="B36" s="158" t="s">
        <v>64</v>
      </c>
      <c r="C36" s="424"/>
      <c r="D36" s="424"/>
      <c r="E36" s="424"/>
      <c r="F36" s="424" t="s">
        <v>1745</v>
      </c>
      <c r="G36" s="424"/>
      <c r="H36" s="424"/>
    </row>
    <row r="37" spans="1:8" s="109" customFormat="1" ht="15.6">
      <c r="A37" s="108"/>
      <c r="B37" s="158"/>
      <c r="C37" s="155"/>
      <c r="D37" s="155"/>
      <c r="E37" s="155"/>
      <c r="F37" s="155"/>
      <c r="G37" s="155"/>
      <c r="H37" s="155"/>
    </row>
    <row r="38" spans="1:8" s="109" customFormat="1" ht="15" customHeight="1">
      <c r="A38" s="424" t="s">
        <v>1746</v>
      </c>
      <c r="B38" s="424"/>
      <c r="C38" s="424"/>
      <c r="D38" s="424"/>
      <c r="E38" s="424" t="s">
        <v>1747</v>
      </c>
      <c r="F38" s="424"/>
      <c r="G38" s="424"/>
      <c r="H38" s="424"/>
    </row>
    <row r="39" spans="1:8" s="109" customFormat="1" ht="33.6" customHeight="1">
      <c r="A39" s="424" t="s">
        <v>1748</v>
      </c>
      <c r="B39" s="424"/>
      <c r="C39" s="424"/>
      <c r="D39" s="424"/>
      <c r="E39" s="424" t="s">
        <v>65</v>
      </c>
      <c r="F39" s="424"/>
      <c r="G39" s="424"/>
      <c r="H39" s="424"/>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 r="A43" s="108"/>
      <c r="B43" s="108"/>
      <c r="C43" s="108"/>
      <c r="D43" s="110"/>
      <c r="E43" s="111"/>
      <c r="F43" s="112"/>
      <c r="G43" s="111"/>
      <c r="H43" s="113"/>
    </row>
    <row r="44" spans="1:8" s="109" customFormat="1" ht="15.6">
      <c r="A44" s="108"/>
      <c r="B44" s="108"/>
      <c r="C44" s="108"/>
      <c r="D44" s="110"/>
      <c r="E44" s="111"/>
      <c r="F44" s="112"/>
      <c r="G44" s="111"/>
      <c r="H44" s="113"/>
    </row>
    <row r="45" spans="1:8" s="109" customFormat="1" ht="15.6" customHeight="1">
      <c r="A45" s="108"/>
      <c r="B45" s="108"/>
      <c r="C45" s="108"/>
      <c r="D45" s="115"/>
      <c r="E45" s="439" t="s">
        <v>1749</v>
      </c>
      <c r="F45" s="439"/>
      <c r="G45" s="439"/>
      <c r="H45" s="439"/>
    </row>
    <row r="46" spans="1:8" s="109" customFormat="1" ht="16.5" customHeight="1">
      <c r="A46" s="424" t="s">
        <v>1751</v>
      </c>
      <c r="B46" s="424"/>
      <c r="C46" s="424"/>
      <c r="D46" s="424"/>
      <c r="E46" s="424" t="s">
        <v>1750</v>
      </c>
      <c r="F46" s="424"/>
      <c r="G46" s="424"/>
      <c r="H46" s="424"/>
    </row>
    <row r="47" spans="1:8" s="118" customFormat="1" ht="16.2" customHeight="1">
      <c r="A47" s="440"/>
      <c r="B47" s="440"/>
      <c r="C47" s="116"/>
      <c r="D47" s="117"/>
      <c r="E47" s="440"/>
      <c r="F47" s="440"/>
      <c r="G47" s="440"/>
      <c r="H47" s="440"/>
    </row>
    <row r="48" spans="1:8" s="118" customFormat="1" ht="15.75" customHeight="1">
      <c r="A48" s="440"/>
      <c r="B48" s="440"/>
      <c r="C48" s="440"/>
      <c r="D48" s="440"/>
      <c r="E48" s="440"/>
      <c r="F48" s="440"/>
      <c r="G48" s="440"/>
      <c r="H48" s="440"/>
    </row>
    <row r="49" spans="1:8" s="98" customFormat="1" ht="16.2" customHeight="1">
      <c r="A49" s="436"/>
      <c r="B49" s="436"/>
      <c r="C49" s="436"/>
      <c r="D49" s="436"/>
      <c r="E49" s="119"/>
      <c r="F49" s="120"/>
      <c r="G49" s="119"/>
      <c r="H49" s="121"/>
    </row>
    <row r="50" spans="1:8" s="98" customFormat="1" ht="16.2" customHeight="1">
      <c r="A50" s="436"/>
      <c r="B50" s="436"/>
      <c r="C50" s="436"/>
      <c r="D50" s="436"/>
      <c r="E50" s="119"/>
      <c r="F50" s="120"/>
      <c r="G50" s="119"/>
      <c r="H50" s="121"/>
    </row>
    <row r="51" spans="1:8" s="98" customFormat="1" ht="16.2" customHeight="1">
      <c r="A51" s="121"/>
      <c r="B51" s="121"/>
      <c r="C51" s="121"/>
      <c r="D51" s="122"/>
      <c r="E51" s="119"/>
      <c r="F51" s="120"/>
      <c r="G51" s="119"/>
      <c r="H51" s="121"/>
    </row>
    <row r="52" spans="1:8" ht="16.2" customHeight="1">
      <c r="A52" s="83"/>
      <c r="B52" s="83"/>
      <c r="C52" s="83"/>
      <c r="D52" s="84"/>
      <c r="E52" s="85"/>
      <c r="F52" s="86"/>
      <c r="G52" s="85"/>
      <c r="H52" s="83"/>
    </row>
    <row r="53" spans="1:8" ht="16.2" customHeight="1">
      <c r="A53" s="83"/>
      <c r="B53" s="83"/>
      <c r="C53" s="83"/>
      <c r="D53" s="84"/>
      <c r="E53" s="85"/>
      <c r="F53" s="86"/>
      <c r="G53" s="85"/>
      <c r="H53" s="83"/>
    </row>
    <row r="54" spans="1:8" ht="16.2" customHeight="1">
      <c r="A54" s="83"/>
      <c r="B54" s="83"/>
      <c r="C54" s="83"/>
      <c r="D54" s="84"/>
      <c r="E54" s="85"/>
      <c r="F54" s="86"/>
      <c r="G54" s="85"/>
      <c r="H54" s="83"/>
    </row>
    <row r="55" spans="1:8" ht="16.2" customHeight="1">
      <c r="A55" s="83"/>
      <c r="B55" s="83"/>
      <c r="C55" s="83"/>
      <c r="D55" s="84"/>
      <c r="E55" s="437"/>
      <c r="F55" s="437"/>
      <c r="G55" s="437"/>
      <c r="H55" s="437"/>
    </row>
    <row r="56" spans="1:8" ht="20.25" customHeight="1">
      <c r="A56" s="438"/>
      <c r="B56" s="438"/>
      <c r="C56" s="438"/>
      <c r="D56" s="438"/>
      <c r="E56" s="438"/>
      <c r="F56" s="438"/>
      <c r="G56" s="438"/>
      <c r="H56" s="438"/>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row r="232"/>
    <row r="233"/>
    <row r="234"/>
    <row r="235"/>
    <row r="236"/>
    <row r="237"/>
    <row r="238"/>
    <row r="239"/>
    <row r="240"/>
    <row r="241"/>
    <row r="242"/>
    <row r="243"/>
    <row r="244"/>
    <row r="245"/>
    <row r="246"/>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sheetData>
  <mergeCells count="41">
    <mergeCell ref="E55:H55"/>
    <mergeCell ref="A56:H56"/>
    <mergeCell ref="A47:B47"/>
    <mergeCell ref="E47:H47"/>
    <mergeCell ref="A48:D48"/>
    <mergeCell ref="E48:H48"/>
    <mergeCell ref="A49:D49"/>
    <mergeCell ref="A50:D50"/>
    <mergeCell ref="A46:D46"/>
    <mergeCell ref="E46:H46"/>
    <mergeCell ref="C29:H29"/>
    <mergeCell ref="A30:B30"/>
    <mergeCell ref="C30:E30"/>
    <mergeCell ref="F30:H30"/>
    <mergeCell ref="C36:E36"/>
    <mergeCell ref="F36:H36"/>
    <mergeCell ref="A38:D38"/>
    <mergeCell ref="E38:H38"/>
    <mergeCell ref="A39:D39"/>
    <mergeCell ref="E39:H39"/>
    <mergeCell ref="E45:H45"/>
    <mergeCell ref="A27:H27"/>
    <mergeCell ref="A6:H6"/>
    <mergeCell ref="A7:H7"/>
    <mergeCell ref="A8:H8"/>
    <mergeCell ref="A9:H9"/>
    <mergeCell ref="A10:H10"/>
    <mergeCell ref="A11:H11"/>
    <mergeCell ref="B13:F13"/>
    <mergeCell ref="B15:F15"/>
    <mergeCell ref="B23:F23"/>
    <mergeCell ref="B25:F25"/>
    <mergeCell ref="B26:F26"/>
    <mergeCell ref="B16:F16"/>
    <mergeCell ref="A4:B4"/>
    <mergeCell ref="C4:H4"/>
    <mergeCell ref="A1:B1"/>
    <mergeCell ref="C1:H1"/>
    <mergeCell ref="A2:B2"/>
    <mergeCell ref="C2:H2"/>
    <mergeCell ref="A3:B3"/>
  </mergeCells>
  <dataValidations count="1">
    <dataValidation type="list" allowBlank="1" showInputMessage="1" showErrorMessage="1" sqref="WVJ983048:WVJ983065 B983048:B983065 IX983048:IX983065 ST983048:ST983065 ACP983048:ACP983065 AML983048:AML983065 AWH983048:AWH983065 BGD983048:BGD983065 BPZ983048:BPZ983065 BZV983048:BZV983065 CJR983048:CJR983065 CTN983048:CTN983065 DDJ983048:DDJ983065 DNF983048:DNF983065 DXB983048:DXB983065 EGX983048:EGX983065 EQT983048:EQT983065 FAP983048:FAP983065 FKL983048:FKL983065 FUH983048:FUH983065 GED983048:GED983065 GNZ983048:GNZ983065 GXV983048:GXV983065 HHR983048:HHR983065 HRN983048:HRN983065 IBJ983048:IBJ983065 ILF983048:ILF983065 IVB983048:IVB983065 JEX983048:JEX983065 JOT983048:JOT983065 JYP983048:JYP983065 KIL983048:KIL983065 KSH983048:KSH983065 LCD983048:LCD983065 LLZ983048:LLZ983065 LVV983048:LVV983065 MFR983048:MFR983065 MPN983048:MPN983065 MZJ983048:MZJ983065 NJF983048:NJF983065 NTB983048:NTB983065 OCX983048:OCX983065 OMT983048:OMT983065 OWP983048:OWP983065 PGL983048:PGL983065 PQH983048:PQH983065 QAD983048:QAD983065 QJZ983048:QJZ983065 QTV983048:QTV983065 RDR983048:RDR983065 RNN983048:RNN983065 RXJ983048:RXJ983065 SHF983048:SHF983065 SRB983048:SRB983065 TAX983048:TAX983065 TKT983048:TKT983065 TUP983048:TUP983065 UEL983048:UEL983065 UOH983048:UOH983065 UYD983048:UYD983065 VHZ983048:VHZ983065 VRV983048:VRV983065 WBR983048:WBR983065 WLN983048:WLN983065 B65544:B65561 IX65544:IX65561 ST65544:ST65561 ACP65544:ACP65561 AML65544:AML65561 AWH65544:AWH65561 BGD65544:BGD65561 BPZ65544:BPZ65561 BZV65544:BZV65561 CJR65544:CJR65561 CTN65544:CTN65561 DDJ65544:DDJ65561 DNF65544:DNF65561 DXB65544:DXB65561 EGX65544:EGX65561 EQT65544:EQT65561 FAP65544:FAP65561 FKL65544:FKL65561 FUH65544:FUH65561 GED65544:GED65561 GNZ65544:GNZ65561 GXV65544:GXV65561 HHR65544:HHR65561 HRN65544:HRN65561 IBJ65544:IBJ65561 ILF65544:ILF65561 IVB65544:IVB65561 JEX65544:JEX65561 JOT65544:JOT65561 JYP65544:JYP65561 KIL65544:KIL65561 KSH65544:KSH65561 LCD65544:LCD65561 LLZ65544:LLZ65561 LVV65544:LVV65561 MFR65544:MFR65561 MPN65544:MPN65561 MZJ65544:MZJ65561 NJF65544:NJF65561 NTB65544:NTB65561 OCX65544:OCX65561 OMT65544:OMT65561 OWP65544:OWP65561 PGL65544:PGL65561 PQH65544:PQH65561 QAD65544:QAD65561 QJZ65544:QJZ65561 QTV65544:QTV65561 RDR65544:RDR65561 RNN65544:RNN65561 RXJ65544:RXJ65561 SHF65544:SHF65561 SRB65544:SRB65561 TAX65544:TAX65561 TKT65544:TKT65561 TUP65544:TUP65561 UEL65544:UEL65561 UOH65544:UOH65561 UYD65544:UYD65561 VHZ65544:VHZ65561 VRV65544:VRV65561 WBR65544:WBR65561 WLN65544:WLN65561 WVJ65544:WVJ65561 B131080:B131097 IX131080:IX131097 ST131080:ST131097 ACP131080:ACP131097 AML131080:AML131097 AWH131080:AWH131097 BGD131080:BGD131097 BPZ131080:BPZ131097 BZV131080:BZV131097 CJR131080:CJR131097 CTN131080:CTN131097 DDJ131080:DDJ131097 DNF131080:DNF131097 DXB131080:DXB131097 EGX131080:EGX131097 EQT131080:EQT131097 FAP131080:FAP131097 FKL131080:FKL131097 FUH131080:FUH131097 GED131080:GED131097 GNZ131080:GNZ131097 GXV131080:GXV131097 HHR131080:HHR131097 HRN131080:HRN131097 IBJ131080:IBJ131097 ILF131080:ILF131097 IVB131080:IVB131097 JEX131080:JEX131097 JOT131080:JOT131097 JYP131080:JYP131097 KIL131080:KIL131097 KSH131080:KSH131097 LCD131080:LCD131097 LLZ131080:LLZ131097 LVV131080:LVV131097 MFR131080:MFR131097 MPN131080:MPN131097 MZJ131080:MZJ131097 NJF131080:NJF131097 NTB131080:NTB131097 OCX131080:OCX131097 OMT131080:OMT131097 OWP131080:OWP131097 PGL131080:PGL131097 PQH131080:PQH131097 QAD131080:QAD131097 QJZ131080:QJZ131097 QTV131080:QTV131097 RDR131080:RDR131097 RNN131080:RNN131097 RXJ131080:RXJ131097 SHF131080:SHF131097 SRB131080:SRB131097 TAX131080:TAX131097 TKT131080:TKT131097 TUP131080:TUP131097 UEL131080:UEL131097 UOH131080:UOH131097 UYD131080:UYD131097 VHZ131080:VHZ131097 VRV131080:VRV131097 WBR131080:WBR131097 WLN131080:WLN131097 WVJ131080:WVJ131097 B196616:B196633 IX196616:IX196633 ST196616:ST196633 ACP196616:ACP196633 AML196616:AML196633 AWH196616:AWH196633 BGD196616:BGD196633 BPZ196616:BPZ196633 BZV196616:BZV196633 CJR196616:CJR196633 CTN196616:CTN196633 DDJ196616:DDJ196633 DNF196616:DNF196633 DXB196616:DXB196633 EGX196616:EGX196633 EQT196616:EQT196633 FAP196616:FAP196633 FKL196616:FKL196633 FUH196616:FUH196633 GED196616:GED196633 GNZ196616:GNZ196633 GXV196616:GXV196633 HHR196616:HHR196633 HRN196616:HRN196633 IBJ196616:IBJ196633 ILF196616:ILF196633 IVB196616:IVB196633 JEX196616:JEX196633 JOT196616:JOT196633 JYP196616:JYP196633 KIL196616:KIL196633 KSH196616:KSH196633 LCD196616:LCD196633 LLZ196616:LLZ196633 LVV196616:LVV196633 MFR196616:MFR196633 MPN196616:MPN196633 MZJ196616:MZJ196633 NJF196616:NJF196633 NTB196616:NTB196633 OCX196616:OCX196633 OMT196616:OMT196633 OWP196616:OWP196633 PGL196616:PGL196633 PQH196616:PQH196633 QAD196616:QAD196633 QJZ196616:QJZ196633 QTV196616:QTV196633 RDR196616:RDR196633 RNN196616:RNN196633 RXJ196616:RXJ196633 SHF196616:SHF196633 SRB196616:SRB196633 TAX196616:TAX196633 TKT196616:TKT196633 TUP196616:TUP196633 UEL196616:UEL196633 UOH196616:UOH196633 UYD196616:UYD196633 VHZ196616:VHZ196633 VRV196616:VRV196633 WBR196616:WBR196633 WLN196616:WLN196633 WVJ196616:WVJ196633 B262152:B262169 IX262152:IX262169 ST262152:ST262169 ACP262152:ACP262169 AML262152:AML262169 AWH262152:AWH262169 BGD262152:BGD262169 BPZ262152:BPZ262169 BZV262152:BZV262169 CJR262152:CJR262169 CTN262152:CTN262169 DDJ262152:DDJ262169 DNF262152:DNF262169 DXB262152:DXB262169 EGX262152:EGX262169 EQT262152:EQT262169 FAP262152:FAP262169 FKL262152:FKL262169 FUH262152:FUH262169 GED262152:GED262169 GNZ262152:GNZ262169 GXV262152:GXV262169 HHR262152:HHR262169 HRN262152:HRN262169 IBJ262152:IBJ262169 ILF262152:ILF262169 IVB262152:IVB262169 JEX262152:JEX262169 JOT262152:JOT262169 JYP262152:JYP262169 KIL262152:KIL262169 KSH262152:KSH262169 LCD262152:LCD262169 LLZ262152:LLZ262169 LVV262152:LVV262169 MFR262152:MFR262169 MPN262152:MPN262169 MZJ262152:MZJ262169 NJF262152:NJF262169 NTB262152:NTB262169 OCX262152:OCX262169 OMT262152:OMT262169 OWP262152:OWP262169 PGL262152:PGL262169 PQH262152:PQH262169 QAD262152:QAD262169 QJZ262152:QJZ262169 QTV262152:QTV262169 RDR262152:RDR262169 RNN262152:RNN262169 RXJ262152:RXJ262169 SHF262152:SHF262169 SRB262152:SRB262169 TAX262152:TAX262169 TKT262152:TKT262169 TUP262152:TUP262169 UEL262152:UEL262169 UOH262152:UOH262169 UYD262152:UYD262169 VHZ262152:VHZ262169 VRV262152:VRV262169 WBR262152:WBR262169 WLN262152:WLN262169 WVJ262152:WVJ262169 B327688:B327705 IX327688:IX327705 ST327688:ST327705 ACP327688:ACP327705 AML327688:AML327705 AWH327688:AWH327705 BGD327688:BGD327705 BPZ327688:BPZ327705 BZV327688:BZV327705 CJR327688:CJR327705 CTN327688:CTN327705 DDJ327688:DDJ327705 DNF327688:DNF327705 DXB327688:DXB327705 EGX327688:EGX327705 EQT327688:EQT327705 FAP327688:FAP327705 FKL327688:FKL327705 FUH327688:FUH327705 GED327688:GED327705 GNZ327688:GNZ327705 GXV327688:GXV327705 HHR327688:HHR327705 HRN327688:HRN327705 IBJ327688:IBJ327705 ILF327688:ILF327705 IVB327688:IVB327705 JEX327688:JEX327705 JOT327688:JOT327705 JYP327688:JYP327705 KIL327688:KIL327705 KSH327688:KSH327705 LCD327688:LCD327705 LLZ327688:LLZ327705 LVV327688:LVV327705 MFR327688:MFR327705 MPN327688:MPN327705 MZJ327688:MZJ327705 NJF327688:NJF327705 NTB327688:NTB327705 OCX327688:OCX327705 OMT327688:OMT327705 OWP327688:OWP327705 PGL327688:PGL327705 PQH327688:PQH327705 QAD327688:QAD327705 QJZ327688:QJZ327705 QTV327688:QTV327705 RDR327688:RDR327705 RNN327688:RNN327705 RXJ327688:RXJ327705 SHF327688:SHF327705 SRB327688:SRB327705 TAX327688:TAX327705 TKT327688:TKT327705 TUP327688:TUP327705 UEL327688:UEL327705 UOH327688:UOH327705 UYD327688:UYD327705 VHZ327688:VHZ327705 VRV327688:VRV327705 WBR327688:WBR327705 WLN327688:WLN327705 WVJ327688:WVJ327705 B393224:B393241 IX393224:IX393241 ST393224:ST393241 ACP393224:ACP393241 AML393224:AML393241 AWH393224:AWH393241 BGD393224:BGD393241 BPZ393224:BPZ393241 BZV393224:BZV393241 CJR393224:CJR393241 CTN393224:CTN393241 DDJ393224:DDJ393241 DNF393224:DNF393241 DXB393224:DXB393241 EGX393224:EGX393241 EQT393224:EQT393241 FAP393224:FAP393241 FKL393224:FKL393241 FUH393224:FUH393241 GED393224:GED393241 GNZ393224:GNZ393241 GXV393224:GXV393241 HHR393224:HHR393241 HRN393224:HRN393241 IBJ393224:IBJ393241 ILF393224:ILF393241 IVB393224:IVB393241 JEX393224:JEX393241 JOT393224:JOT393241 JYP393224:JYP393241 KIL393224:KIL393241 KSH393224:KSH393241 LCD393224:LCD393241 LLZ393224:LLZ393241 LVV393224:LVV393241 MFR393224:MFR393241 MPN393224:MPN393241 MZJ393224:MZJ393241 NJF393224:NJF393241 NTB393224:NTB393241 OCX393224:OCX393241 OMT393224:OMT393241 OWP393224:OWP393241 PGL393224:PGL393241 PQH393224:PQH393241 QAD393224:QAD393241 QJZ393224:QJZ393241 QTV393224:QTV393241 RDR393224:RDR393241 RNN393224:RNN393241 RXJ393224:RXJ393241 SHF393224:SHF393241 SRB393224:SRB393241 TAX393224:TAX393241 TKT393224:TKT393241 TUP393224:TUP393241 UEL393224:UEL393241 UOH393224:UOH393241 UYD393224:UYD393241 VHZ393224:VHZ393241 VRV393224:VRV393241 WBR393224:WBR393241 WLN393224:WLN393241 WVJ393224:WVJ393241 B458760:B458777 IX458760:IX458777 ST458760:ST458777 ACP458760:ACP458777 AML458760:AML458777 AWH458760:AWH458777 BGD458760:BGD458777 BPZ458760:BPZ458777 BZV458760:BZV458777 CJR458760:CJR458777 CTN458760:CTN458777 DDJ458760:DDJ458777 DNF458760:DNF458777 DXB458760:DXB458777 EGX458760:EGX458777 EQT458760:EQT458777 FAP458760:FAP458777 FKL458760:FKL458777 FUH458760:FUH458777 GED458760:GED458777 GNZ458760:GNZ458777 GXV458760:GXV458777 HHR458760:HHR458777 HRN458760:HRN458777 IBJ458760:IBJ458777 ILF458760:ILF458777 IVB458760:IVB458777 JEX458760:JEX458777 JOT458760:JOT458777 JYP458760:JYP458777 KIL458760:KIL458777 KSH458760:KSH458777 LCD458760:LCD458777 LLZ458760:LLZ458777 LVV458760:LVV458777 MFR458760:MFR458777 MPN458760:MPN458777 MZJ458760:MZJ458777 NJF458760:NJF458777 NTB458760:NTB458777 OCX458760:OCX458777 OMT458760:OMT458777 OWP458760:OWP458777 PGL458760:PGL458777 PQH458760:PQH458777 QAD458760:QAD458777 QJZ458760:QJZ458777 QTV458760:QTV458777 RDR458760:RDR458777 RNN458760:RNN458777 RXJ458760:RXJ458777 SHF458760:SHF458777 SRB458760:SRB458777 TAX458760:TAX458777 TKT458760:TKT458777 TUP458760:TUP458777 UEL458760:UEL458777 UOH458760:UOH458777 UYD458760:UYD458777 VHZ458760:VHZ458777 VRV458760:VRV458777 WBR458760:WBR458777 WLN458760:WLN458777 WVJ458760:WVJ458777 B524296:B524313 IX524296:IX524313 ST524296:ST524313 ACP524296:ACP524313 AML524296:AML524313 AWH524296:AWH524313 BGD524296:BGD524313 BPZ524296:BPZ524313 BZV524296:BZV524313 CJR524296:CJR524313 CTN524296:CTN524313 DDJ524296:DDJ524313 DNF524296:DNF524313 DXB524296:DXB524313 EGX524296:EGX524313 EQT524296:EQT524313 FAP524296:FAP524313 FKL524296:FKL524313 FUH524296:FUH524313 GED524296:GED524313 GNZ524296:GNZ524313 GXV524296:GXV524313 HHR524296:HHR524313 HRN524296:HRN524313 IBJ524296:IBJ524313 ILF524296:ILF524313 IVB524296:IVB524313 JEX524296:JEX524313 JOT524296:JOT524313 JYP524296:JYP524313 KIL524296:KIL524313 KSH524296:KSH524313 LCD524296:LCD524313 LLZ524296:LLZ524313 LVV524296:LVV524313 MFR524296:MFR524313 MPN524296:MPN524313 MZJ524296:MZJ524313 NJF524296:NJF524313 NTB524296:NTB524313 OCX524296:OCX524313 OMT524296:OMT524313 OWP524296:OWP524313 PGL524296:PGL524313 PQH524296:PQH524313 QAD524296:QAD524313 QJZ524296:QJZ524313 QTV524296:QTV524313 RDR524296:RDR524313 RNN524296:RNN524313 RXJ524296:RXJ524313 SHF524296:SHF524313 SRB524296:SRB524313 TAX524296:TAX524313 TKT524296:TKT524313 TUP524296:TUP524313 UEL524296:UEL524313 UOH524296:UOH524313 UYD524296:UYD524313 VHZ524296:VHZ524313 VRV524296:VRV524313 WBR524296:WBR524313 WLN524296:WLN524313 WVJ524296:WVJ524313 B589832:B589849 IX589832:IX589849 ST589832:ST589849 ACP589832:ACP589849 AML589832:AML589849 AWH589832:AWH589849 BGD589832:BGD589849 BPZ589832:BPZ589849 BZV589832:BZV589849 CJR589832:CJR589849 CTN589832:CTN589849 DDJ589832:DDJ589849 DNF589832:DNF589849 DXB589832:DXB589849 EGX589832:EGX589849 EQT589832:EQT589849 FAP589832:FAP589849 FKL589832:FKL589849 FUH589832:FUH589849 GED589832:GED589849 GNZ589832:GNZ589849 GXV589832:GXV589849 HHR589832:HHR589849 HRN589832:HRN589849 IBJ589832:IBJ589849 ILF589832:ILF589849 IVB589832:IVB589849 JEX589832:JEX589849 JOT589832:JOT589849 JYP589832:JYP589849 KIL589832:KIL589849 KSH589832:KSH589849 LCD589832:LCD589849 LLZ589832:LLZ589849 LVV589832:LVV589849 MFR589832:MFR589849 MPN589832:MPN589849 MZJ589832:MZJ589849 NJF589832:NJF589849 NTB589832:NTB589849 OCX589832:OCX589849 OMT589832:OMT589849 OWP589832:OWP589849 PGL589832:PGL589849 PQH589832:PQH589849 QAD589832:QAD589849 QJZ589832:QJZ589849 QTV589832:QTV589849 RDR589832:RDR589849 RNN589832:RNN589849 RXJ589832:RXJ589849 SHF589832:SHF589849 SRB589832:SRB589849 TAX589832:TAX589849 TKT589832:TKT589849 TUP589832:TUP589849 UEL589832:UEL589849 UOH589832:UOH589849 UYD589832:UYD589849 VHZ589832:VHZ589849 VRV589832:VRV589849 WBR589832:WBR589849 WLN589832:WLN589849 WVJ589832:WVJ589849 B655368:B655385 IX655368:IX655385 ST655368:ST655385 ACP655368:ACP655385 AML655368:AML655385 AWH655368:AWH655385 BGD655368:BGD655385 BPZ655368:BPZ655385 BZV655368:BZV655385 CJR655368:CJR655385 CTN655368:CTN655385 DDJ655368:DDJ655385 DNF655368:DNF655385 DXB655368:DXB655385 EGX655368:EGX655385 EQT655368:EQT655385 FAP655368:FAP655385 FKL655368:FKL655385 FUH655368:FUH655385 GED655368:GED655385 GNZ655368:GNZ655385 GXV655368:GXV655385 HHR655368:HHR655385 HRN655368:HRN655385 IBJ655368:IBJ655385 ILF655368:ILF655385 IVB655368:IVB655385 JEX655368:JEX655385 JOT655368:JOT655385 JYP655368:JYP655385 KIL655368:KIL655385 KSH655368:KSH655385 LCD655368:LCD655385 LLZ655368:LLZ655385 LVV655368:LVV655385 MFR655368:MFR655385 MPN655368:MPN655385 MZJ655368:MZJ655385 NJF655368:NJF655385 NTB655368:NTB655385 OCX655368:OCX655385 OMT655368:OMT655385 OWP655368:OWP655385 PGL655368:PGL655385 PQH655368:PQH655385 QAD655368:QAD655385 QJZ655368:QJZ655385 QTV655368:QTV655385 RDR655368:RDR655385 RNN655368:RNN655385 RXJ655368:RXJ655385 SHF655368:SHF655385 SRB655368:SRB655385 TAX655368:TAX655385 TKT655368:TKT655385 TUP655368:TUP655385 UEL655368:UEL655385 UOH655368:UOH655385 UYD655368:UYD655385 VHZ655368:VHZ655385 VRV655368:VRV655385 WBR655368:WBR655385 WLN655368:WLN655385 WVJ655368:WVJ655385 B720904:B720921 IX720904:IX720921 ST720904:ST720921 ACP720904:ACP720921 AML720904:AML720921 AWH720904:AWH720921 BGD720904:BGD720921 BPZ720904:BPZ720921 BZV720904:BZV720921 CJR720904:CJR720921 CTN720904:CTN720921 DDJ720904:DDJ720921 DNF720904:DNF720921 DXB720904:DXB720921 EGX720904:EGX720921 EQT720904:EQT720921 FAP720904:FAP720921 FKL720904:FKL720921 FUH720904:FUH720921 GED720904:GED720921 GNZ720904:GNZ720921 GXV720904:GXV720921 HHR720904:HHR720921 HRN720904:HRN720921 IBJ720904:IBJ720921 ILF720904:ILF720921 IVB720904:IVB720921 JEX720904:JEX720921 JOT720904:JOT720921 JYP720904:JYP720921 KIL720904:KIL720921 KSH720904:KSH720921 LCD720904:LCD720921 LLZ720904:LLZ720921 LVV720904:LVV720921 MFR720904:MFR720921 MPN720904:MPN720921 MZJ720904:MZJ720921 NJF720904:NJF720921 NTB720904:NTB720921 OCX720904:OCX720921 OMT720904:OMT720921 OWP720904:OWP720921 PGL720904:PGL720921 PQH720904:PQH720921 QAD720904:QAD720921 QJZ720904:QJZ720921 QTV720904:QTV720921 RDR720904:RDR720921 RNN720904:RNN720921 RXJ720904:RXJ720921 SHF720904:SHF720921 SRB720904:SRB720921 TAX720904:TAX720921 TKT720904:TKT720921 TUP720904:TUP720921 UEL720904:UEL720921 UOH720904:UOH720921 UYD720904:UYD720921 VHZ720904:VHZ720921 VRV720904:VRV720921 WBR720904:WBR720921 WLN720904:WLN720921 WVJ720904:WVJ720921 B786440:B786457 IX786440:IX786457 ST786440:ST786457 ACP786440:ACP786457 AML786440:AML786457 AWH786440:AWH786457 BGD786440:BGD786457 BPZ786440:BPZ786457 BZV786440:BZV786457 CJR786440:CJR786457 CTN786440:CTN786457 DDJ786440:DDJ786457 DNF786440:DNF786457 DXB786440:DXB786457 EGX786440:EGX786457 EQT786440:EQT786457 FAP786440:FAP786457 FKL786440:FKL786457 FUH786440:FUH786457 GED786440:GED786457 GNZ786440:GNZ786457 GXV786440:GXV786457 HHR786440:HHR786457 HRN786440:HRN786457 IBJ786440:IBJ786457 ILF786440:ILF786457 IVB786440:IVB786457 JEX786440:JEX786457 JOT786440:JOT786457 JYP786440:JYP786457 KIL786440:KIL786457 KSH786440:KSH786457 LCD786440:LCD786457 LLZ786440:LLZ786457 LVV786440:LVV786457 MFR786440:MFR786457 MPN786440:MPN786457 MZJ786440:MZJ786457 NJF786440:NJF786457 NTB786440:NTB786457 OCX786440:OCX786457 OMT786440:OMT786457 OWP786440:OWP786457 PGL786440:PGL786457 PQH786440:PQH786457 QAD786440:QAD786457 QJZ786440:QJZ786457 QTV786440:QTV786457 RDR786440:RDR786457 RNN786440:RNN786457 RXJ786440:RXJ786457 SHF786440:SHF786457 SRB786440:SRB786457 TAX786440:TAX786457 TKT786440:TKT786457 TUP786440:TUP786457 UEL786440:UEL786457 UOH786440:UOH786457 UYD786440:UYD786457 VHZ786440:VHZ786457 VRV786440:VRV786457 WBR786440:WBR786457 WLN786440:WLN786457 WVJ786440:WVJ786457 B851976:B851993 IX851976:IX851993 ST851976:ST851993 ACP851976:ACP851993 AML851976:AML851993 AWH851976:AWH851993 BGD851976:BGD851993 BPZ851976:BPZ851993 BZV851976:BZV851993 CJR851976:CJR851993 CTN851976:CTN851993 DDJ851976:DDJ851993 DNF851976:DNF851993 DXB851976:DXB851993 EGX851976:EGX851993 EQT851976:EQT851993 FAP851976:FAP851993 FKL851976:FKL851993 FUH851976:FUH851993 GED851976:GED851993 GNZ851976:GNZ851993 GXV851976:GXV851993 HHR851976:HHR851993 HRN851976:HRN851993 IBJ851976:IBJ851993 ILF851976:ILF851993 IVB851976:IVB851993 JEX851976:JEX851993 JOT851976:JOT851993 JYP851976:JYP851993 KIL851976:KIL851993 KSH851976:KSH851993 LCD851976:LCD851993 LLZ851976:LLZ851993 LVV851976:LVV851993 MFR851976:MFR851993 MPN851976:MPN851993 MZJ851976:MZJ851993 NJF851976:NJF851993 NTB851976:NTB851993 OCX851976:OCX851993 OMT851976:OMT851993 OWP851976:OWP851993 PGL851976:PGL851993 PQH851976:PQH851993 QAD851976:QAD851993 QJZ851976:QJZ851993 QTV851976:QTV851993 RDR851976:RDR851993 RNN851976:RNN851993 RXJ851976:RXJ851993 SHF851976:SHF851993 SRB851976:SRB851993 TAX851976:TAX851993 TKT851976:TKT851993 TUP851976:TUP851993 UEL851976:UEL851993 UOH851976:UOH851993 UYD851976:UYD851993 VHZ851976:VHZ851993 VRV851976:VRV851993 WBR851976:WBR851993 WLN851976:WLN851993 WVJ851976:WVJ851993 B917512:B917529 IX917512:IX917529 ST917512:ST917529 ACP917512:ACP917529 AML917512:AML917529 AWH917512:AWH917529 BGD917512:BGD917529 BPZ917512:BPZ917529 BZV917512:BZV917529 CJR917512:CJR917529 CTN917512:CTN917529 DDJ917512:DDJ917529 DNF917512:DNF917529 DXB917512:DXB917529 EGX917512:EGX917529 EQT917512:EQT917529 FAP917512:FAP917529 FKL917512:FKL917529 FUH917512:FUH917529 GED917512:GED917529 GNZ917512:GNZ917529 GXV917512:GXV917529 HHR917512:HHR917529 HRN917512:HRN917529 IBJ917512:IBJ917529 ILF917512:ILF917529 IVB917512:IVB917529 JEX917512:JEX917529 JOT917512:JOT917529 JYP917512:JYP917529 KIL917512:KIL917529 KSH917512:KSH917529 LCD917512:LCD917529 LLZ917512:LLZ917529 LVV917512:LVV917529 MFR917512:MFR917529 MPN917512:MPN917529 MZJ917512:MZJ917529 NJF917512:NJF917529 NTB917512:NTB917529 OCX917512:OCX917529 OMT917512:OMT917529 OWP917512:OWP917529 PGL917512:PGL917529 PQH917512:PQH917529 QAD917512:QAD917529 QJZ917512:QJZ917529 QTV917512:QTV917529 RDR917512:RDR917529 RNN917512:RNN917529 RXJ917512:RXJ917529 SHF917512:SHF917529 SRB917512:SRB917529 TAX917512:TAX917529 TKT917512:TKT917529 TUP917512:TUP917529 UEL917512:UEL917529 UOH917512:UOH917529 UYD917512:UYD917529 VHZ917512:VHZ917529 VRV917512:VRV917529 WBR917512:WBR917529 WLN917512:WLN917529 WVJ917512:WVJ917529" xr:uid="{00000000-0002-0000-1600-000000000000}">
      <formula1>trung</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358"/>
  <sheetViews>
    <sheetView topLeftCell="A10"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57"/>
      <c r="G3" s="102"/>
      <c r="H3" s="103"/>
    </row>
    <row r="4" spans="1:8" s="98" customFormat="1" ht="18" customHeight="1">
      <c r="A4" s="414"/>
      <c r="B4" s="414"/>
      <c r="C4" s="415" t="s">
        <v>1740</v>
      </c>
      <c r="D4" s="416"/>
      <c r="E4" s="416"/>
      <c r="F4" s="416"/>
      <c r="G4" s="416"/>
      <c r="H4" s="416"/>
    </row>
    <row r="5" spans="1:8" s="98" customFormat="1" ht="15.6">
      <c r="A5" s="104"/>
      <c r="B5" s="104"/>
      <c r="C5" s="156"/>
      <c r="D5" s="105"/>
      <c r="E5" s="106"/>
      <c r="F5" s="156"/>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1861</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1862</v>
      </c>
      <c r="C13" s="425"/>
      <c r="D13" s="425"/>
      <c r="E13" s="425"/>
      <c r="F13" s="425"/>
      <c r="G13" s="73">
        <f>G14</f>
        <v>84960000</v>
      </c>
      <c r="H13" s="74"/>
    </row>
    <row r="14" spans="1:8" s="131" customFormat="1" ht="40.5" customHeight="1">
      <c r="A14" s="123"/>
      <c r="B14" s="124" t="s">
        <v>1757</v>
      </c>
      <c r="C14" s="125" t="s">
        <v>1753</v>
      </c>
      <c r="D14" s="126">
        <v>7.2</v>
      </c>
      <c r="E14" s="127">
        <v>11800000</v>
      </c>
      <c r="F14" s="128">
        <v>1</v>
      </c>
      <c r="G14" s="129">
        <f>D14*E14*F14</f>
        <v>84960000</v>
      </c>
      <c r="H14" s="130"/>
    </row>
    <row r="15" spans="1:8" ht="27" customHeight="1">
      <c r="A15" s="75" t="s">
        <v>18</v>
      </c>
      <c r="B15" s="426" t="s">
        <v>1725</v>
      </c>
      <c r="C15" s="426"/>
      <c r="D15" s="426"/>
      <c r="E15" s="426"/>
      <c r="F15" s="426"/>
      <c r="G15" s="76">
        <f>SUM(G16:G16)</f>
        <v>318156.2648</v>
      </c>
      <c r="H15" s="11"/>
    </row>
    <row r="16" spans="1:8" ht="31.2">
      <c r="A16" s="77">
        <v>1</v>
      </c>
      <c r="B16" s="78" t="s">
        <v>1863</v>
      </c>
      <c r="C16" s="14" t="s">
        <v>1754</v>
      </c>
      <c r="D16" s="132">
        <f>1.7*0.8*0.11</f>
        <v>0.14960000000000001</v>
      </c>
      <c r="E16" s="15">
        <v>2126713</v>
      </c>
      <c r="F16" s="14">
        <v>1</v>
      </c>
      <c r="G16" s="79">
        <f t="shared" ref="G16" si="0">D16*E16*F16</f>
        <v>318156.2648</v>
      </c>
      <c r="H16" s="15"/>
    </row>
    <row r="17" spans="1:8" ht="24" customHeight="1">
      <c r="A17" s="75" t="s">
        <v>19</v>
      </c>
      <c r="B17" s="426" t="s">
        <v>1727</v>
      </c>
      <c r="C17" s="426"/>
      <c r="D17" s="426"/>
      <c r="E17" s="426"/>
      <c r="F17" s="426"/>
      <c r="G17" s="76">
        <f>SUM(G18:G18)</f>
        <v>1555000</v>
      </c>
      <c r="H17" s="11"/>
    </row>
    <row r="18" spans="1:8" s="12" customFormat="1" ht="31.2">
      <c r="A18" s="94">
        <v>1</v>
      </c>
      <c r="B18" s="154" t="s">
        <v>820</v>
      </c>
      <c r="C18" s="14" t="s">
        <v>1724</v>
      </c>
      <c r="D18" s="14">
        <v>1</v>
      </c>
      <c r="E18" s="79" t="str">
        <f>VLOOKUP(B18,'[20]Đơn giá cây cối'!$A$2:$C$1361,3,0)</f>
        <v>1.555.000</v>
      </c>
      <c r="F18" s="137">
        <v>1</v>
      </c>
      <c r="G18" s="79">
        <f>D18*E18*F18</f>
        <v>1555000</v>
      </c>
      <c r="H18" s="95"/>
    </row>
    <row r="19" spans="1:8" ht="15.6">
      <c r="A19" s="80"/>
      <c r="B19" s="427" t="s">
        <v>62</v>
      </c>
      <c r="C19" s="428"/>
      <c r="D19" s="428"/>
      <c r="E19" s="428"/>
      <c r="F19" s="429"/>
      <c r="G19" s="81">
        <f>G13+G15+G17</f>
        <v>86833156.264799997</v>
      </c>
      <c r="H19" s="82"/>
    </row>
    <row r="20" spans="1:8" ht="15.6">
      <c r="A20" s="80"/>
      <c r="B20" s="427" t="s">
        <v>1726</v>
      </c>
      <c r="C20" s="428"/>
      <c r="D20" s="428"/>
      <c r="E20" s="428"/>
      <c r="F20" s="429"/>
      <c r="G20" s="81">
        <f>ROUND(G19,-3)</f>
        <v>86833000</v>
      </c>
      <c r="H20" s="82"/>
    </row>
    <row r="21" spans="1:8" ht="15.6">
      <c r="A21" s="430" t="e">
        <f ca="1">[19]!vnd(G20)</f>
        <v>#NAME?</v>
      </c>
      <c r="B21" s="431"/>
      <c r="C21" s="431"/>
      <c r="D21" s="431"/>
      <c r="E21" s="431"/>
      <c r="F21" s="431"/>
      <c r="G21" s="431"/>
      <c r="H21" s="432"/>
    </row>
    <row r="22" spans="1:8">
      <c r="A22" s="17"/>
      <c r="B22" s="17"/>
      <c r="C22" s="97"/>
      <c r="D22" s="20"/>
      <c r="E22" s="19"/>
      <c r="F22" s="97"/>
      <c r="G22" s="19"/>
      <c r="H22" s="17"/>
    </row>
    <row r="23" spans="1:8" s="109" customFormat="1" ht="16.5" customHeight="1">
      <c r="A23" s="108"/>
      <c r="B23" s="108"/>
      <c r="C23" s="424" t="s">
        <v>1742</v>
      </c>
      <c r="D23" s="424"/>
      <c r="E23" s="424"/>
      <c r="F23" s="424"/>
      <c r="G23" s="424"/>
      <c r="H23" s="424"/>
    </row>
    <row r="24" spans="1:8" s="109" customFormat="1" ht="16.5" customHeight="1">
      <c r="A24" s="423" t="s">
        <v>63</v>
      </c>
      <c r="B24" s="423"/>
      <c r="C24" s="424" t="s">
        <v>1743</v>
      </c>
      <c r="D24" s="424"/>
      <c r="E24" s="424"/>
      <c r="F24" s="424" t="s">
        <v>1744</v>
      </c>
      <c r="G24" s="424"/>
      <c r="H24" s="424"/>
    </row>
    <row r="25" spans="1:8" s="109" customFormat="1" ht="15.6">
      <c r="A25" s="108"/>
      <c r="B25" s="108"/>
      <c r="C25" s="108"/>
      <c r="D25" s="110"/>
      <c r="E25" s="111"/>
      <c r="F25" s="112"/>
      <c r="G25" s="111"/>
      <c r="H25" s="113"/>
    </row>
    <row r="26" spans="1:8" s="109" customFormat="1" ht="15.6">
      <c r="A26" s="108"/>
      <c r="B26" s="108"/>
      <c r="C26" s="108"/>
      <c r="D26" s="110"/>
      <c r="E26" s="111"/>
      <c r="F26" s="112"/>
      <c r="G26" s="114"/>
      <c r="H26" s="113"/>
    </row>
    <row r="27" spans="1:8" s="109" customFormat="1" ht="15.6">
      <c r="A27" s="108"/>
      <c r="B27" s="108"/>
      <c r="C27" s="108"/>
      <c r="D27" s="110"/>
      <c r="E27" s="111"/>
      <c r="F27" s="112"/>
      <c r="G27" s="111"/>
      <c r="H27" s="113"/>
    </row>
    <row r="28" spans="1:8" s="109" customFormat="1" ht="15.6">
      <c r="A28" s="108"/>
      <c r="B28" s="108"/>
      <c r="C28" s="108"/>
      <c r="D28" s="110"/>
      <c r="E28" s="111"/>
      <c r="F28" s="112"/>
      <c r="G28" s="111"/>
      <c r="H28" s="113"/>
    </row>
    <row r="29" spans="1:8" s="109" customFormat="1" ht="15.6">
      <c r="A29" s="108"/>
      <c r="B29" s="108"/>
      <c r="C29" s="108"/>
      <c r="D29" s="110"/>
      <c r="E29" s="111"/>
      <c r="F29" s="112"/>
      <c r="G29" s="111"/>
      <c r="H29" s="113"/>
    </row>
    <row r="30" spans="1:8" s="109" customFormat="1" ht="16.5" customHeight="1">
      <c r="A30" s="108"/>
      <c r="B30" s="158" t="s">
        <v>64</v>
      </c>
      <c r="C30" s="424"/>
      <c r="D30" s="424"/>
      <c r="E30" s="424"/>
      <c r="F30" s="424" t="s">
        <v>1745</v>
      </c>
      <c r="G30" s="424"/>
      <c r="H30" s="424"/>
    </row>
    <row r="31" spans="1:8" s="109" customFormat="1" ht="15.6">
      <c r="A31" s="108"/>
      <c r="B31" s="158"/>
      <c r="C31" s="155"/>
      <c r="D31" s="155"/>
      <c r="E31" s="155"/>
      <c r="F31" s="155"/>
      <c r="G31" s="155"/>
      <c r="H31" s="155"/>
    </row>
    <row r="32" spans="1:8" s="109" customFormat="1" ht="15" customHeight="1">
      <c r="A32" s="424" t="s">
        <v>1746</v>
      </c>
      <c r="B32" s="424"/>
      <c r="C32" s="424"/>
      <c r="D32" s="424"/>
      <c r="E32" s="424" t="s">
        <v>1747</v>
      </c>
      <c r="F32" s="424"/>
      <c r="G32" s="424"/>
      <c r="H32" s="424"/>
    </row>
    <row r="33" spans="1:8" s="109" customFormat="1" ht="33.6" customHeight="1">
      <c r="A33" s="424" t="s">
        <v>1748</v>
      </c>
      <c r="B33" s="424"/>
      <c r="C33" s="424"/>
      <c r="D33" s="424"/>
      <c r="E33" s="424" t="s">
        <v>65</v>
      </c>
      <c r="F33" s="424"/>
      <c r="G33" s="424"/>
      <c r="H33" s="424"/>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ustomHeight="1">
      <c r="A39" s="108"/>
      <c r="B39" s="108"/>
      <c r="C39" s="108"/>
      <c r="D39" s="115"/>
      <c r="E39" s="439" t="s">
        <v>1749</v>
      </c>
      <c r="F39" s="439"/>
      <c r="G39" s="439"/>
      <c r="H39" s="439"/>
    </row>
    <row r="40" spans="1:8" s="109" customFormat="1" ht="16.5" customHeight="1">
      <c r="A40" s="424" t="s">
        <v>1751</v>
      </c>
      <c r="B40" s="424"/>
      <c r="C40" s="424"/>
      <c r="D40" s="424"/>
      <c r="E40" s="424" t="s">
        <v>1750</v>
      </c>
      <c r="F40" s="424"/>
      <c r="G40" s="424"/>
      <c r="H40" s="424"/>
    </row>
    <row r="41" spans="1:8" s="118" customFormat="1" ht="16.2" customHeight="1">
      <c r="A41" s="440"/>
      <c r="B41" s="440"/>
      <c r="C41" s="116"/>
      <c r="D41" s="117"/>
      <c r="E41" s="440"/>
      <c r="F41" s="440"/>
      <c r="G41" s="440"/>
      <c r="H41" s="440"/>
    </row>
    <row r="42" spans="1:8" s="118" customFormat="1" ht="15.75" customHeight="1">
      <c r="A42" s="440"/>
      <c r="B42" s="440"/>
      <c r="C42" s="440"/>
      <c r="D42" s="440"/>
      <c r="E42" s="440"/>
      <c r="F42" s="440"/>
      <c r="G42" s="440"/>
      <c r="H42" s="440"/>
    </row>
    <row r="43" spans="1:8" s="98" customFormat="1" ht="16.2" customHeight="1">
      <c r="A43" s="436"/>
      <c r="B43" s="436"/>
      <c r="C43" s="436"/>
      <c r="D43" s="436"/>
      <c r="E43" s="119"/>
      <c r="F43" s="120"/>
      <c r="G43" s="119"/>
      <c r="H43" s="121"/>
    </row>
    <row r="44" spans="1:8" s="98" customFormat="1" ht="16.2" customHeight="1">
      <c r="A44" s="436"/>
      <c r="B44" s="436"/>
      <c r="C44" s="436"/>
      <c r="D44" s="436"/>
      <c r="E44" s="119"/>
      <c r="F44" s="120"/>
      <c r="G44" s="119"/>
      <c r="H44" s="121"/>
    </row>
    <row r="45" spans="1:8" s="98" customFormat="1" ht="16.2" customHeight="1">
      <c r="A45" s="121"/>
      <c r="B45" s="121"/>
      <c r="C45" s="121"/>
      <c r="D45" s="122"/>
      <c r="E45" s="119"/>
      <c r="F45" s="120"/>
      <c r="G45" s="119"/>
      <c r="H45" s="121"/>
    </row>
    <row r="46" spans="1:8" ht="16.2" customHeight="1">
      <c r="A46" s="83"/>
      <c r="B46" s="83"/>
      <c r="C46" s="83"/>
      <c r="D46" s="84"/>
      <c r="E46" s="85"/>
      <c r="F46" s="86"/>
      <c r="G46" s="85"/>
      <c r="H46" s="83"/>
    </row>
    <row r="47" spans="1:8" ht="16.2" customHeight="1">
      <c r="A47" s="83"/>
      <c r="B47" s="83"/>
      <c r="C47" s="83"/>
      <c r="D47" s="84"/>
      <c r="E47" s="85"/>
      <c r="F47" s="86"/>
      <c r="G47" s="85"/>
      <c r="H47" s="83"/>
    </row>
    <row r="48" spans="1:8" ht="16.2" customHeight="1">
      <c r="A48" s="83"/>
      <c r="B48" s="83"/>
      <c r="C48" s="83"/>
      <c r="D48" s="84"/>
      <c r="E48" s="85"/>
      <c r="F48" s="86"/>
      <c r="G48" s="85"/>
      <c r="H48" s="83"/>
    </row>
    <row r="49" spans="1:8" ht="16.2" customHeight="1">
      <c r="A49" s="83"/>
      <c r="B49" s="83"/>
      <c r="C49" s="83"/>
      <c r="D49" s="84"/>
      <c r="E49" s="437"/>
      <c r="F49" s="437"/>
      <c r="G49" s="437"/>
      <c r="H49" s="437"/>
    </row>
    <row r="50" spans="1:8" ht="20.25" customHeight="1">
      <c r="A50" s="438"/>
      <c r="B50" s="438"/>
      <c r="C50" s="438"/>
      <c r="D50" s="438"/>
      <c r="E50" s="438"/>
      <c r="F50" s="438"/>
      <c r="G50" s="438"/>
      <c r="H50" s="438"/>
    </row>
    <row r="51" spans="1:8" s="17" customFormat="1" ht="16.2" customHeight="1">
      <c r="D51" s="18"/>
      <c r="E51" s="19"/>
      <c r="F51" s="97"/>
      <c r="G51" s="19"/>
    </row>
    <row r="52" spans="1:8" s="17" customFormat="1" ht="16.2" customHeight="1">
      <c r="D52" s="18"/>
      <c r="E52" s="19"/>
      <c r="F52" s="97"/>
      <c r="G52" s="19"/>
    </row>
    <row r="53" spans="1:8" s="17" customFormat="1" ht="16.2" customHeight="1">
      <c r="D53" s="18"/>
      <c r="E53" s="19"/>
      <c r="F53" s="97"/>
      <c r="G53" s="19"/>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C67" s="97"/>
      <c r="D67" s="20"/>
      <c r="E67" s="19"/>
      <c r="F67" s="97"/>
      <c r="G67" s="19"/>
    </row>
    <row r="68" spans="3:7" s="17" customFormat="1" ht="16.2" customHeight="1">
      <c r="C68" s="97"/>
      <c r="D68" s="20"/>
      <c r="E68" s="19"/>
      <c r="F68" s="97"/>
      <c r="G68" s="19"/>
    </row>
    <row r="69" spans="3:7" s="17" customFormat="1" ht="16.2" customHeight="1">
      <c r="C69" s="97"/>
      <c r="D69" s="20"/>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ht="16.2" customHeight="1"/>
    <row r="80" spans="3:7" ht="16.2" customHeight="1"/>
    <row r="81" ht="16.2" customHeight="1"/>
    <row r="82" ht="16.2" customHeight="1"/>
    <row r="83" ht="16.2" customHeight="1"/>
    <row r="84" ht="16.2" customHeight="1"/>
    <row r="85" ht="16.2" customHeight="1"/>
    <row r="86" ht="16.2" customHeight="1"/>
    <row r="87" ht="16.2" customHeight="1"/>
    <row r="88" ht="16.2" customHeight="1"/>
    <row r="89" ht="16.2" customHeight="1"/>
    <row r="90" ht="16.2" customHeight="1"/>
    <row r="91" ht="16.2" customHeight="1"/>
    <row r="92" ht="16.2" customHeight="1"/>
    <row r="93" ht="16.2" customHeight="1"/>
    <row r="94" ht="16.2" customHeight="1"/>
    <row r="95" ht="16.2" customHeight="1"/>
    <row r="96"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row r="226"/>
    <row r="227"/>
    <row r="228"/>
    <row r="229"/>
    <row r="230"/>
    <row r="231"/>
    <row r="232"/>
    <row r="233"/>
    <row r="234"/>
    <row r="235"/>
    <row r="236"/>
    <row r="237"/>
    <row r="238"/>
    <row r="239"/>
    <row r="240"/>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sheetData>
  <mergeCells count="40">
    <mergeCell ref="E49:H49"/>
    <mergeCell ref="A50:H50"/>
    <mergeCell ref="A41:B41"/>
    <mergeCell ref="E41:H41"/>
    <mergeCell ref="A42:D42"/>
    <mergeCell ref="E42:H42"/>
    <mergeCell ref="A43:D43"/>
    <mergeCell ref="A44:D44"/>
    <mergeCell ref="A40:D40"/>
    <mergeCell ref="E40:H40"/>
    <mergeCell ref="C23:H23"/>
    <mergeCell ref="A24:B24"/>
    <mergeCell ref="C24:E24"/>
    <mergeCell ref="F24:H24"/>
    <mergeCell ref="C30:E30"/>
    <mergeCell ref="F30:H30"/>
    <mergeCell ref="A32:D32"/>
    <mergeCell ref="E32:H32"/>
    <mergeCell ref="A33:D33"/>
    <mergeCell ref="E33:H33"/>
    <mergeCell ref="E39:H39"/>
    <mergeCell ref="A21:H21"/>
    <mergeCell ref="A6:H6"/>
    <mergeCell ref="A7:H7"/>
    <mergeCell ref="A8:H8"/>
    <mergeCell ref="A9:H9"/>
    <mergeCell ref="A10:H10"/>
    <mergeCell ref="A11:H11"/>
    <mergeCell ref="B13:F13"/>
    <mergeCell ref="B15:F15"/>
    <mergeCell ref="B17:F17"/>
    <mergeCell ref="B19:F19"/>
    <mergeCell ref="B20:F20"/>
    <mergeCell ref="A4:B4"/>
    <mergeCell ref="C4:H4"/>
    <mergeCell ref="A1:B1"/>
    <mergeCell ref="C1:H1"/>
    <mergeCell ref="A2:B2"/>
    <mergeCell ref="C2:H2"/>
    <mergeCell ref="A3:B3"/>
  </mergeCells>
  <dataValidations count="2">
    <dataValidation type="list" allowBlank="1" showInputMessage="1" showErrorMessage="1" sqref="B18" xr:uid="{00000000-0002-0000-1700-000000000000}">
      <formula1>bichphuong</formula1>
    </dataValidation>
    <dataValidation type="list" allowBlank="1" showInputMessage="1" showErrorMessage="1" sqref="WVJ983042:WVJ983059 B983042:B983059 IX983042:IX983059 ST983042:ST983059 ACP983042:ACP983059 AML983042:AML983059 AWH983042:AWH983059 BGD983042:BGD983059 BPZ983042:BPZ983059 BZV983042:BZV983059 CJR983042:CJR983059 CTN983042:CTN983059 DDJ983042:DDJ983059 DNF983042:DNF983059 DXB983042:DXB983059 EGX983042:EGX983059 EQT983042:EQT983059 FAP983042:FAP983059 FKL983042:FKL983059 FUH983042:FUH983059 GED983042:GED983059 GNZ983042:GNZ983059 GXV983042:GXV983059 HHR983042:HHR983059 HRN983042:HRN983059 IBJ983042:IBJ983059 ILF983042:ILF983059 IVB983042:IVB983059 JEX983042:JEX983059 JOT983042:JOT983059 JYP983042:JYP983059 KIL983042:KIL983059 KSH983042:KSH983059 LCD983042:LCD983059 LLZ983042:LLZ983059 LVV983042:LVV983059 MFR983042:MFR983059 MPN983042:MPN983059 MZJ983042:MZJ983059 NJF983042:NJF983059 NTB983042:NTB983059 OCX983042:OCX983059 OMT983042:OMT983059 OWP983042:OWP983059 PGL983042:PGL983059 PQH983042:PQH983059 QAD983042:QAD983059 QJZ983042:QJZ983059 QTV983042:QTV983059 RDR983042:RDR983059 RNN983042:RNN983059 RXJ983042:RXJ983059 SHF983042:SHF983059 SRB983042:SRB983059 TAX983042:TAX983059 TKT983042:TKT983059 TUP983042:TUP983059 UEL983042:UEL983059 UOH983042:UOH983059 UYD983042:UYD983059 VHZ983042:VHZ983059 VRV983042:VRV983059 WBR983042:WBR983059 WLN983042:WLN983059 B65538:B65555 IX65538:IX65555 ST65538:ST65555 ACP65538:ACP65555 AML65538:AML65555 AWH65538:AWH65555 BGD65538:BGD65555 BPZ65538:BPZ65555 BZV65538:BZV65555 CJR65538:CJR65555 CTN65538:CTN65555 DDJ65538:DDJ65555 DNF65538:DNF65555 DXB65538:DXB65555 EGX65538:EGX65555 EQT65538:EQT65555 FAP65538:FAP65555 FKL65538:FKL65555 FUH65538:FUH65555 GED65538:GED65555 GNZ65538:GNZ65555 GXV65538:GXV65555 HHR65538:HHR65555 HRN65538:HRN65555 IBJ65538:IBJ65555 ILF65538:ILF65555 IVB65538:IVB65555 JEX65538:JEX65555 JOT65538:JOT65555 JYP65538:JYP65555 KIL65538:KIL65555 KSH65538:KSH65555 LCD65538:LCD65555 LLZ65538:LLZ65555 LVV65538:LVV65555 MFR65538:MFR65555 MPN65538:MPN65555 MZJ65538:MZJ65555 NJF65538:NJF65555 NTB65538:NTB65555 OCX65538:OCX65555 OMT65538:OMT65555 OWP65538:OWP65555 PGL65538:PGL65555 PQH65538:PQH65555 QAD65538:QAD65555 QJZ65538:QJZ65555 QTV65538:QTV65555 RDR65538:RDR65555 RNN65538:RNN65555 RXJ65538:RXJ65555 SHF65538:SHF65555 SRB65538:SRB65555 TAX65538:TAX65555 TKT65538:TKT65555 TUP65538:TUP65555 UEL65538:UEL65555 UOH65538:UOH65555 UYD65538:UYD65555 VHZ65538:VHZ65555 VRV65538:VRV65555 WBR65538:WBR65555 WLN65538:WLN65555 WVJ65538:WVJ65555 B131074:B131091 IX131074:IX131091 ST131074:ST131091 ACP131074:ACP131091 AML131074:AML131091 AWH131074:AWH131091 BGD131074:BGD131091 BPZ131074:BPZ131091 BZV131074:BZV131091 CJR131074:CJR131091 CTN131074:CTN131091 DDJ131074:DDJ131091 DNF131074:DNF131091 DXB131074:DXB131091 EGX131074:EGX131091 EQT131074:EQT131091 FAP131074:FAP131091 FKL131074:FKL131091 FUH131074:FUH131091 GED131074:GED131091 GNZ131074:GNZ131091 GXV131074:GXV131091 HHR131074:HHR131091 HRN131074:HRN131091 IBJ131074:IBJ131091 ILF131074:ILF131091 IVB131074:IVB131091 JEX131074:JEX131091 JOT131074:JOT131091 JYP131074:JYP131091 KIL131074:KIL131091 KSH131074:KSH131091 LCD131074:LCD131091 LLZ131074:LLZ131091 LVV131074:LVV131091 MFR131074:MFR131091 MPN131074:MPN131091 MZJ131074:MZJ131091 NJF131074:NJF131091 NTB131074:NTB131091 OCX131074:OCX131091 OMT131074:OMT131091 OWP131074:OWP131091 PGL131074:PGL131091 PQH131074:PQH131091 QAD131074:QAD131091 QJZ131074:QJZ131091 QTV131074:QTV131091 RDR131074:RDR131091 RNN131074:RNN131091 RXJ131074:RXJ131091 SHF131074:SHF131091 SRB131074:SRB131091 TAX131074:TAX131091 TKT131074:TKT131091 TUP131074:TUP131091 UEL131074:UEL131091 UOH131074:UOH131091 UYD131074:UYD131091 VHZ131074:VHZ131091 VRV131074:VRV131091 WBR131074:WBR131091 WLN131074:WLN131091 WVJ131074:WVJ131091 B196610:B196627 IX196610:IX196627 ST196610:ST196627 ACP196610:ACP196627 AML196610:AML196627 AWH196610:AWH196627 BGD196610:BGD196627 BPZ196610:BPZ196627 BZV196610:BZV196627 CJR196610:CJR196627 CTN196610:CTN196627 DDJ196610:DDJ196627 DNF196610:DNF196627 DXB196610:DXB196627 EGX196610:EGX196627 EQT196610:EQT196627 FAP196610:FAP196627 FKL196610:FKL196627 FUH196610:FUH196627 GED196610:GED196627 GNZ196610:GNZ196627 GXV196610:GXV196627 HHR196610:HHR196627 HRN196610:HRN196627 IBJ196610:IBJ196627 ILF196610:ILF196627 IVB196610:IVB196627 JEX196610:JEX196627 JOT196610:JOT196627 JYP196610:JYP196627 KIL196610:KIL196627 KSH196610:KSH196627 LCD196610:LCD196627 LLZ196610:LLZ196627 LVV196610:LVV196627 MFR196610:MFR196627 MPN196610:MPN196627 MZJ196610:MZJ196627 NJF196610:NJF196627 NTB196610:NTB196627 OCX196610:OCX196627 OMT196610:OMT196627 OWP196610:OWP196627 PGL196610:PGL196627 PQH196610:PQH196627 QAD196610:QAD196627 QJZ196610:QJZ196627 QTV196610:QTV196627 RDR196610:RDR196627 RNN196610:RNN196627 RXJ196610:RXJ196627 SHF196610:SHF196627 SRB196610:SRB196627 TAX196610:TAX196627 TKT196610:TKT196627 TUP196610:TUP196627 UEL196610:UEL196627 UOH196610:UOH196627 UYD196610:UYD196627 VHZ196610:VHZ196627 VRV196610:VRV196627 WBR196610:WBR196627 WLN196610:WLN196627 WVJ196610:WVJ196627 B262146:B262163 IX262146:IX262163 ST262146:ST262163 ACP262146:ACP262163 AML262146:AML262163 AWH262146:AWH262163 BGD262146:BGD262163 BPZ262146:BPZ262163 BZV262146:BZV262163 CJR262146:CJR262163 CTN262146:CTN262163 DDJ262146:DDJ262163 DNF262146:DNF262163 DXB262146:DXB262163 EGX262146:EGX262163 EQT262146:EQT262163 FAP262146:FAP262163 FKL262146:FKL262163 FUH262146:FUH262163 GED262146:GED262163 GNZ262146:GNZ262163 GXV262146:GXV262163 HHR262146:HHR262163 HRN262146:HRN262163 IBJ262146:IBJ262163 ILF262146:ILF262163 IVB262146:IVB262163 JEX262146:JEX262163 JOT262146:JOT262163 JYP262146:JYP262163 KIL262146:KIL262163 KSH262146:KSH262163 LCD262146:LCD262163 LLZ262146:LLZ262163 LVV262146:LVV262163 MFR262146:MFR262163 MPN262146:MPN262163 MZJ262146:MZJ262163 NJF262146:NJF262163 NTB262146:NTB262163 OCX262146:OCX262163 OMT262146:OMT262163 OWP262146:OWP262163 PGL262146:PGL262163 PQH262146:PQH262163 QAD262146:QAD262163 QJZ262146:QJZ262163 QTV262146:QTV262163 RDR262146:RDR262163 RNN262146:RNN262163 RXJ262146:RXJ262163 SHF262146:SHF262163 SRB262146:SRB262163 TAX262146:TAX262163 TKT262146:TKT262163 TUP262146:TUP262163 UEL262146:UEL262163 UOH262146:UOH262163 UYD262146:UYD262163 VHZ262146:VHZ262163 VRV262146:VRV262163 WBR262146:WBR262163 WLN262146:WLN262163 WVJ262146:WVJ262163 B327682:B327699 IX327682:IX327699 ST327682:ST327699 ACP327682:ACP327699 AML327682:AML327699 AWH327682:AWH327699 BGD327682:BGD327699 BPZ327682:BPZ327699 BZV327682:BZV327699 CJR327682:CJR327699 CTN327682:CTN327699 DDJ327682:DDJ327699 DNF327682:DNF327699 DXB327682:DXB327699 EGX327682:EGX327699 EQT327682:EQT327699 FAP327682:FAP327699 FKL327682:FKL327699 FUH327682:FUH327699 GED327682:GED327699 GNZ327682:GNZ327699 GXV327682:GXV327699 HHR327682:HHR327699 HRN327682:HRN327699 IBJ327682:IBJ327699 ILF327682:ILF327699 IVB327682:IVB327699 JEX327682:JEX327699 JOT327682:JOT327699 JYP327682:JYP327699 KIL327682:KIL327699 KSH327682:KSH327699 LCD327682:LCD327699 LLZ327682:LLZ327699 LVV327682:LVV327699 MFR327682:MFR327699 MPN327682:MPN327699 MZJ327682:MZJ327699 NJF327682:NJF327699 NTB327682:NTB327699 OCX327682:OCX327699 OMT327682:OMT327699 OWP327682:OWP327699 PGL327682:PGL327699 PQH327682:PQH327699 QAD327682:QAD327699 QJZ327682:QJZ327699 QTV327682:QTV327699 RDR327682:RDR327699 RNN327682:RNN327699 RXJ327682:RXJ327699 SHF327682:SHF327699 SRB327682:SRB327699 TAX327682:TAX327699 TKT327682:TKT327699 TUP327682:TUP327699 UEL327682:UEL327699 UOH327682:UOH327699 UYD327682:UYD327699 VHZ327682:VHZ327699 VRV327682:VRV327699 WBR327682:WBR327699 WLN327682:WLN327699 WVJ327682:WVJ327699 B393218:B393235 IX393218:IX393235 ST393218:ST393235 ACP393218:ACP393235 AML393218:AML393235 AWH393218:AWH393235 BGD393218:BGD393235 BPZ393218:BPZ393235 BZV393218:BZV393235 CJR393218:CJR393235 CTN393218:CTN393235 DDJ393218:DDJ393235 DNF393218:DNF393235 DXB393218:DXB393235 EGX393218:EGX393235 EQT393218:EQT393235 FAP393218:FAP393235 FKL393218:FKL393235 FUH393218:FUH393235 GED393218:GED393235 GNZ393218:GNZ393235 GXV393218:GXV393235 HHR393218:HHR393235 HRN393218:HRN393235 IBJ393218:IBJ393235 ILF393218:ILF393235 IVB393218:IVB393235 JEX393218:JEX393235 JOT393218:JOT393235 JYP393218:JYP393235 KIL393218:KIL393235 KSH393218:KSH393235 LCD393218:LCD393235 LLZ393218:LLZ393235 LVV393218:LVV393235 MFR393218:MFR393235 MPN393218:MPN393235 MZJ393218:MZJ393235 NJF393218:NJF393235 NTB393218:NTB393235 OCX393218:OCX393235 OMT393218:OMT393235 OWP393218:OWP393235 PGL393218:PGL393235 PQH393218:PQH393235 QAD393218:QAD393235 QJZ393218:QJZ393235 QTV393218:QTV393235 RDR393218:RDR393235 RNN393218:RNN393235 RXJ393218:RXJ393235 SHF393218:SHF393235 SRB393218:SRB393235 TAX393218:TAX393235 TKT393218:TKT393235 TUP393218:TUP393235 UEL393218:UEL393235 UOH393218:UOH393235 UYD393218:UYD393235 VHZ393218:VHZ393235 VRV393218:VRV393235 WBR393218:WBR393235 WLN393218:WLN393235 WVJ393218:WVJ393235 B458754:B458771 IX458754:IX458771 ST458754:ST458771 ACP458754:ACP458771 AML458754:AML458771 AWH458754:AWH458771 BGD458754:BGD458771 BPZ458754:BPZ458771 BZV458754:BZV458771 CJR458754:CJR458771 CTN458754:CTN458771 DDJ458754:DDJ458771 DNF458754:DNF458771 DXB458754:DXB458771 EGX458754:EGX458771 EQT458754:EQT458771 FAP458754:FAP458771 FKL458754:FKL458771 FUH458754:FUH458771 GED458754:GED458771 GNZ458754:GNZ458771 GXV458754:GXV458771 HHR458754:HHR458771 HRN458754:HRN458771 IBJ458754:IBJ458771 ILF458754:ILF458771 IVB458754:IVB458771 JEX458754:JEX458771 JOT458754:JOT458771 JYP458754:JYP458771 KIL458754:KIL458771 KSH458754:KSH458771 LCD458754:LCD458771 LLZ458754:LLZ458771 LVV458754:LVV458771 MFR458754:MFR458771 MPN458754:MPN458771 MZJ458754:MZJ458771 NJF458754:NJF458771 NTB458754:NTB458771 OCX458754:OCX458771 OMT458754:OMT458771 OWP458754:OWP458771 PGL458754:PGL458771 PQH458754:PQH458771 QAD458754:QAD458771 QJZ458754:QJZ458771 QTV458754:QTV458771 RDR458754:RDR458771 RNN458754:RNN458771 RXJ458754:RXJ458771 SHF458754:SHF458771 SRB458754:SRB458771 TAX458754:TAX458771 TKT458754:TKT458771 TUP458754:TUP458771 UEL458754:UEL458771 UOH458754:UOH458771 UYD458754:UYD458771 VHZ458754:VHZ458771 VRV458754:VRV458771 WBR458754:WBR458771 WLN458754:WLN458771 WVJ458754:WVJ458771 B524290:B524307 IX524290:IX524307 ST524290:ST524307 ACP524290:ACP524307 AML524290:AML524307 AWH524290:AWH524307 BGD524290:BGD524307 BPZ524290:BPZ524307 BZV524290:BZV524307 CJR524290:CJR524307 CTN524290:CTN524307 DDJ524290:DDJ524307 DNF524290:DNF524307 DXB524290:DXB524307 EGX524290:EGX524307 EQT524290:EQT524307 FAP524290:FAP524307 FKL524290:FKL524307 FUH524290:FUH524307 GED524290:GED524307 GNZ524290:GNZ524307 GXV524290:GXV524307 HHR524290:HHR524307 HRN524290:HRN524307 IBJ524290:IBJ524307 ILF524290:ILF524307 IVB524290:IVB524307 JEX524290:JEX524307 JOT524290:JOT524307 JYP524290:JYP524307 KIL524290:KIL524307 KSH524290:KSH524307 LCD524290:LCD524307 LLZ524290:LLZ524307 LVV524290:LVV524307 MFR524290:MFR524307 MPN524290:MPN524307 MZJ524290:MZJ524307 NJF524290:NJF524307 NTB524290:NTB524307 OCX524290:OCX524307 OMT524290:OMT524307 OWP524290:OWP524307 PGL524290:PGL524307 PQH524290:PQH524307 QAD524290:QAD524307 QJZ524290:QJZ524307 QTV524290:QTV524307 RDR524290:RDR524307 RNN524290:RNN524307 RXJ524290:RXJ524307 SHF524290:SHF524307 SRB524290:SRB524307 TAX524290:TAX524307 TKT524290:TKT524307 TUP524290:TUP524307 UEL524290:UEL524307 UOH524290:UOH524307 UYD524290:UYD524307 VHZ524290:VHZ524307 VRV524290:VRV524307 WBR524290:WBR524307 WLN524290:WLN524307 WVJ524290:WVJ524307 B589826:B589843 IX589826:IX589843 ST589826:ST589843 ACP589826:ACP589843 AML589826:AML589843 AWH589826:AWH589843 BGD589826:BGD589843 BPZ589826:BPZ589843 BZV589826:BZV589843 CJR589826:CJR589843 CTN589826:CTN589843 DDJ589826:DDJ589843 DNF589826:DNF589843 DXB589826:DXB589843 EGX589826:EGX589843 EQT589826:EQT589843 FAP589826:FAP589843 FKL589826:FKL589843 FUH589826:FUH589843 GED589826:GED589843 GNZ589826:GNZ589843 GXV589826:GXV589843 HHR589826:HHR589843 HRN589826:HRN589843 IBJ589826:IBJ589843 ILF589826:ILF589843 IVB589826:IVB589843 JEX589826:JEX589843 JOT589826:JOT589843 JYP589826:JYP589843 KIL589826:KIL589843 KSH589826:KSH589843 LCD589826:LCD589843 LLZ589826:LLZ589843 LVV589826:LVV589843 MFR589826:MFR589843 MPN589826:MPN589843 MZJ589826:MZJ589843 NJF589826:NJF589843 NTB589826:NTB589843 OCX589826:OCX589843 OMT589826:OMT589843 OWP589826:OWP589843 PGL589826:PGL589843 PQH589826:PQH589843 QAD589826:QAD589843 QJZ589826:QJZ589843 QTV589826:QTV589843 RDR589826:RDR589843 RNN589826:RNN589843 RXJ589826:RXJ589843 SHF589826:SHF589843 SRB589826:SRB589843 TAX589826:TAX589843 TKT589826:TKT589843 TUP589826:TUP589843 UEL589826:UEL589843 UOH589826:UOH589843 UYD589826:UYD589843 VHZ589826:VHZ589843 VRV589826:VRV589843 WBR589826:WBR589843 WLN589826:WLN589843 WVJ589826:WVJ589843 B655362:B655379 IX655362:IX655379 ST655362:ST655379 ACP655362:ACP655379 AML655362:AML655379 AWH655362:AWH655379 BGD655362:BGD655379 BPZ655362:BPZ655379 BZV655362:BZV655379 CJR655362:CJR655379 CTN655362:CTN655379 DDJ655362:DDJ655379 DNF655362:DNF655379 DXB655362:DXB655379 EGX655362:EGX655379 EQT655362:EQT655379 FAP655362:FAP655379 FKL655362:FKL655379 FUH655362:FUH655379 GED655362:GED655379 GNZ655362:GNZ655379 GXV655362:GXV655379 HHR655362:HHR655379 HRN655362:HRN655379 IBJ655362:IBJ655379 ILF655362:ILF655379 IVB655362:IVB655379 JEX655362:JEX655379 JOT655362:JOT655379 JYP655362:JYP655379 KIL655362:KIL655379 KSH655362:KSH655379 LCD655362:LCD655379 LLZ655362:LLZ655379 LVV655362:LVV655379 MFR655362:MFR655379 MPN655362:MPN655379 MZJ655362:MZJ655379 NJF655362:NJF655379 NTB655362:NTB655379 OCX655362:OCX655379 OMT655362:OMT655379 OWP655362:OWP655379 PGL655362:PGL655379 PQH655362:PQH655379 QAD655362:QAD655379 QJZ655362:QJZ655379 QTV655362:QTV655379 RDR655362:RDR655379 RNN655362:RNN655379 RXJ655362:RXJ655379 SHF655362:SHF655379 SRB655362:SRB655379 TAX655362:TAX655379 TKT655362:TKT655379 TUP655362:TUP655379 UEL655362:UEL655379 UOH655362:UOH655379 UYD655362:UYD655379 VHZ655362:VHZ655379 VRV655362:VRV655379 WBR655362:WBR655379 WLN655362:WLN655379 WVJ655362:WVJ655379 B720898:B720915 IX720898:IX720915 ST720898:ST720915 ACP720898:ACP720915 AML720898:AML720915 AWH720898:AWH720915 BGD720898:BGD720915 BPZ720898:BPZ720915 BZV720898:BZV720915 CJR720898:CJR720915 CTN720898:CTN720915 DDJ720898:DDJ720915 DNF720898:DNF720915 DXB720898:DXB720915 EGX720898:EGX720915 EQT720898:EQT720915 FAP720898:FAP720915 FKL720898:FKL720915 FUH720898:FUH720915 GED720898:GED720915 GNZ720898:GNZ720915 GXV720898:GXV720915 HHR720898:HHR720915 HRN720898:HRN720915 IBJ720898:IBJ720915 ILF720898:ILF720915 IVB720898:IVB720915 JEX720898:JEX720915 JOT720898:JOT720915 JYP720898:JYP720915 KIL720898:KIL720915 KSH720898:KSH720915 LCD720898:LCD720915 LLZ720898:LLZ720915 LVV720898:LVV720915 MFR720898:MFR720915 MPN720898:MPN720915 MZJ720898:MZJ720915 NJF720898:NJF720915 NTB720898:NTB720915 OCX720898:OCX720915 OMT720898:OMT720915 OWP720898:OWP720915 PGL720898:PGL720915 PQH720898:PQH720915 QAD720898:QAD720915 QJZ720898:QJZ720915 QTV720898:QTV720915 RDR720898:RDR720915 RNN720898:RNN720915 RXJ720898:RXJ720915 SHF720898:SHF720915 SRB720898:SRB720915 TAX720898:TAX720915 TKT720898:TKT720915 TUP720898:TUP720915 UEL720898:UEL720915 UOH720898:UOH720915 UYD720898:UYD720915 VHZ720898:VHZ720915 VRV720898:VRV720915 WBR720898:WBR720915 WLN720898:WLN720915 WVJ720898:WVJ720915 B786434:B786451 IX786434:IX786451 ST786434:ST786451 ACP786434:ACP786451 AML786434:AML786451 AWH786434:AWH786451 BGD786434:BGD786451 BPZ786434:BPZ786451 BZV786434:BZV786451 CJR786434:CJR786451 CTN786434:CTN786451 DDJ786434:DDJ786451 DNF786434:DNF786451 DXB786434:DXB786451 EGX786434:EGX786451 EQT786434:EQT786451 FAP786434:FAP786451 FKL786434:FKL786451 FUH786434:FUH786451 GED786434:GED786451 GNZ786434:GNZ786451 GXV786434:GXV786451 HHR786434:HHR786451 HRN786434:HRN786451 IBJ786434:IBJ786451 ILF786434:ILF786451 IVB786434:IVB786451 JEX786434:JEX786451 JOT786434:JOT786451 JYP786434:JYP786451 KIL786434:KIL786451 KSH786434:KSH786451 LCD786434:LCD786451 LLZ786434:LLZ786451 LVV786434:LVV786451 MFR786434:MFR786451 MPN786434:MPN786451 MZJ786434:MZJ786451 NJF786434:NJF786451 NTB786434:NTB786451 OCX786434:OCX786451 OMT786434:OMT786451 OWP786434:OWP786451 PGL786434:PGL786451 PQH786434:PQH786451 QAD786434:QAD786451 QJZ786434:QJZ786451 QTV786434:QTV786451 RDR786434:RDR786451 RNN786434:RNN786451 RXJ786434:RXJ786451 SHF786434:SHF786451 SRB786434:SRB786451 TAX786434:TAX786451 TKT786434:TKT786451 TUP786434:TUP786451 UEL786434:UEL786451 UOH786434:UOH786451 UYD786434:UYD786451 VHZ786434:VHZ786451 VRV786434:VRV786451 WBR786434:WBR786451 WLN786434:WLN786451 WVJ786434:WVJ786451 B851970:B851987 IX851970:IX851987 ST851970:ST851987 ACP851970:ACP851987 AML851970:AML851987 AWH851970:AWH851987 BGD851970:BGD851987 BPZ851970:BPZ851987 BZV851970:BZV851987 CJR851970:CJR851987 CTN851970:CTN851987 DDJ851970:DDJ851987 DNF851970:DNF851987 DXB851970:DXB851987 EGX851970:EGX851987 EQT851970:EQT851987 FAP851970:FAP851987 FKL851970:FKL851987 FUH851970:FUH851987 GED851970:GED851987 GNZ851970:GNZ851987 GXV851970:GXV851987 HHR851970:HHR851987 HRN851970:HRN851987 IBJ851970:IBJ851987 ILF851970:ILF851987 IVB851970:IVB851987 JEX851970:JEX851987 JOT851970:JOT851987 JYP851970:JYP851987 KIL851970:KIL851987 KSH851970:KSH851987 LCD851970:LCD851987 LLZ851970:LLZ851987 LVV851970:LVV851987 MFR851970:MFR851987 MPN851970:MPN851987 MZJ851970:MZJ851987 NJF851970:NJF851987 NTB851970:NTB851987 OCX851970:OCX851987 OMT851970:OMT851987 OWP851970:OWP851987 PGL851970:PGL851987 PQH851970:PQH851987 QAD851970:QAD851987 QJZ851970:QJZ851987 QTV851970:QTV851987 RDR851970:RDR851987 RNN851970:RNN851987 RXJ851970:RXJ851987 SHF851970:SHF851987 SRB851970:SRB851987 TAX851970:TAX851987 TKT851970:TKT851987 TUP851970:TUP851987 UEL851970:UEL851987 UOH851970:UOH851987 UYD851970:UYD851987 VHZ851970:VHZ851987 VRV851970:VRV851987 WBR851970:WBR851987 WLN851970:WLN851987 WVJ851970:WVJ851987 B917506:B917523 IX917506:IX917523 ST917506:ST917523 ACP917506:ACP917523 AML917506:AML917523 AWH917506:AWH917523 BGD917506:BGD917523 BPZ917506:BPZ917523 BZV917506:BZV917523 CJR917506:CJR917523 CTN917506:CTN917523 DDJ917506:DDJ917523 DNF917506:DNF917523 DXB917506:DXB917523 EGX917506:EGX917523 EQT917506:EQT917523 FAP917506:FAP917523 FKL917506:FKL917523 FUH917506:FUH917523 GED917506:GED917523 GNZ917506:GNZ917523 GXV917506:GXV917523 HHR917506:HHR917523 HRN917506:HRN917523 IBJ917506:IBJ917523 ILF917506:ILF917523 IVB917506:IVB917523 JEX917506:JEX917523 JOT917506:JOT917523 JYP917506:JYP917523 KIL917506:KIL917523 KSH917506:KSH917523 LCD917506:LCD917523 LLZ917506:LLZ917523 LVV917506:LVV917523 MFR917506:MFR917523 MPN917506:MPN917523 MZJ917506:MZJ917523 NJF917506:NJF917523 NTB917506:NTB917523 OCX917506:OCX917523 OMT917506:OMT917523 OWP917506:OWP917523 PGL917506:PGL917523 PQH917506:PQH917523 QAD917506:QAD917523 QJZ917506:QJZ917523 QTV917506:QTV917523 RDR917506:RDR917523 RNN917506:RNN917523 RXJ917506:RXJ917523 SHF917506:SHF917523 SRB917506:SRB917523 TAX917506:TAX917523 TKT917506:TKT917523 TUP917506:TUP917523 UEL917506:UEL917523 UOH917506:UOH917523 UYD917506:UYD917523 VHZ917506:VHZ917523 VRV917506:VRV917523 WBR917506:WBR917523 WLN917506:WLN917523 WVJ917506:WVJ917523" xr:uid="{00000000-0002-0000-1700-000001000000}">
      <formula1>trung</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375"/>
  <sheetViews>
    <sheetView topLeftCell="A11" workbookViewId="0">
      <selection activeCell="B35" sqref="B35:F35"/>
    </sheetView>
  </sheetViews>
  <sheetFormatPr defaultColWidth="40.5" defaultRowHeight="15" customHeight="1" zeroHeight="1"/>
  <cols>
    <col min="1" max="1" width="4.19921875" style="16" customWidth="1"/>
    <col min="2" max="2" width="23.8984375" style="16" customWidth="1"/>
    <col min="3" max="3" width="5" style="87" customWidth="1"/>
    <col min="4" max="4" width="6.19921875" style="88" customWidth="1"/>
    <col min="5" max="5" width="10.8984375" style="89" customWidth="1"/>
    <col min="6" max="6" width="5.8984375" style="87" customWidth="1"/>
    <col min="7" max="7" width="10.59765625" style="89" customWidth="1"/>
    <col min="8" max="8" width="6.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57"/>
      <c r="G3" s="102"/>
      <c r="H3" s="103"/>
    </row>
    <row r="4" spans="1:8" s="98" customFormat="1" ht="18" customHeight="1">
      <c r="A4" s="414"/>
      <c r="B4" s="414"/>
      <c r="C4" s="415" t="s">
        <v>1740</v>
      </c>
      <c r="D4" s="416"/>
      <c r="E4" s="416"/>
      <c r="F4" s="416"/>
      <c r="G4" s="416"/>
      <c r="H4" s="416"/>
    </row>
    <row r="5" spans="1:8" s="98" customFormat="1" ht="15.6">
      <c r="A5" s="104"/>
      <c r="B5" s="104"/>
      <c r="C5" s="156"/>
      <c r="D5" s="105"/>
      <c r="E5" s="106"/>
      <c r="F5" s="156"/>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1864</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1865</v>
      </c>
      <c r="C13" s="425"/>
      <c r="D13" s="425"/>
      <c r="E13" s="425"/>
      <c r="F13" s="425"/>
      <c r="G13" s="73">
        <f>G14</f>
        <v>89680000</v>
      </c>
      <c r="H13" s="74"/>
    </row>
    <row r="14" spans="1:8" s="131" customFormat="1" ht="40.5" customHeight="1">
      <c r="A14" s="123"/>
      <c r="B14" s="124" t="s">
        <v>1757</v>
      </c>
      <c r="C14" s="125" t="s">
        <v>1753</v>
      </c>
      <c r="D14" s="126">
        <v>7.6</v>
      </c>
      <c r="E14" s="127">
        <v>11800000</v>
      </c>
      <c r="F14" s="128">
        <v>1</v>
      </c>
      <c r="G14" s="129">
        <f>D14*E14*F14</f>
        <v>89680000</v>
      </c>
      <c r="H14" s="130"/>
    </row>
    <row r="15" spans="1:8" ht="27" customHeight="1">
      <c r="A15" s="75" t="s">
        <v>18</v>
      </c>
      <c r="B15" s="426" t="s">
        <v>1725</v>
      </c>
      <c r="C15" s="426"/>
      <c r="D15" s="426"/>
      <c r="E15" s="426"/>
      <c r="F15" s="426"/>
      <c r="G15" s="76">
        <f>SUM(G16:G32)</f>
        <v>94345998.616800025</v>
      </c>
      <c r="H15" s="11"/>
    </row>
    <row r="16" spans="1:8" ht="31.2">
      <c r="A16" s="77">
        <v>1</v>
      </c>
      <c r="B16" s="78" t="s">
        <v>2064</v>
      </c>
      <c r="C16" s="14" t="s">
        <v>66</v>
      </c>
      <c r="D16" s="132">
        <f>7.6*2.5</f>
        <v>19</v>
      </c>
      <c r="E16" s="15">
        <v>664028</v>
      </c>
      <c r="F16" s="14">
        <v>1</v>
      </c>
      <c r="G16" s="79">
        <f t="shared" ref="G16:G19" si="0">D16*E16*F16</f>
        <v>12616532</v>
      </c>
      <c r="H16" s="15"/>
    </row>
    <row r="17" spans="1:8" ht="15.6">
      <c r="A17" s="77">
        <v>2</v>
      </c>
      <c r="B17" s="78" t="s">
        <v>2060</v>
      </c>
      <c r="C17" s="14" t="s">
        <v>66</v>
      </c>
      <c r="D17" s="132">
        <f>7.6*0.3</f>
        <v>2.2799999999999998</v>
      </c>
      <c r="E17" s="15">
        <v>214934</v>
      </c>
      <c r="F17" s="14">
        <v>1</v>
      </c>
      <c r="G17" s="79">
        <f t="shared" si="0"/>
        <v>490049.51999999996</v>
      </c>
      <c r="H17" s="15"/>
    </row>
    <row r="18" spans="1:8" ht="46.8">
      <c r="A18" s="77">
        <v>3</v>
      </c>
      <c r="B18" s="78" t="s">
        <v>1870</v>
      </c>
      <c r="C18" s="14" t="s">
        <v>1754</v>
      </c>
      <c r="D18" s="132">
        <f>(0.6*0.6*3.8)*2+(0.5*0.4*3.8)</f>
        <v>3.4959999999999996</v>
      </c>
      <c r="E18" s="15">
        <v>2623803</v>
      </c>
      <c r="F18" s="14">
        <v>1</v>
      </c>
      <c r="G18" s="79">
        <f t="shared" si="0"/>
        <v>9172815.2879999988</v>
      </c>
      <c r="H18" s="15"/>
    </row>
    <row r="19" spans="1:8" ht="46.8">
      <c r="A19" s="77"/>
      <c r="B19" s="78" t="s">
        <v>1973</v>
      </c>
      <c r="C19" s="14" t="s">
        <v>66</v>
      </c>
      <c r="D19" s="132">
        <f>(0.6*3.8*4*2)+(0.5+0.4)*3.8*2</f>
        <v>25.08</v>
      </c>
      <c r="E19" s="15">
        <v>250492</v>
      </c>
      <c r="F19" s="14">
        <v>1</v>
      </c>
      <c r="G19" s="79">
        <f t="shared" si="0"/>
        <v>6282339.3599999994</v>
      </c>
      <c r="H19" s="15"/>
    </row>
    <row r="20" spans="1:8" ht="31.2">
      <c r="A20" s="77">
        <v>4</v>
      </c>
      <c r="B20" s="78" t="s">
        <v>1871</v>
      </c>
      <c r="C20" s="14" t="s">
        <v>1754</v>
      </c>
      <c r="D20" s="132">
        <f>1*2*3.8*0.11</f>
        <v>0.83599999999999997</v>
      </c>
      <c r="E20" s="15">
        <v>2126713</v>
      </c>
      <c r="F20" s="14">
        <v>1</v>
      </c>
      <c r="G20" s="79">
        <f t="shared" ref="G20:G32" si="1">D20*E20*F20</f>
        <v>1777932.068</v>
      </c>
      <c r="H20" s="15"/>
    </row>
    <row r="21" spans="1:8" ht="15.6">
      <c r="A21" s="77"/>
      <c r="B21" s="78" t="s">
        <v>1972</v>
      </c>
      <c r="C21" s="14" t="s">
        <v>66</v>
      </c>
      <c r="D21" s="132">
        <f>1*3*3.8</f>
        <v>11.399999999999999</v>
      </c>
      <c r="E21" s="15">
        <v>141099</v>
      </c>
      <c r="F21" s="14">
        <v>1</v>
      </c>
      <c r="G21" s="79">
        <f t="shared" si="1"/>
        <v>1608528.5999999999</v>
      </c>
      <c r="H21" s="15"/>
    </row>
    <row r="22" spans="1:8" ht="15.6">
      <c r="A22" s="77">
        <v>5</v>
      </c>
      <c r="B22" s="78" t="s">
        <v>2061</v>
      </c>
      <c r="C22" s="14" t="s">
        <v>1754</v>
      </c>
      <c r="D22" s="132">
        <f>1.8*7.4*0.1</f>
        <v>1.3320000000000001</v>
      </c>
      <c r="E22" s="15">
        <v>1629758</v>
      </c>
      <c r="F22" s="14">
        <v>1</v>
      </c>
      <c r="G22" s="79">
        <f t="shared" si="1"/>
        <v>2170837.656</v>
      </c>
      <c r="H22" s="15"/>
    </row>
    <row r="23" spans="1:8" ht="31.2">
      <c r="A23" s="77">
        <v>6</v>
      </c>
      <c r="B23" s="78" t="s">
        <v>2058</v>
      </c>
      <c r="C23" s="14" t="s">
        <v>66</v>
      </c>
      <c r="D23" s="132">
        <f>(3*2.7)*2</f>
        <v>16.200000000000003</v>
      </c>
      <c r="E23" s="15">
        <v>2350000</v>
      </c>
      <c r="F23" s="14">
        <v>1</v>
      </c>
      <c r="G23" s="79">
        <f>D23*E23*F23</f>
        <v>38070000.000000007</v>
      </c>
      <c r="H23" s="15"/>
    </row>
    <row r="24" spans="1:8" ht="15.6">
      <c r="A24" s="77">
        <v>7</v>
      </c>
      <c r="B24" s="78" t="s">
        <v>1872</v>
      </c>
      <c r="C24" s="14" t="s">
        <v>66</v>
      </c>
      <c r="D24" s="132">
        <f>3*2.7</f>
        <v>8.1000000000000014</v>
      </c>
      <c r="E24" s="15">
        <v>750000</v>
      </c>
      <c r="F24" s="14">
        <v>1</v>
      </c>
      <c r="G24" s="79">
        <f t="shared" si="1"/>
        <v>6075000.0000000009</v>
      </c>
      <c r="H24" s="15"/>
    </row>
    <row r="25" spans="1:8" ht="15.6">
      <c r="A25" s="77">
        <v>8</v>
      </c>
      <c r="B25" s="78" t="s">
        <v>1866</v>
      </c>
      <c r="C25" s="14" t="s">
        <v>66</v>
      </c>
      <c r="D25" s="132">
        <f>(1.2*3)*2</f>
        <v>7.1999999999999993</v>
      </c>
      <c r="E25" s="15">
        <v>505745</v>
      </c>
      <c r="F25" s="14">
        <v>1</v>
      </c>
      <c r="G25" s="79">
        <f t="shared" si="1"/>
        <v>3641363.9999999995</v>
      </c>
      <c r="H25" s="15"/>
    </row>
    <row r="26" spans="1:8" ht="31.2">
      <c r="A26" s="77">
        <v>9</v>
      </c>
      <c r="B26" s="78" t="s">
        <v>2055</v>
      </c>
      <c r="C26" s="14" t="s">
        <v>2026</v>
      </c>
      <c r="D26" s="14">
        <v>4</v>
      </c>
      <c r="E26" s="181">
        <v>46462</v>
      </c>
      <c r="F26" s="14">
        <v>1</v>
      </c>
      <c r="G26" s="79">
        <f t="shared" si="1"/>
        <v>185848</v>
      </c>
      <c r="H26" s="15"/>
    </row>
    <row r="27" spans="1:8" ht="15.6">
      <c r="A27" s="77">
        <v>10</v>
      </c>
      <c r="B27" s="78" t="s">
        <v>1867</v>
      </c>
      <c r="C27" s="14"/>
      <c r="D27" s="132"/>
      <c r="E27" s="15"/>
      <c r="F27" s="14"/>
      <c r="G27" s="79"/>
      <c r="H27" s="15"/>
    </row>
    <row r="28" spans="1:8" ht="31.2">
      <c r="A28" s="77" t="s">
        <v>1761</v>
      </c>
      <c r="B28" s="78" t="s">
        <v>2062</v>
      </c>
      <c r="C28" s="14" t="s">
        <v>1754</v>
      </c>
      <c r="D28" s="132">
        <f>(7.6*1*0.11)*2</f>
        <v>1.6719999999999999</v>
      </c>
      <c r="E28" s="15">
        <v>2126713</v>
      </c>
      <c r="F28" s="14">
        <v>1</v>
      </c>
      <c r="G28" s="79">
        <f t="shared" si="1"/>
        <v>3555864.1359999999</v>
      </c>
      <c r="H28" s="15"/>
    </row>
    <row r="29" spans="1:8" ht="15.6">
      <c r="A29" s="77" t="s">
        <v>1761</v>
      </c>
      <c r="B29" s="78" t="s">
        <v>2063</v>
      </c>
      <c r="C29" s="14" t="s">
        <v>1754</v>
      </c>
      <c r="D29" s="132">
        <f>7.6*0.65*0.1</f>
        <v>0.49399999999999999</v>
      </c>
      <c r="E29" s="15">
        <v>1629758</v>
      </c>
      <c r="F29" s="14">
        <v>1</v>
      </c>
      <c r="G29" s="79">
        <f t="shared" si="1"/>
        <v>805100.45200000005</v>
      </c>
      <c r="H29" s="15"/>
    </row>
    <row r="30" spans="1:8" ht="31.2">
      <c r="A30" s="77" t="s">
        <v>1761</v>
      </c>
      <c r="B30" s="78" t="s">
        <v>2065</v>
      </c>
      <c r="C30" s="14" t="s">
        <v>1754</v>
      </c>
      <c r="D30" s="132">
        <f>7.6*0.65*0.07</f>
        <v>0.3458</v>
      </c>
      <c r="E30" s="15">
        <v>5710896</v>
      </c>
      <c r="F30" s="14">
        <v>1</v>
      </c>
      <c r="G30" s="79">
        <f t="shared" si="1"/>
        <v>1974827.8367999999</v>
      </c>
      <c r="H30" s="15"/>
    </row>
    <row r="31" spans="1:8" ht="15.6">
      <c r="A31" s="77">
        <v>11</v>
      </c>
      <c r="B31" s="78" t="s">
        <v>1868</v>
      </c>
      <c r="C31" s="14" t="s">
        <v>66</v>
      </c>
      <c r="D31" s="132">
        <f>3*2</f>
        <v>6</v>
      </c>
      <c r="E31" s="15">
        <v>850000</v>
      </c>
      <c r="F31" s="14">
        <v>1</v>
      </c>
      <c r="G31" s="79">
        <f t="shared" si="1"/>
        <v>5100000</v>
      </c>
      <c r="H31" s="15"/>
    </row>
    <row r="32" spans="1:8" ht="15.6">
      <c r="A32" s="77">
        <v>12</v>
      </c>
      <c r="B32" s="78" t="s">
        <v>1869</v>
      </c>
      <c r="C32" s="14" t="s">
        <v>66</v>
      </c>
      <c r="D32" s="132">
        <f>3.4*1.3</f>
        <v>4.42</v>
      </c>
      <c r="E32" s="15">
        <v>185285</v>
      </c>
      <c r="F32" s="14">
        <v>1</v>
      </c>
      <c r="G32" s="79">
        <f t="shared" si="1"/>
        <v>818959.7</v>
      </c>
      <c r="H32" s="15"/>
    </row>
    <row r="33" spans="1:8" ht="24" customHeight="1">
      <c r="A33" s="75" t="s">
        <v>19</v>
      </c>
      <c r="B33" s="426" t="s">
        <v>1727</v>
      </c>
      <c r="C33" s="426"/>
      <c r="D33" s="426"/>
      <c r="E33" s="426"/>
      <c r="F33" s="426"/>
      <c r="G33" s="76">
        <f>SUM(G34:G34)</f>
        <v>0</v>
      </c>
      <c r="H33" s="11"/>
    </row>
    <row r="34" spans="1:8" ht="30.6" customHeight="1">
      <c r="A34" s="77"/>
      <c r="B34" s="78" t="s">
        <v>1728</v>
      </c>
      <c r="C34" s="13"/>
      <c r="D34" s="13"/>
      <c r="E34" s="13"/>
      <c r="F34" s="13"/>
      <c r="G34" s="79"/>
      <c r="H34" s="15"/>
    </row>
    <row r="35" spans="1:8" ht="15.6">
      <c r="A35" s="80"/>
      <c r="B35" s="427" t="s">
        <v>62</v>
      </c>
      <c r="C35" s="428"/>
      <c r="D35" s="428"/>
      <c r="E35" s="428"/>
      <c r="F35" s="429"/>
      <c r="G35" s="81">
        <f>G13+G15+G33</f>
        <v>184025998.61680001</v>
      </c>
      <c r="H35" s="82"/>
    </row>
    <row r="36" spans="1:8" ht="15.6">
      <c r="A36" s="80"/>
      <c r="B36" s="427" t="s">
        <v>1726</v>
      </c>
      <c r="C36" s="428"/>
      <c r="D36" s="428"/>
      <c r="E36" s="428"/>
      <c r="F36" s="429"/>
      <c r="G36" s="81">
        <f>ROUND(G35,-3)</f>
        <v>184026000</v>
      </c>
      <c r="H36" s="82"/>
    </row>
    <row r="37" spans="1:8" ht="15.6">
      <c r="A37" s="430" t="e" cm="1">
        <f t="array" aca="1" ref="A37" ca="1">[22]!vnd(G36)</f>
        <v>#NAME?</v>
      </c>
      <c r="B37" s="431"/>
      <c r="C37" s="431"/>
      <c r="D37" s="431"/>
      <c r="E37" s="431"/>
      <c r="F37" s="431"/>
      <c r="G37" s="431"/>
      <c r="H37" s="432"/>
    </row>
    <row r="38" spans="1:8">
      <c r="A38" s="17"/>
      <c r="B38" s="17"/>
      <c r="C38" s="97"/>
      <c r="D38" s="20"/>
      <c r="E38" s="19"/>
      <c r="F38" s="97"/>
      <c r="G38" s="19"/>
      <c r="H38" s="17"/>
    </row>
    <row r="39" spans="1:8" s="109" customFormat="1" ht="16.5" customHeight="1">
      <c r="A39" s="108"/>
      <c r="B39" s="108"/>
      <c r="C39" s="424" t="s">
        <v>1742</v>
      </c>
      <c r="D39" s="424"/>
      <c r="E39" s="424"/>
      <c r="F39" s="424"/>
      <c r="G39" s="424"/>
      <c r="H39" s="424"/>
    </row>
    <row r="40" spans="1:8" s="109" customFormat="1" ht="16.5" customHeight="1">
      <c r="A40" s="423" t="s">
        <v>63</v>
      </c>
      <c r="B40" s="423"/>
      <c r="C40" s="424" t="s">
        <v>1743</v>
      </c>
      <c r="D40" s="424"/>
      <c r="E40" s="424"/>
      <c r="F40" s="424" t="s">
        <v>1744</v>
      </c>
      <c r="G40" s="424"/>
      <c r="H40" s="424"/>
    </row>
    <row r="41" spans="1:8" s="109" customFormat="1" ht="15.6">
      <c r="A41" s="108"/>
      <c r="B41" s="108"/>
      <c r="C41" s="108"/>
      <c r="D41" s="110"/>
      <c r="E41" s="111"/>
      <c r="F41" s="112"/>
      <c r="G41" s="111"/>
      <c r="H41" s="113"/>
    </row>
    <row r="42" spans="1:8" s="109" customFormat="1" ht="15.6">
      <c r="A42" s="108"/>
      <c r="B42" s="108"/>
      <c r="C42" s="108"/>
      <c r="D42" s="110"/>
      <c r="E42" s="111"/>
      <c r="F42" s="112"/>
      <c r="G42" s="114"/>
      <c r="H42" s="113"/>
    </row>
    <row r="43" spans="1:8" s="109" customFormat="1" ht="15.6">
      <c r="A43" s="108"/>
      <c r="B43" s="108"/>
      <c r="C43" s="108"/>
      <c r="D43" s="110"/>
      <c r="E43" s="111"/>
      <c r="F43" s="112"/>
      <c r="G43" s="111"/>
      <c r="H43" s="113"/>
    </row>
    <row r="44" spans="1:8" s="109" customFormat="1" ht="15.6">
      <c r="A44" s="108"/>
      <c r="B44" s="108"/>
      <c r="C44" s="108"/>
      <c r="D44" s="110"/>
      <c r="E44" s="111"/>
      <c r="F44" s="112"/>
      <c r="G44" s="111"/>
      <c r="H44" s="113"/>
    </row>
    <row r="45" spans="1:8" s="109" customFormat="1" ht="15.6">
      <c r="A45" s="108"/>
      <c r="B45" s="108"/>
      <c r="C45" s="108"/>
      <c r="D45" s="110"/>
      <c r="E45" s="111"/>
      <c r="F45" s="112"/>
      <c r="G45" s="111"/>
      <c r="H45" s="113"/>
    </row>
    <row r="46" spans="1:8" s="109" customFormat="1" ht="16.5" customHeight="1">
      <c r="A46" s="108"/>
      <c r="B46" s="158" t="s">
        <v>64</v>
      </c>
      <c r="C46" s="424"/>
      <c r="D46" s="424"/>
      <c r="E46" s="424"/>
      <c r="F46" s="424" t="s">
        <v>1745</v>
      </c>
      <c r="G46" s="424"/>
      <c r="H46" s="424"/>
    </row>
    <row r="47" spans="1:8" s="109" customFormat="1" ht="15.6">
      <c r="A47" s="108"/>
      <c r="B47" s="158"/>
      <c r="C47" s="155"/>
      <c r="D47" s="155"/>
      <c r="E47" s="155"/>
      <c r="F47" s="155"/>
      <c r="G47" s="155"/>
      <c r="H47" s="155"/>
    </row>
    <row r="48" spans="1:8" s="109" customFormat="1" ht="15" customHeight="1">
      <c r="A48" s="424" t="s">
        <v>1746</v>
      </c>
      <c r="B48" s="424"/>
      <c r="C48" s="424"/>
      <c r="D48" s="424"/>
      <c r="E48" s="424" t="s">
        <v>1747</v>
      </c>
      <c r="F48" s="424"/>
      <c r="G48" s="424"/>
      <c r="H48" s="424"/>
    </row>
    <row r="49" spans="1:8" s="109" customFormat="1" ht="33.6" customHeight="1">
      <c r="A49" s="424" t="s">
        <v>1748</v>
      </c>
      <c r="B49" s="424"/>
      <c r="C49" s="424"/>
      <c r="D49" s="424"/>
      <c r="E49" s="424" t="s">
        <v>65</v>
      </c>
      <c r="F49" s="424"/>
      <c r="G49" s="424"/>
      <c r="H49" s="424"/>
    </row>
    <row r="50" spans="1:8" s="109" customFormat="1" ht="15.6">
      <c r="A50" s="108"/>
      <c r="B50" s="108"/>
      <c r="C50" s="108"/>
      <c r="D50" s="110"/>
      <c r="E50" s="111"/>
      <c r="F50" s="112"/>
      <c r="G50" s="111"/>
      <c r="H50" s="113"/>
    </row>
    <row r="51" spans="1:8" s="109" customFormat="1" ht="15.6">
      <c r="A51" s="108"/>
      <c r="B51" s="108"/>
      <c r="C51" s="108"/>
      <c r="D51" s="110"/>
      <c r="E51" s="111"/>
      <c r="F51" s="112"/>
      <c r="G51" s="111"/>
      <c r="H51" s="113"/>
    </row>
    <row r="52" spans="1:8" s="109" customFormat="1" ht="15.6">
      <c r="A52" s="108"/>
      <c r="B52" s="108"/>
      <c r="C52" s="108"/>
      <c r="D52" s="110"/>
      <c r="E52" s="111"/>
      <c r="F52" s="112"/>
      <c r="G52" s="111"/>
      <c r="H52" s="113"/>
    </row>
    <row r="53" spans="1:8" s="109" customFormat="1" ht="15.6">
      <c r="A53" s="108"/>
      <c r="B53" s="108"/>
      <c r="C53" s="108"/>
      <c r="D53" s="110"/>
      <c r="E53" s="111"/>
      <c r="F53" s="112"/>
      <c r="G53" s="111"/>
      <c r="H53" s="113"/>
    </row>
    <row r="54" spans="1:8" s="109" customFormat="1" ht="15.6">
      <c r="A54" s="108"/>
      <c r="B54" s="108"/>
      <c r="C54" s="108"/>
      <c r="D54" s="110"/>
      <c r="E54" s="111"/>
      <c r="F54" s="112"/>
      <c r="G54" s="111"/>
      <c r="H54" s="113"/>
    </row>
    <row r="55" spans="1:8" s="109" customFormat="1" ht="15.6" customHeight="1">
      <c r="A55" s="108"/>
      <c r="B55" s="108"/>
      <c r="C55" s="108"/>
      <c r="D55" s="115"/>
      <c r="E55" s="439" t="s">
        <v>1749</v>
      </c>
      <c r="F55" s="439"/>
      <c r="G55" s="439"/>
      <c r="H55" s="439"/>
    </row>
    <row r="56" spans="1:8" s="109" customFormat="1" ht="16.5" customHeight="1">
      <c r="A56" s="424" t="s">
        <v>1751</v>
      </c>
      <c r="B56" s="424"/>
      <c r="C56" s="424"/>
      <c r="D56" s="424"/>
      <c r="E56" s="424" t="s">
        <v>1750</v>
      </c>
      <c r="F56" s="424"/>
      <c r="G56" s="424"/>
      <c r="H56" s="424"/>
    </row>
    <row r="57" spans="1:8" s="118" customFormat="1" ht="16.2" customHeight="1">
      <c r="A57" s="440"/>
      <c r="B57" s="440"/>
      <c r="C57" s="116"/>
      <c r="D57" s="117"/>
      <c r="E57" s="440"/>
      <c r="F57" s="440"/>
      <c r="G57" s="440"/>
      <c r="H57" s="440"/>
    </row>
    <row r="58" spans="1:8" s="118" customFormat="1" ht="15.75" customHeight="1">
      <c r="A58" s="440"/>
      <c r="B58" s="440"/>
      <c r="C58" s="440"/>
      <c r="D58" s="440"/>
      <c r="E58" s="440"/>
      <c r="F58" s="440"/>
      <c r="G58" s="440"/>
      <c r="H58" s="440"/>
    </row>
    <row r="59" spans="1:8" s="98" customFormat="1" ht="16.2" customHeight="1">
      <c r="A59" s="436"/>
      <c r="B59" s="436"/>
      <c r="C59" s="436"/>
      <c r="D59" s="436"/>
      <c r="E59" s="119"/>
      <c r="F59" s="120"/>
      <c r="G59" s="119"/>
      <c r="H59" s="121"/>
    </row>
    <row r="60" spans="1:8" s="98" customFormat="1" ht="16.2" customHeight="1">
      <c r="A60" s="436"/>
      <c r="B60" s="436"/>
      <c r="C60" s="436"/>
      <c r="D60" s="436"/>
      <c r="E60" s="119"/>
      <c r="F60" s="120"/>
      <c r="G60" s="119"/>
      <c r="H60" s="121"/>
    </row>
    <row r="61" spans="1:8" s="98" customFormat="1" ht="16.2" customHeight="1">
      <c r="A61" s="121"/>
      <c r="B61" s="121"/>
      <c r="C61" s="121"/>
      <c r="D61" s="122"/>
      <c r="E61" s="119"/>
      <c r="F61" s="120"/>
      <c r="G61" s="119"/>
      <c r="H61" s="121"/>
    </row>
    <row r="62" spans="1:8" ht="16.2" customHeight="1">
      <c r="A62" s="83"/>
      <c r="B62" s="83"/>
      <c r="C62" s="83"/>
      <c r="D62" s="84"/>
      <c r="E62" s="85"/>
      <c r="F62" s="86"/>
      <c r="G62" s="85"/>
      <c r="H62" s="83"/>
    </row>
    <row r="63" spans="1:8" ht="16.2" customHeight="1">
      <c r="A63" s="83"/>
      <c r="B63" s="83"/>
      <c r="C63" s="83"/>
      <c r="D63" s="84"/>
      <c r="E63" s="85"/>
      <c r="F63" s="86"/>
      <c r="G63" s="85"/>
      <c r="H63" s="83"/>
    </row>
    <row r="64" spans="1:8" ht="16.2" customHeight="1">
      <c r="A64" s="83"/>
      <c r="B64" s="83"/>
      <c r="C64" s="83"/>
      <c r="D64" s="84"/>
      <c r="E64" s="85"/>
      <c r="F64" s="86"/>
      <c r="G64" s="85"/>
      <c r="H64" s="83"/>
    </row>
    <row r="65" spans="1:8" ht="16.2" customHeight="1">
      <c r="A65" s="83"/>
      <c r="B65" s="83"/>
      <c r="C65" s="83"/>
      <c r="D65" s="84"/>
      <c r="E65" s="437"/>
      <c r="F65" s="437"/>
      <c r="G65" s="437"/>
      <c r="H65" s="437"/>
    </row>
    <row r="66" spans="1:8" ht="20.25" customHeight="1">
      <c r="A66" s="438"/>
      <c r="B66" s="438"/>
      <c r="C66" s="438"/>
      <c r="D66" s="438"/>
      <c r="E66" s="438"/>
      <c r="F66" s="438"/>
      <c r="G66" s="438"/>
      <c r="H66" s="438"/>
    </row>
    <row r="67" spans="1:8" s="17" customFormat="1" ht="16.2" customHeight="1">
      <c r="D67" s="18"/>
      <c r="E67" s="19"/>
      <c r="F67" s="97"/>
      <c r="G67" s="19"/>
    </row>
    <row r="68" spans="1:8" s="17" customFormat="1" ht="16.2" customHeight="1">
      <c r="D68" s="18"/>
      <c r="E68" s="19"/>
      <c r="F68" s="97"/>
      <c r="G68" s="19"/>
    </row>
    <row r="69" spans="1:8" s="17" customFormat="1" ht="16.2" customHeight="1">
      <c r="D69" s="18"/>
      <c r="E69" s="19"/>
      <c r="F69" s="97"/>
      <c r="G69" s="19"/>
    </row>
    <row r="70" spans="1:8" s="17" customFormat="1" ht="16.2" customHeight="1">
      <c r="D70" s="18"/>
      <c r="E70" s="19"/>
      <c r="F70" s="97"/>
      <c r="G70" s="19"/>
    </row>
    <row r="71" spans="1:8" s="17" customFormat="1" ht="16.2" customHeight="1">
      <c r="D71" s="18"/>
      <c r="E71" s="19"/>
      <c r="F71" s="97"/>
      <c r="G71" s="19"/>
    </row>
    <row r="72" spans="1:8" s="17" customFormat="1" ht="16.2" customHeight="1">
      <c r="D72" s="18"/>
      <c r="E72" s="19"/>
      <c r="F72" s="97"/>
      <c r="G72" s="19"/>
    </row>
    <row r="73" spans="1:8" s="17" customFormat="1" ht="16.2" customHeight="1">
      <c r="D73" s="18"/>
      <c r="E73" s="19"/>
      <c r="F73" s="97"/>
      <c r="G73" s="19"/>
    </row>
    <row r="74" spans="1:8" s="17" customFormat="1" ht="16.2" customHeight="1">
      <c r="D74" s="18"/>
      <c r="E74" s="19"/>
      <c r="F74" s="97"/>
      <c r="G74" s="19"/>
    </row>
    <row r="75" spans="1:8" s="17" customFormat="1" ht="16.2" customHeight="1">
      <c r="D75" s="18"/>
      <c r="E75" s="19"/>
      <c r="F75" s="97"/>
      <c r="G75" s="19"/>
    </row>
    <row r="76" spans="1:8" s="17" customFormat="1" ht="16.2" customHeight="1">
      <c r="D76" s="18"/>
      <c r="E76" s="19"/>
      <c r="F76" s="97"/>
      <c r="G76" s="19"/>
    </row>
    <row r="77" spans="1:8" s="17" customFormat="1" ht="16.2" customHeight="1">
      <c r="D77" s="18"/>
      <c r="E77" s="19"/>
      <c r="F77" s="97"/>
      <c r="G77" s="19"/>
    </row>
    <row r="78" spans="1:8" s="17" customFormat="1" ht="16.2" customHeight="1">
      <c r="D78" s="18"/>
      <c r="E78" s="19"/>
      <c r="F78" s="97"/>
      <c r="G78" s="19"/>
    </row>
    <row r="79" spans="1:8" s="17" customFormat="1" ht="16.2" customHeight="1">
      <c r="D79" s="18"/>
      <c r="E79" s="19"/>
      <c r="F79" s="97"/>
      <c r="G79" s="19"/>
    </row>
    <row r="80" spans="1:8" s="17" customFormat="1" ht="16.2" customHeight="1">
      <c r="D80" s="18"/>
      <c r="E80" s="19"/>
      <c r="F80" s="97"/>
      <c r="G80" s="19"/>
    </row>
    <row r="81" spans="3:7" s="17" customFormat="1" ht="16.2" customHeight="1">
      <c r="D81" s="18"/>
      <c r="E81" s="19"/>
      <c r="F81" s="97"/>
      <c r="G81" s="19"/>
    </row>
    <row r="82" spans="3:7" s="17" customFormat="1" ht="16.2" customHeight="1">
      <c r="D82" s="18"/>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s="17" customFormat="1" ht="16.2" customHeight="1">
      <c r="C87" s="97"/>
      <c r="D87" s="20"/>
      <c r="E87" s="19"/>
      <c r="F87" s="97"/>
      <c r="G87" s="19"/>
    </row>
    <row r="88" spans="3:7" s="17" customFormat="1" ht="16.2" customHeight="1">
      <c r="C88" s="97"/>
      <c r="D88" s="20"/>
      <c r="E88" s="19"/>
      <c r="F88" s="97"/>
      <c r="G88" s="19"/>
    </row>
    <row r="89" spans="3:7" s="17" customFormat="1" ht="16.2" customHeight="1">
      <c r="C89" s="97"/>
      <c r="D89" s="20"/>
      <c r="E89" s="19"/>
      <c r="F89" s="97"/>
      <c r="G89" s="19"/>
    </row>
    <row r="90" spans="3:7" s="17" customFormat="1" ht="16.2" customHeight="1">
      <c r="C90" s="97"/>
      <c r="D90" s="20"/>
      <c r="E90" s="19"/>
      <c r="F90" s="97"/>
      <c r="G90" s="19"/>
    </row>
    <row r="91" spans="3:7" s="17" customFormat="1" ht="16.2" customHeight="1">
      <c r="C91" s="97"/>
      <c r="D91" s="20"/>
      <c r="E91" s="19"/>
      <c r="F91" s="97"/>
      <c r="G91" s="19"/>
    </row>
    <row r="92" spans="3:7" s="17" customFormat="1" ht="16.2" customHeight="1">
      <c r="C92" s="97"/>
      <c r="D92" s="20"/>
      <c r="E92" s="19"/>
      <c r="F92" s="97"/>
      <c r="G92" s="19"/>
    </row>
    <row r="93" spans="3:7" s="17" customFormat="1" ht="16.2" customHeight="1">
      <c r="C93" s="97"/>
      <c r="D93" s="20"/>
      <c r="E93" s="19"/>
      <c r="F93" s="97"/>
      <c r="G93" s="19"/>
    </row>
    <row r="94" spans="3:7" s="17" customFormat="1" ht="16.2" customHeight="1">
      <c r="C94" s="97"/>
      <c r="D94" s="20"/>
      <c r="E94" s="19"/>
      <c r="F94" s="97"/>
      <c r="G94" s="19"/>
    </row>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ht="16.2" customHeight="1"/>
    <row r="235" ht="16.2" customHeight="1"/>
    <row r="236" ht="16.2" customHeight="1"/>
    <row r="237" ht="16.2" customHeight="1"/>
    <row r="238" ht="16.2" customHeight="1"/>
    <row r="239" ht="16.2" customHeight="1"/>
    <row r="240" ht="16.2" customHeight="1"/>
    <row r="241"/>
    <row r="242"/>
    <row r="243"/>
    <row r="244"/>
    <row r="245"/>
    <row r="246"/>
    <row r="247"/>
    <row r="248"/>
    <row r="249"/>
    <row r="250"/>
    <row r="251"/>
    <row r="252"/>
    <row r="253"/>
    <row r="254"/>
    <row r="255"/>
    <row r="256"/>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sheetData>
  <mergeCells count="40">
    <mergeCell ref="E65:H65"/>
    <mergeCell ref="A66:H66"/>
    <mergeCell ref="A57:B57"/>
    <mergeCell ref="E57:H57"/>
    <mergeCell ref="A58:D58"/>
    <mergeCell ref="E58:H58"/>
    <mergeCell ref="A59:D59"/>
    <mergeCell ref="A60:D60"/>
    <mergeCell ref="A56:D56"/>
    <mergeCell ref="E56:H56"/>
    <mergeCell ref="C39:H39"/>
    <mergeCell ref="A40:B40"/>
    <mergeCell ref="C40:E40"/>
    <mergeCell ref="F40:H40"/>
    <mergeCell ref="C46:E46"/>
    <mergeCell ref="F46:H46"/>
    <mergeCell ref="A48:D48"/>
    <mergeCell ref="E48:H48"/>
    <mergeCell ref="A49:D49"/>
    <mergeCell ref="E49:H49"/>
    <mergeCell ref="E55:H55"/>
    <mergeCell ref="A37:H37"/>
    <mergeCell ref="A6:H6"/>
    <mergeCell ref="A7:H7"/>
    <mergeCell ref="A8:H8"/>
    <mergeCell ref="A9:H9"/>
    <mergeCell ref="A10:H10"/>
    <mergeCell ref="A11:H11"/>
    <mergeCell ref="B13:F13"/>
    <mergeCell ref="B15:F15"/>
    <mergeCell ref="B33:F33"/>
    <mergeCell ref="B35:F35"/>
    <mergeCell ref="B36:F36"/>
    <mergeCell ref="A4:B4"/>
    <mergeCell ref="C4:H4"/>
    <mergeCell ref="A1:B1"/>
    <mergeCell ref="C1:H1"/>
    <mergeCell ref="A2:B2"/>
    <mergeCell ref="C2:H2"/>
    <mergeCell ref="A3:B3"/>
  </mergeCells>
  <dataValidations count="1">
    <dataValidation type="list" allowBlank="1" showInputMessage="1" showErrorMessage="1" sqref="WVJ983058:WVJ983075 B983058:B983075 IX983058:IX983075 ST983058:ST983075 ACP983058:ACP983075 AML983058:AML983075 AWH983058:AWH983075 BGD983058:BGD983075 BPZ983058:BPZ983075 BZV983058:BZV983075 CJR983058:CJR983075 CTN983058:CTN983075 DDJ983058:DDJ983075 DNF983058:DNF983075 DXB983058:DXB983075 EGX983058:EGX983075 EQT983058:EQT983075 FAP983058:FAP983075 FKL983058:FKL983075 FUH983058:FUH983075 GED983058:GED983075 GNZ983058:GNZ983075 GXV983058:GXV983075 HHR983058:HHR983075 HRN983058:HRN983075 IBJ983058:IBJ983075 ILF983058:ILF983075 IVB983058:IVB983075 JEX983058:JEX983075 JOT983058:JOT983075 JYP983058:JYP983075 KIL983058:KIL983075 KSH983058:KSH983075 LCD983058:LCD983075 LLZ983058:LLZ983075 LVV983058:LVV983075 MFR983058:MFR983075 MPN983058:MPN983075 MZJ983058:MZJ983075 NJF983058:NJF983075 NTB983058:NTB983075 OCX983058:OCX983075 OMT983058:OMT983075 OWP983058:OWP983075 PGL983058:PGL983075 PQH983058:PQH983075 QAD983058:QAD983075 QJZ983058:QJZ983075 QTV983058:QTV983075 RDR983058:RDR983075 RNN983058:RNN983075 RXJ983058:RXJ983075 SHF983058:SHF983075 SRB983058:SRB983075 TAX983058:TAX983075 TKT983058:TKT983075 TUP983058:TUP983075 UEL983058:UEL983075 UOH983058:UOH983075 UYD983058:UYD983075 VHZ983058:VHZ983075 VRV983058:VRV983075 WBR983058:WBR983075 WLN983058:WLN983075 B65554:B65571 IX65554:IX65571 ST65554:ST65571 ACP65554:ACP65571 AML65554:AML65571 AWH65554:AWH65571 BGD65554:BGD65571 BPZ65554:BPZ65571 BZV65554:BZV65571 CJR65554:CJR65571 CTN65554:CTN65571 DDJ65554:DDJ65571 DNF65554:DNF65571 DXB65554:DXB65571 EGX65554:EGX65571 EQT65554:EQT65571 FAP65554:FAP65571 FKL65554:FKL65571 FUH65554:FUH65571 GED65554:GED65571 GNZ65554:GNZ65571 GXV65554:GXV65571 HHR65554:HHR65571 HRN65554:HRN65571 IBJ65554:IBJ65571 ILF65554:ILF65571 IVB65554:IVB65571 JEX65554:JEX65571 JOT65554:JOT65571 JYP65554:JYP65571 KIL65554:KIL65571 KSH65554:KSH65571 LCD65554:LCD65571 LLZ65554:LLZ65571 LVV65554:LVV65571 MFR65554:MFR65571 MPN65554:MPN65571 MZJ65554:MZJ65571 NJF65554:NJF65571 NTB65554:NTB65571 OCX65554:OCX65571 OMT65554:OMT65571 OWP65554:OWP65571 PGL65554:PGL65571 PQH65554:PQH65571 QAD65554:QAD65571 QJZ65554:QJZ65571 QTV65554:QTV65571 RDR65554:RDR65571 RNN65554:RNN65571 RXJ65554:RXJ65571 SHF65554:SHF65571 SRB65554:SRB65571 TAX65554:TAX65571 TKT65554:TKT65571 TUP65554:TUP65571 UEL65554:UEL65571 UOH65554:UOH65571 UYD65554:UYD65571 VHZ65554:VHZ65571 VRV65554:VRV65571 WBR65554:WBR65571 WLN65554:WLN65571 WVJ65554:WVJ65571 B131090:B131107 IX131090:IX131107 ST131090:ST131107 ACP131090:ACP131107 AML131090:AML131107 AWH131090:AWH131107 BGD131090:BGD131107 BPZ131090:BPZ131107 BZV131090:BZV131107 CJR131090:CJR131107 CTN131090:CTN131107 DDJ131090:DDJ131107 DNF131090:DNF131107 DXB131090:DXB131107 EGX131090:EGX131107 EQT131090:EQT131107 FAP131090:FAP131107 FKL131090:FKL131107 FUH131090:FUH131107 GED131090:GED131107 GNZ131090:GNZ131107 GXV131090:GXV131107 HHR131090:HHR131107 HRN131090:HRN131107 IBJ131090:IBJ131107 ILF131090:ILF131107 IVB131090:IVB131107 JEX131090:JEX131107 JOT131090:JOT131107 JYP131090:JYP131107 KIL131090:KIL131107 KSH131090:KSH131107 LCD131090:LCD131107 LLZ131090:LLZ131107 LVV131090:LVV131107 MFR131090:MFR131107 MPN131090:MPN131107 MZJ131090:MZJ131107 NJF131090:NJF131107 NTB131090:NTB131107 OCX131090:OCX131107 OMT131090:OMT131107 OWP131090:OWP131107 PGL131090:PGL131107 PQH131090:PQH131107 QAD131090:QAD131107 QJZ131090:QJZ131107 QTV131090:QTV131107 RDR131090:RDR131107 RNN131090:RNN131107 RXJ131090:RXJ131107 SHF131090:SHF131107 SRB131090:SRB131107 TAX131090:TAX131107 TKT131090:TKT131107 TUP131090:TUP131107 UEL131090:UEL131107 UOH131090:UOH131107 UYD131090:UYD131107 VHZ131090:VHZ131107 VRV131090:VRV131107 WBR131090:WBR131107 WLN131090:WLN131107 WVJ131090:WVJ131107 B196626:B196643 IX196626:IX196643 ST196626:ST196643 ACP196626:ACP196643 AML196626:AML196643 AWH196626:AWH196643 BGD196626:BGD196643 BPZ196626:BPZ196643 BZV196626:BZV196643 CJR196626:CJR196643 CTN196626:CTN196643 DDJ196626:DDJ196643 DNF196626:DNF196643 DXB196626:DXB196643 EGX196626:EGX196643 EQT196626:EQT196643 FAP196626:FAP196643 FKL196626:FKL196643 FUH196626:FUH196643 GED196626:GED196643 GNZ196626:GNZ196643 GXV196626:GXV196643 HHR196626:HHR196643 HRN196626:HRN196643 IBJ196626:IBJ196643 ILF196626:ILF196643 IVB196626:IVB196643 JEX196626:JEX196643 JOT196626:JOT196643 JYP196626:JYP196643 KIL196626:KIL196643 KSH196626:KSH196643 LCD196626:LCD196643 LLZ196626:LLZ196643 LVV196626:LVV196643 MFR196626:MFR196643 MPN196626:MPN196643 MZJ196626:MZJ196643 NJF196626:NJF196643 NTB196626:NTB196643 OCX196626:OCX196643 OMT196626:OMT196643 OWP196626:OWP196643 PGL196626:PGL196643 PQH196626:PQH196643 QAD196626:QAD196643 QJZ196626:QJZ196643 QTV196626:QTV196643 RDR196626:RDR196643 RNN196626:RNN196643 RXJ196626:RXJ196643 SHF196626:SHF196643 SRB196626:SRB196643 TAX196626:TAX196643 TKT196626:TKT196643 TUP196626:TUP196643 UEL196626:UEL196643 UOH196626:UOH196643 UYD196626:UYD196643 VHZ196626:VHZ196643 VRV196626:VRV196643 WBR196626:WBR196643 WLN196626:WLN196643 WVJ196626:WVJ196643 B262162:B262179 IX262162:IX262179 ST262162:ST262179 ACP262162:ACP262179 AML262162:AML262179 AWH262162:AWH262179 BGD262162:BGD262179 BPZ262162:BPZ262179 BZV262162:BZV262179 CJR262162:CJR262179 CTN262162:CTN262179 DDJ262162:DDJ262179 DNF262162:DNF262179 DXB262162:DXB262179 EGX262162:EGX262179 EQT262162:EQT262179 FAP262162:FAP262179 FKL262162:FKL262179 FUH262162:FUH262179 GED262162:GED262179 GNZ262162:GNZ262179 GXV262162:GXV262179 HHR262162:HHR262179 HRN262162:HRN262179 IBJ262162:IBJ262179 ILF262162:ILF262179 IVB262162:IVB262179 JEX262162:JEX262179 JOT262162:JOT262179 JYP262162:JYP262179 KIL262162:KIL262179 KSH262162:KSH262179 LCD262162:LCD262179 LLZ262162:LLZ262179 LVV262162:LVV262179 MFR262162:MFR262179 MPN262162:MPN262179 MZJ262162:MZJ262179 NJF262162:NJF262179 NTB262162:NTB262179 OCX262162:OCX262179 OMT262162:OMT262179 OWP262162:OWP262179 PGL262162:PGL262179 PQH262162:PQH262179 QAD262162:QAD262179 QJZ262162:QJZ262179 QTV262162:QTV262179 RDR262162:RDR262179 RNN262162:RNN262179 RXJ262162:RXJ262179 SHF262162:SHF262179 SRB262162:SRB262179 TAX262162:TAX262179 TKT262162:TKT262179 TUP262162:TUP262179 UEL262162:UEL262179 UOH262162:UOH262179 UYD262162:UYD262179 VHZ262162:VHZ262179 VRV262162:VRV262179 WBR262162:WBR262179 WLN262162:WLN262179 WVJ262162:WVJ262179 B327698:B327715 IX327698:IX327715 ST327698:ST327715 ACP327698:ACP327715 AML327698:AML327715 AWH327698:AWH327715 BGD327698:BGD327715 BPZ327698:BPZ327715 BZV327698:BZV327715 CJR327698:CJR327715 CTN327698:CTN327715 DDJ327698:DDJ327715 DNF327698:DNF327715 DXB327698:DXB327715 EGX327698:EGX327715 EQT327698:EQT327715 FAP327698:FAP327715 FKL327698:FKL327715 FUH327698:FUH327715 GED327698:GED327715 GNZ327698:GNZ327715 GXV327698:GXV327715 HHR327698:HHR327715 HRN327698:HRN327715 IBJ327698:IBJ327715 ILF327698:ILF327715 IVB327698:IVB327715 JEX327698:JEX327715 JOT327698:JOT327715 JYP327698:JYP327715 KIL327698:KIL327715 KSH327698:KSH327715 LCD327698:LCD327715 LLZ327698:LLZ327715 LVV327698:LVV327715 MFR327698:MFR327715 MPN327698:MPN327715 MZJ327698:MZJ327715 NJF327698:NJF327715 NTB327698:NTB327715 OCX327698:OCX327715 OMT327698:OMT327715 OWP327698:OWP327715 PGL327698:PGL327715 PQH327698:PQH327715 QAD327698:QAD327715 QJZ327698:QJZ327715 QTV327698:QTV327715 RDR327698:RDR327715 RNN327698:RNN327715 RXJ327698:RXJ327715 SHF327698:SHF327715 SRB327698:SRB327715 TAX327698:TAX327715 TKT327698:TKT327715 TUP327698:TUP327715 UEL327698:UEL327715 UOH327698:UOH327715 UYD327698:UYD327715 VHZ327698:VHZ327715 VRV327698:VRV327715 WBR327698:WBR327715 WLN327698:WLN327715 WVJ327698:WVJ327715 B393234:B393251 IX393234:IX393251 ST393234:ST393251 ACP393234:ACP393251 AML393234:AML393251 AWH393234:AWH393251 BGD393234:BGD393251 BPZ393234:BPZ393251 BZV393234:BZV393251 CJR393234:CJR393251 CTN393234:CTN393251 DDJ393234:DDJ393251 DNF393234:DNF393251 DXB393234:DXB393251 EGX393234:EGX393251 EQT393234:EQT393251 FAP393234:FAP393251 FKL393234:FKL393251 FUH393234:FUH393251 GED393234:GED393251 GNZ393234:GNZ393251 GXV393234:GXV393251 HHR393234:HHR393251 HRN393234:HRN393251 IBJ393234:IBJ393251 ILF393234:ILF393251 IVB393234:IVB393251 JEX393234:JEX393251 JOT393234:JOT393251 JYP393234:JYP393251 KIL393234:KIL393251 KSH393234:KSH393251 LCD393234:LCD393251 LLZ393234:LLZ393251 LVV393234:LVV393251 MFR393234:MFR393251 MPN393234:MPN393251 MZJ393234:MZJ393251 NJF393234:NJF393251 NTB393234:NTB393251 OCX393234:OCX393251 OMT393234:OMT393251 OWP393234:OWP393251 PGL393234:PGL393251 PQH393234:PQH393251 QAD393234:QAD393251 QJZ393234:QJZ393251 QTV393234:QTV393251 RDR393234:RDR393251 RNN393234:RNN393251 RXJ393234:RXJ393251 SHF393234:SHF393251 SRB393234:SRB393251 TAX393234:TAX393251 TKT393234:TKT393251 TUP393234:TUP393251 UEL393234:UEL393251 UOH393234:UOH393251 UYD393234:UYD393251 VHZ393234:VHZ393251 VRV393234:VRV393251 WBR393234:WBR393251 WLN393234:WLN393251 WVJ393234:WVJ393251 B458770:B458787 IX458770:IX458787 ST458770:ST458787 ACP458770:ACP458787 AML458770:AML458787 AWH458770:AWH458787 BGD458770:BGD458787 BPZ458770:BPZ458787 BZV458770:BZV458787 CJR458770:CJR458787 CTN458770:CTN458787 DDJ458770:DDJ458787 DNF458770:DNF458787 DXB458770:DXB458787 EGX458770:EGX458787 EQT458770:EQT458787 FAP458770:FAP458787 FKL458770:FKL458787 FUH458770:FUH458787 GED458770:GED458787 GNZ458770:GNZ458787 GXV458770:GXV458787 HHR458770:HHR458787 HRN458770:HRN458787 IBJ458770:IBJ458787 ILF458770:ILF458787 IVB458770:IVB458787 JEX458770:JEX458787 JOT458770:JOT458787 JYP458770:JYP458787 KIL458770:KIL458787 KSH458770:KSH458787 LCD458770:LCD458787 LLZ458770:LLZ458787 LVV458770:LVV458787 MFR458770:MFR458787 MPN458770:MPN458787 MZJ458770:MZJ458787 NJF458770:NJF458787 NTB458770:NTB458787 OCX458770:OCX458787 OMT458770:OMT458787 OWP458770:OWP458787 PGL458770:PGL458787 PQH458770:PQH458787 QAD458770:QAD458787 QJZ458770:QJZ458787 QTV458770:QTV458787 RDR458770:RDR458787 RNN458770:RNN458787 RXJ458770:RXJ458787 SHF458770:SHF458787 SRB458770:SRB458787 TAX458770:TAX458787 TKT458770:TKT458787 TUP458770:TUP458787 UEL458770:UEL458787 UOH458770:UOH458787 UYD458770:UYD458787 VHZ458770:VHZ458787 VRV458770:VRV458787 WBR458770:WBR458787 WLN458770:WLN458787 WVJ458770:WVJ458787 B524306:B524323 IX524306:IX524323 ST524306:ST524323 ACP524306:ACP524323 AML524306:AML524323 AWH524306:AWH524323 BGD524306:BGD524323 BPZ524306:BPZ524323 BZV524306:BZV524323 CJR524306:CJR524323 CTN524306:CTN524323 DDJ524306:DDJ524323 DNF524306:DNF524323 DXB524306:DXB524323 EGX524306:EGX524323 EQT524306:EQT524323 FAP524306:FAP524323 FKL524306:FKL524323 FUH524306:FUH524323 GED524306:GED524323 GNZ524306:GNZ524323 GXV524306:GXV524323 HHR524306:HHR524323 HRN524306:HRN524323 IBJ524306:IBJ524323 ILF524306:ILF524323 IVB524306:IVB524323 JEX524306:JEX524323 JOT524306:JOT524323 JYP524306:JYP524323 KIL524306:KIL524323 KSH524306:KSH524323 LCD524306:LCD524323 LLZ524306:LLZ524323 LVV524306:LVV524323 MFR524306:MFR524323 MPN524306:MPN524323 MZJ524306:MZJ524323 NJF524306:NJF524323 NTB524306:NTB524323 OCX524306:OCX524323 OMT524306:OMT524323 OWP524306:OWP524323 PGL524306:PGL524323 PQH524306:PQH524323 QAD524306:QAD524323 QJZ524306:QJZ524323 QTV524306:QTV524323 RDR524306:RDR524323 RNN524306:RNN524323 RXJ524306:RXJ524323 SHF524306:SHF524323 SRB524306:SRB524323 TAX524306:TAX524323 TKT524306:TKT524323 TUP524306:TUP524323 UEL524306:UEL524323 UOH524306:UOH524323 UYD524306:UYD524323 VHZ524306:VHZ524323 VRV524306:VRV524323 WBR524306:WBR524323 WLN524306:WLN524323 WVJ524306:WVJ524323 B589842:B589859 IX589842:IX589859 ST589842:ST589859 ACP589842:ACP589859 AML589842:AML589859 AWH589842:AWH589859 BGD589842:BGD589859 BPZ589842:BPZ589859 BZV589842:BZV589859 CJR589842:CJR589859 CTN589842:CTN589859 DDJ589842:DDJ589859 DNF589842:DNF589859 DXB589842:DXB589859 EGX589842:EGX589859 EQT589842:EQT589859 FAP589842:FAP589859 FKL589842:FKL589859 FUH589842:FUH589859 GED589842:GED589859 GNZ589842:GNZ589859 GXV589842:GXV589859 HHR589842:HHR589859 HRN589842:HRN589859 IBJ589842:IBJ589859 ILF589842:ILF589859 IVB589842:IVB589859 JEX589842:JEX589859 JOT589842:JOT589859 JYP589842:JYP589859 KIL589842:KIL589859 KSH589842:KSH589859 LCD589842:LCD589859 LLZ589842:LLZ589859 LVV589842:LVV589859 MFR589842:MFR589859 MPN589842:MPN589859 MZJ589842:MZJ589859 NJF589842:NJF589859 NTB589842:NTB589859 OCX589842:OCX589859 OMT589842:OMT589859 OWP589842:OWP589859 PGL589842:PGL589859 PQH589842:PQH589859 QAD589842:QAD589859 QJZ589842:QJZ589859 QTV589842:QTV589859 RDR589842:RDR589859 RNN589842:RNN589859 RXJ589842:RXJ589859 SHF589842:SHF589859 SRB589842:SRB589859 TAX589842:TAX589859 TKT589842:TKT589859 TUP589842:TUP589859 UEL589842:UEL589859 UOH589842:UOH589859 UYD589842:UYD589859 VHZ589842:VHZ589859 VRV589842:VRV589859 WBR589842:WBR589859 WLN589842:WLN589859 WVJ589842:WVJ589859 B655378:B655395 IX655378:IX655395 ST655378:ST655395 ACP655378:ACP655395 AML655378:AML655395 AWH655378:AWH655395 BGD655378:BGD655395 BPZ655378:BPZ655395 BZV655378:BZV655395 CJR655378:CJR655395 CTN655378:CTN655395 DDJ655378:DDJ655395 DNF655378:DNF655395 DXB655378:DXB655395 EGX655378:EGX655395 EQT655378:EQT655395 FAP655378:FAP655395 FKL655378:FKL655395 FUH655378:FUH655395 GED655378:GED655395 GNZ655378:GNZ655395 GXV655378:GXV655395 HHR655378:HHR655395 HRN655378:HRN655395 IBJ655378:IBJ655395 ILF655378:ILF655395 IVB655378:IVB655395 JEX655378:JEX655395 JOT655378:JOT655395 JYP655378:JYP655395 KIL655378:KIL655395 KSH655378:KSH655395 LCD655378:LCD655395 LLZ655378:LLZ655395 LVV655378:LVV655395 MFR655378:MFR655395 MPN655378:MPN655395 MZJ655378:MZJ655395 NJF655378:NJF655395 NTB655378:NTB655395 OCX655378:OCX655395 OMT655378:OMT655395 OWP655378:OWP655395 PGL655378:PGL655395 PQH655378:PQH655395 QAD655378:QAD655395 QJZ655378:QJZ655395 QTV655378:QTV655395 RDR655378:RDR655395 RNN655378:RNN655395 RXJ655378:RXJ655395 SHF655378:SHF655395 SRB655378:SRB655395 TAX655378:TAX655395 TKT655378:TKT655395 TUP655378:TUP655395 UEL655378:UEL655395 UOH655378:UOH655395 UYD655378:UYD655395 VHZ655378:VHZ655395 VRV655378:VRV655395 WBR655378:WBR655395 WLN655378:WLN655395 WVJ655378:WVJ655395 B720914:B720931 IX720914:IX720931 ST720914:ST720931 ACP720914:ACP720931 AML720914:AML720931 AWH720914:AWH720931 BGD720914:BGD720931 BPZ720914:BPZ720931 BZV720914:BZV720931 CJR720914:CJR720931 CTN720914:CTN720931 DDJ720914:DDJ720931 DNF720914:DNF720931 DXB720914:DXB720931 EGX720914:EGX720931 EQT720914:EQT720931 FAP720914:FAP720931 FKL720914:FKL720931 FUH720914:FUH720931 GED720914:GED720931 GNZ720914:GNZ720931 GXV720914:GXV720931 HHR720914:HHR720931 HRN720914:HRN720931 IBJ720914:IBJ720931 ILF720914:ILF720931 IVB720914:IVB720931 JEX720914:JEX720931 JOT720914:JOT720931 JYP720914:JYP720931 KIL720914:KIL720931 KSH720914:KSH720931 LCD720914:LCD720931 LLZ720914:LLZ720931 LVV720914:LVV720931 MFR720914:MFR720931 MPN720914:MPN720931 MZJ720914:MZJ720931 NJF720914:NJF720931 NTB720914:NTB720931 OCX720914:OCX720931 OMT720914:OMT720931 OWP720914:OWP720931 PGL720914:PGL720931 PQH720914:PQH720931 QAD720914:QAD720931 QJZ720914:QJZ720931 QTV720914:QTV720931 RDR720914:RDR720931 RNN720914:RNN720931 RXJ720914:RXJ720931 SHF720914:SHF720931 SRB720914:SRB720931 TAX720914:TAX720931 TKT720914:TKT720931 TUP720914:TUP720931 UEL720914:UEL720931 UOH720914:UOH720931 UYD720914:UYD720931 VHZ720914:VHZ720931 VRV720914:VRV720931 WBR720914:WBR720931 WLN720914:WLN720931 WVJ720914:WVJ720931 B786450:B786467 IX786450:IX786467 ST786450:ST786467 ACP786450:ACP786467 AML786450:AML786467 AWH786450:AWH786467 BGD786450:BGD786467 BPZ786450:BPZ786467 BZV786450:BZV786467 CJR786450:CJR786467 CTN786450:CTN786467 DDJ786450:DDJ786467 DNF786450:DNF786467 DXB786450:DXB786467 EGX786450:EGX786467 EQT786450:EQT786467 FAP786450:FAP786467 FKL786450:FKL786467 FUH786450:FUH786467 GED786450:GED786467 GNZ786450:GNZ786467 GXV786450:GXV786467 HHR786450:HHR786467 HRN786450:HRN786467 IBJ786450:IBJ786467 ILF786450:ILF786467 IVB786450:IVB786467 JEX786450:JEX786467 JOT786450:JOT786467 JYP786450:JYP786467 KIL786450:KIL786467 KSH786450:KSH786467 LCD786450:LCD786467 LLZ786450:LLZ786467 LVV786450:LVV786467 MFR786450:MFR786467 MPN786450:MPN786467 MZJ786450:MZJ786467 NJF786450:NJF786467 NTB786450:NTB786467 OCX786450:OCX786467 OMT786450:OMT786467 OWP786450:OWP786467 PGL786450:PGL786467 PQH786450:PQH786467 QAD786450:QAD786467 QJZ786450:QJZ786467 QTV786450:QTV786467 RDR786450:RDR786467 RNN786450:RNN786467 RXJ786450:RXJ786467 SHF786450:SHF786467 SRB786450:SRB786467 TAX786450:TAX786467 TKT786450:TKT786467 TUP786450:TUP786467 UEL786450:UEL786467 UOH786450:UOH786467 UYD786450:UYD786467 VHZ786450:VHZ786467 VRV786450:VRV786467 WBR786450:WBR786467 WLN786450:WLN786467 WVJ786450:WVJ786467 B851986:B852003 IX851986:IX852003 ST851986:ST852003 ACP851986:ACP852003 AML851986:AML852003 AWH851986:AWH852003 BGD851986:BGD852003 BPZ851986:BPZ852003 BZV851986:BZV852003 CJR851986:CJR852003 CTN851986:CTN852003 DDJ851986:DDJ852003 DNF851986:DNF852003 DXB851986:DXB852003 EGX851986:EGX852003 EQT851986:EQT852003 FAP851986:FAP852003 FKL851986:FKL852003 FUH851986:FUH852003 GED851986:GED852003 GNZ851986:GNZ852003 GXV851986:GXV852003 HHR851986:HHR852003 HRN851986:HRN852003 IBJ851986:IBJ852003 ILF851986:ILF852003 IVB851986:IVB852003 JEX851986:JEX852003 JOT851986:JOT852003 JYP851986:JYP852003 KIL851986:KIL852003 KSH851986:KSH852003 LCD851986:LCD852003 LLZ851986:LLZ852003 LVV851986:LVV852003 MFR851986:MFR852003 MPN851986:MPN852003 MZJ851986:MZJ852003 NJF851986:NJF852003 NTB851986:NTB852003 OCX851986:OCX852003 OMT851986:OMT852003 OWP851986:OWP852003 PGL851986:PGL852003 PQH851986:PQH852003 QAD851986:QAD852003 QJZ851986:QJZ852003 QTV851986:QTV852003 RDR851986:RDR852003 RNN851986:RNN852003 RXJ851986:RXJ852003 SHF851986:SHF852003 SRB851986:SRB852003 TAX851986:TAX852003 TKT851986:TKT852003 TUP851986:TUP852003 UEL851986:UEL852003 UOH851986:UOH852003 UYD851986:UYD852003 VHZ851986:VHZ852003 VRV851986:VRV852003 WBR851986:WBR852003 WLN851986:WLN852003 WVJ851986:WVJ852003 B917522:B917539 IX917522:IX917539 ST917522:ST917539 ACP917522:ACP917539 AML917522:AML917539 AWH917522:AWH917539 BGD917522:BGD917539 BPZ917522:BPZ917539 BZV917522:BZV917539 CJR917522:CJR917539 CTN917522:CTN917539 DDJ917522:DDJ917539 DNF917522:DNF917539 DXB917522:DXB917539 EGX917522:EGX917539 EQT917522:EQT917539 FAP917522:FAP917539 FKL917522:FKL917539 FUH917522:FUH917539 GED917522:GED917539 GNZ917522:GNZ917539 GXV917522:GXV917539 HHR917522:HHR917539 HRN917522:HRN917539 IBJ917522:IBJ917539 ILF917522:ILF917539 IVB917522:IVB917539 JEX917522:JEX917539 JOT917522:JOT917539 JYP917522:JYP917539 KIL917522:KIL917539 KSH917522:KSH917539 LCD917522:LCD917539 LLZ917522:LLZ917539 LVV917522:LVV917539 MFR917522:MFR917539 MPN917522:MPN917539 MZJ917522:MZJ917539 NJF917522:NJF917539 NTB917522:NTB917539 OCX917522:OCX917539 OMT917522:OMT917539 OWP917522:OWP917539 PGL917522:PGL917539 PQH917522:PQH917539 QAD917522:QAD917539 QJZ917522:QJZ917539 QTV917522:QTV917539 RDR917522:RDR917539 RNN917522:RNN917539 RXJ917522:RXJ917539 SHF917522:SHF917539 SRB917522:SRB917539 TAX917522:TAX917539 TKT917522:TKT917539 TUP917522:TUP917539 UEL917522:UEL917539 UOH917522:UOH917539 UYD917522:UYD917539 VHZ917522:VHZ917539 VRV917522:VRV917539 WBR917522:WBR917539 WLN917522:WLN917539 WVJ917522:WVJ917539" xr:uid="{00000000-0002-0000-1800-000000000000}">
      <formula1>trung</formula1>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372"/>
  <sheetViews>
    <sheetView topLeftCell="A13" workbookViewId="0">
      <selection activeCell="A34" sqref="A34:XFD34"/>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57"/>
      <c r="G3" s="102"/>
      <c r="H3" s="103"/>
    </row>
    <row r="4" spans="1:8" s="98" customFormat="1" ht="18" customHeight="1">
      <c r="A4" s="414"/>
      <c r="B4" s="414"/>
      <c r="C4" s="415" t="s">
        <v>1740</v>
      </c>
      <c r="D4" s="416"/>
      <c r="E4" s="416"/>
      <c r="F4" s="416"/>
      <c r="G4" s="416"/>
      <c r="H4" s="416"/>
    </row>
    <row r="5" spans="1:8" s="98" customFormat="1" ht="15.6">
      <c r="A5" s="104"/>
      <c r="B5" s="104"/>
      <c r="C5" s="156"/>
      <c r="D5" s="105"/>
      <c r="E5" s="106"/>
      <c r="F5" s="156"/>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1873</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1874</v>
      </c>
      <c r="C13" s="425"/>
      <c r="D13" s="425"/>
      <c r="E13" s="425"/>
      <c r="F13" s="425"/>
      <c r="G13" s="73">
        <f>G14</f>
        <v>210040000</v>
      </c>
      <c r="H13" s="74"/>
    </row>
    <row r="14" spans="1:8" s="131" customFormat="1" ht="40.5" customHeight="1">
      <c r="A14" s="123"/>
      <c r="B14" s="124" t="s">
        <v>1757</v>
      </c>
      <c r="C14" s="125" t="s">
        <v>1753</v>
      </c>
      <c r="D14" s="126">
        <v>17.8</v>
      </c>
      <c r="E14" s="127">
        <v>11800000</v>
      </c>
      <c r="F14" s="128">
        <v>1</v>
      </c>
      <c r="G14" s="129">
        <f>D14*E14*F14</f>
        <v>210040000</v>
      </c>
      <c r="H14" s="130"/>
    </row>
    <row r="15" spans="1:8" ht="27" customHeight="1">
      <c r="A15" s="75" t="s">
        <v>18</v>
      </c>
      <c r="B15" s="426" t="s">
        <v>1725</v>
      </c>
      <c r="C15" s="426"/>
      <c r="D15" s="426"/>
      <c r="E15" s="426"/>
      <c r="F15" s="426"/>
      <c r="G15" s="76">
        <f>SUM(G16:G25)</f>
        <v>26781489.979463331</v>
      </c>
      <c r="H15" s="11"/>
    </row>
    <row r="16" spans="1:8" ht="46.8">
      <c r="A16" s="77">
        <v>1</v>
      </c>
      <c r="B16" s="78" t="s">
        <v>1875</v>
      </c>
      <c r="C16" s="14" t="s">
        <v>1754</v>
      </c>
      <c r="D16" s="132">
        <f>(3.5*0.9*0.11)+(4.5*1.45*0.11)</f>
        <v>1.0642499999999999</v>
      </c>
      <c r="E16" s="15">
        <v>2126713</v>
      </c>
      <c r="F16" s="14">
        <v>1</v>
      </c>
      <c r="G16" s="79">
        <f t="shared" ref="G16:G25" si="0">D16*E16*F16</f>
        <v>2263354.3102499996</v>
      </c>
      <c r="H16" s="15"/>
    </row>
    <row r="17" spans="1:8" ht="31.2">
      <c r="A17" s="77"/>
      <c r="B17" s="78" t="s">
        <v>1974</v>
      </c>
      <c r="C17" s="14" t="s">
        <v>66</v>
      </c>
      <c r="D17" s="132">
        <f>(3.5*0.9*2)+(4.5*1.45*2)</f>
        <v>19.349999999999998</v>
      </c>
      <c r="E17" s="15">
        <v>141099</v>
      </c>
      <c r="F17" s="14">
        <v>1</v>
      </c>
      <c r="G17" s="79">
        <f t="shared" si="0"/>
        <v>2730265.65</v>
      </c>
      <c r="H17" s="15"/>
    </row>
    <row r="18" spans="1:8" ht="15.6">
      <c r="A18" s="77">
        <v>2</v>
      </c>
      <c r="B18" s="78" t="s">
        <v>1876</v>
      </c>
      <c r="C18" s="14" t="s">
        <v>66</v>
      </c>
      <c r="D18" s="132">
        <f>0.9*3.5</f>
        <v>3.15</v>
      </c>
      <c r="E18" s="15">
        <v>550000</v>
      </c>
      <c r="F18" s="14">
        <v>1</v>
      </c>
      <c r="G18" s="79">
        <f t="shared" si="0"/>
        <v>1732500</v>
      </c>
      <c r="H18" s="15"/>
    </row>
    <row r="19" spans="1:8" ht="15.6">
      <c r="A19" s="77">
        <v>3</v>
      </c>
      <c r="B19" s="78" t="s">
        <v>1877</v>
      </c>
      <c r="C19" s="14" t="s">
        <v>66</v>
      </c>
      <c r="D19" s="132">
        <f>0.5*4.5</f>
        <v>2.25</v>
      </c>
      <c r="E19" s="15">
        <v>550000</v>
      </c>
      <c r="F19" s="14">
        <v>1</v>
      </c>
      <c r="G19" s="79">
        <f t="shared" si="0"/>
        <v>1237500</v>
      </c>
      <c r="H19" s="15"/>
    </row>
    <row r="20" spans="1:8" ht="31.2">
      <c r="A20" s="77">
        <v>4</v>
      </c>
      <c r="B20" s="78" t="s">
        <v>1878</v>
      </c>
      <c r="C20" s="14" t="s">
        <v>1754</v>
      </c>
      <c r="D20" s="132">
        <f>(0.74*0.37*2.1)*2</f>
        <v>1.1499600000000001</v>
      </c>
      <c r="E20" s="15">
        <v>2623803</v>
      </c>
      <c r="F20" s="14">
        <v>1</v>
      </c>
      <c r="G20" s="79">
        <f t="shared" si="0"/>
        <v>3017268.4978800002</v>
      </c>
      <c r="H20" s="15"/>
    </row>
    <row r="21" spans="1:8" ht="31.2">
      <c r="A21" s="77">
        <v>5</v>
      </c>
      <c r="B21" s="78" t="s">
        <v>1883</v>
      </c>
      <c r="C21" s="14" t="s">
        <v>66</v>
      </c>
      <c r="D21" s="132">
        <f>((0.74+0.37)*2*2.1)*2</f>
        <v>9.3239999999999998</v>
      </c>
      <c r="E21" s="15">
        <v>291537</v>
      </c>
      <c r="F21" s="14">
        <v>1</v>
      </c>
      <c r="G21" s="79">
        <f t="shared" si="0"/>
        <v>2718290.9879999999</v>
      </c>
      <c r="H21" s="15"/>
    </row>
    <row r="22" spans="1:8" ht="15.6">
      <c r="A22" s="77">
        <v>6</v>
      </c>
      <c r="B22" s="78" t="s">
        <v>1879</v>
      </c>
      <c r="C22" s="14"/>
      <c r="D22" s="132"/>
      <c r="E22" s="15"/>
      <c r="F22" s="14"/>
      <c r="G22" s="79"/>
      <c r="H22" s="15"/>
    </row>
    <row r="23" spans="1:8" ht="31.2">
      <c r="A23" s="77" t="s">
        <v>1761</v>
      </c>
      <c r="B23" s="78" t="s">
        <v>1880</v>
      </c>
      <c r="C23" s="14" t="s">
        <v>1755</v>
      </c>
      <c r="D23" s="132">
        <f>(15.59/6)*(4.2+1.35)*2</f>
        <v>28.841500000000003</v>
      </c>
      <c r="E23" s="15">
        <v>145000</v>
      </c>
      <c r="F23" s="14">
        <v>1</v>
      </c>
      <c r="G23" s="79">
        <f t="shared" si="0"/>
        <v>4182017.5000000005</v>
      </c>
      <c r="H23" s="15"/>
    </row>
    <row r="24" spans="1:8" ht="31.2">
      <c r="A24" s="77" t="s">
        <v>1761</v>
      </c>
      <c r="B24" s="78" t="s">
        <v>1881</v>
      </c>
      <c r="C24" s="14" t="s">
        <v>1755</v>
      </c>
      <c r="D24" s="132">
        <f>(7.6/6)*(2.2*10)*2</f>
        <v>55.733333333333334</v>
      </c>
      <c r="E24" s="15">
        <v>145000</v>
      </c>
      <c r="F24" s="14">
        <v>1</v>
      </c>
      <c r="G24" s="79">
        <f t="shared" si="0"/>
        <v>8081333.333333333</v>
      </c>
      <c r="H24" s="15"/>
    </row>
    <row r="25" spans="1:8" ht="15.6">
      <c r="A25" s="77">
        <v>7</v>
      </c>
      <c r="B25" s="78" t="s">
        <v>1882</v>
      </c>
      <c r="C25" s="14" t="s">
        <v>66</v>
      </c>
      <c r="D25" s="132">
        <f>3.4*1.3</f>
        <v>4.42</v>
      </c>
      <c r="E25" s="15">
        <v>185285</v>
      </c>
      <c r="F25" s="14">
        <v>1</v>
      </c>
      <c r="G25" s="79">
        <f t="shared" si="0"/>
        <v>818959.7</v>
      </c>
      <c r="H25" s="15"/>
    </row>
    <row r="26" spans="1:8" ht="24" customHeight="1">
      <c r="A26" s="75" t="s">
        <v>19</v>
      </c>
      <c r="B26" s="426" t="s">
        <v>1727</v>
      </c>
      <c r="C26" s="426"/>
      <c r="D26" s="426"/>
      <c r="E26" s="426"/>
      <c r="F26" s="426"/>
      <c r="G26" s="76">
        <f>SUM(G27:G29)</f>
        <v>2077900</v>
      </c>
      <c r="H26" s="11"/>
    </row>
    <row r="27" spans="1:8" s="12" customFormat="1" ht="31.2">
      <c r="A27" s="94">
        <v>1</v>
      </c>
      <c r="B27" s="154" t="s">
        <v>899</v>
      </c>
      <c r="C27" s="14" t="s">
        <v>1724</v>
      </c>
      <c r="D27" s="14">
        <v>1</v>
      </c>
      <c r="E27" s="79" t="str">
        <f>VLOOKUP(B27,'[20]Đơn giá cây cối'!$A$2:$C$1361,3,0)</f>
        <v>560.000</v>
      </c>
      <c r="F27" s="137">
        <v>1</v>
      </c>
      <c r="G27" s="79">
        <f>D27*E27*F27</f>
        <v>560000</v>
      </c>
      <c r="H27" s="95"/>
    </row>
    <row r="28" spans="1:8" s="12" customFormat="1" ht="31.2">
      <c r="A28" s="94">
        <v>2</v>
      </c>
      <c r="B28" s="154" t="s">
        <v>369</v>
      </c>
      <c r="C28" s="14" t="s">
        <v>1724</v>
      </c>
      <c r="D28" s="14">
        <v>1</v>
      </c>
      <c r="E28" s="79" t="str">
        <f>VLOOKUP(B28,'[20]Đơn giá cây cối'!$A$2:$C$1361,3,0)</f>
        <v>1.493.000</v>
      </c>
      <c r="F28" s="137">
        <v>1</v>
      </c>
      <c r="G28" s="79">
        <f t="shared" ref="G28:G29" si="1">D28*E28*F28</f>
        <v>1493000</v>
      </c>
      <c r="H28" s="95"/>
    </row>
    <row r="29" spans="1:8" s="12" customFormat="1" ht="15.6">
      <c r="A29" s="94">
        <v>3</v>
      </c>
      <c r="B29" s="154" t="s">
        <v>42</v>
      </c>
      <c r="C29" s="14" t="s">
        <v>66</v>
      </c>
      <c r="D29" s="14">
        <v>3</v>
      </c>
      <c r="E29" s="79">
        <f>VLOOKUP(B29,'[20]Đơn giá cây cối'!$A$2:$C$1361,3,0)</f>
        <v>8300</v>
      </c>
      <c r="F29" s="137">
        <v>1</v>
      </c>
      <c r="G29" s="79">
        <f t="shared" si="1"/>
        <v>24900</v>
      </c>
      <c r="H29" s="95"/>
    </row>
    <row r="30" spans="1:8" ht="15.6">
      <c r="A30" s="80"/>
      <c r="B30" s="427" t="s">
        <v>62</v>
      </c>
      <c r="C30" s="428"/>
      <c r="D30" s="428"/>
      <c r="E30" s="428"/>
      <c r="F30" s="429"/>
      <c r="G30" s="81">
        <f>G13+G15+G26</f>
        <v>238899389.97946334</v>
      </c>
      <c r="H30" s="82"/>
    </row>
    <row r="31" spans="1:8" ht="15.6">
      <c r="A31" s="80"/>
      <c r="B31" s="427" t="s">
        <v>1726</v>
      </c>
      <c r="C31" s="428"/>
      <c r="D31" s="428"/>
      <c r="E31" s="428"/>
      <c r="F31" s="429"/>
      <c r="G31" s="81">
        <f>ROUND(G30,-3)</f>
        <v>238899000</v>
      </c>
      <c r="H31" s="82"/>
    </row>
    <row r="32" spans="1:8" ht="15.6">
      <c r="A32" s="430" t="e">
        <f ca="1">[19]!vnd(G31)</f>
        <v>#NAME?</v>
      </c>
      <c r="B32" s="431"/>
      <c r="C32" s="431"/>
      <c r="D32" s="431"/>
      <c r="E32" s="431"/>
      <c r="F32" s="431"/>
      <c r="G32" s="431"/>
      <c r="H32" s="432"/>
    </row>
    <row r="33" spans="1:8">
      <c r="A33" s="17"/>
      <c r="B33" s="17"/>
      <c r="C33" s="97"/>
      <c r="D33" s="20"/>
      <c r="E33" s="19"/>
      <c r="F33" s="97"/>
      <c r="G33" s="19"/>
      <c r="H33" s="17"/>
    </row>
    <row r="34" spans="1:8">
      <c r="A34" s="17"/>
      <c r="B34" s="17"/>
      <c r="C34" s="97"/>
      <c r="D34" s="20"/>
      <c r="E34" s="19"/>
      <c r="F34" s="97"/>
      <c r="G34" s="19"/>
      <c r="H34" s="17"/>
    </row>
    <row r="35" spans="1:8" s="109" customFormat="1" ht="16.5" customHeight="1">
      <c r="A35" s="108"/>
      <c r="B35" s="108"/>
      <c r="C35" s="424" t="s">
        <v>1742</v>
      </c>
      <c r="D35" s="424"/>
      <c r="E35" s="424"/>
      <c r="F35" s="424"/>
      <c r="G35" s="424"/>
      <c r="H35" s="424"/>
    </row>
    <row r="36" spans="1:8" s="109" customFormat="1" ht="16.5" customHeight="1">
      <c r="A36" s="423" t="s">
        <v>63</v>
      </c>
      <c r="B36" s="423"/>
      <c r="C36" s="424" t="s">
        <v>1743</v>
      </c>
      <c r="D36" s="424"/>
      <c r="E36" s="424"/>
      <c r="F36" s="424" t="s">
        <v>1744</v>
      </c>
      <c r="G36" s="424"/>
      <c r="H36" s="424"/>
    </row>
    <row r="37" spans="1:8" s="109" customFormat="1" ht="15.6">
      <c r="A37" s="108"/>
      <c r="B37" s="108"/>
      <c r="C37" s="108"/>
      <c r="D37" s="110"/>
      <c r="E37" s="111"/>
      <c r="F37" s="112"/>
      <c r="G37" s="111"/>
      <c r="H37" s="113"/>
    </row>
    <row r="38" spans="1:8" s="109" customFormat="1" ht="15.6">
      <c r="A38" s="108"/>
      <c r="B38" s="108"/>
      <c r="C38" s="108"/>
      <c r="D38" s="110"/>
      <c r="E38" s="111"/>
      <c r="F38" s="112"/>
      <c r="G38" s="114"/>
      <c r="H38" s="113"/>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6.5" customHeight="1">
      <c r="A42" s="108"/>
      <c r="B42" s="158" t="s">
        <v>64</v>
      </c>
      <c r="C42" s="424"/>
      <c r="D42" s="424"/>
      <c r="E42" s="424"/>
      <c r="F42" s="424" t="s">
        <v>1745</v>
      </c>
      <c r="G42" s="424"/>
      <c r="H42" s="424"/>
    </row>
    <row r="43" spans="1:8" s="109" customFormat="1" ht="15.6">
      <c r="A43" s="108"/>
      <c r="B43" s="158"/>
      <c r="C43" s="155"/>
      <c r="D43" s="155"/>
      <c r="E43" s="155"/>
      <c r="F43" s="155"/>
      <c r="G43" s="155"/>
      <c r="H43" s="155"/>
    </row>
    <row r="44" spans="1:8" s="109" customFormat="1" ht="15" customHeight="1">
      <c r="A44" s="424" t="s">
        <v>1746</v>
      </c>
      <c r="B44" s="424"/>
      <c r="C44" s="424"/>
      <c r="D44" s="424"/>
      <c r="E44" s="424" t="s">
        <v>1747</v>
      </c>
      <c r="F44" s="424"/>
      <c r="G44" s="424"/>
      <c r="H44" s="424"/>
    </row>
    <row r="45" spans="1:8" s="109" customFormat="1" ht="33.6" customHeight="1">
      <c r="A45" s="424" t="s">
        <v>1748</v>
      </c>
      <c r="B45" s="424"/>
      <c r="C45" s="424"/>
      <c r="D45" s="424"/>
      <c r="E45" s="424" t="s">
        <v>65</v>
      </c>
      <c r="F45" s="424"/>
      <c r="G45" s="424"/>
      <c r="H45" s="424"/>
    </row>
    <row r="46" spans="1:8" s="109" customFormat="1" ht="15.6">
      <c r="A46" s="108"/>
      <c r="B46" s="108"/>
      <c r="C46" s="108"/>
      <c r="D46" s="110"/>
      <c r="E46" s="111"/>
      <c r="F46" s="112"/>
      <c r="G46" s="111"/>
      <c r="H46" s="113"/>
    </row>
    <row r="47" spans="1:8" s="109" customFormat="1" ht="15.6">
      <c r="A47" s="108"/>
      <c r="B47" s="108"/>
      <c r="C47" s="108"/>
      <c r="D47" s="110"/>
      <c r="E47" s="111"/>
      <c r="F47" s="112"/>
      <c r="G47" s="111"/>
      <c r="H47" s="113"/>
    </row>
    <row r="48" spans="1:8" s="109" customFormat="1" ht="15.6">
      <c r="A48" s="108"/>
      <c r="B48" s="108"/>
      <c r="C48" s="108"/>
      <c r="D48" s="110"/>
      <c r="E48" s="111"/>
      <c r="F48" s="112"/>
      <c r="G48" s="111"/>
      <c r="H48" s="113"/>
    </row>
    <row r="49" spans="1:8" s="109" customFormat="1" ht="15.6">
      <c r="A49" s="108"/>
      <c r="B49" s="108"/>
      <c r="C49" s="108"/>
      <c r="D49" s="110"/>
      <c r="E49" s="111"/>
      <c r="F49" s="112"/>
      <c r="G49" s="111"/>
      <c r="H49" s="113"/>
    </row>
    <row r="50" spans="1:8" s="109" customFormat="1" ht="15.6">
      <c r="A50" s="108"/>
      <c r="B50" s="108"/>
      <c r="C50" s="108"/>
      <c r="D50" s="110"/>
      <c r="E50" s="111"/>
      <c r="F50" s="112"/>
      <c r="G50" s="111"/>
      <c r="H50" s="113"/>
    </row>
    <row r="51" spans="1:8" s="109" customFormat="1" ht="15.6" customHeight="1">
      <c r="A51" s="108"/>
      <c r="B51" s="108"/>
      <c r="C51" s="108"/>
      <c r="D51" s="115"/>
      <c r="E51" s="439" t="s">
        <v>1749</v>
      </c>
      <c r="F51" s="439"/>
      <c r="G51" s="439"/>
      <c r="H51" s="439"/>
    </row>
    <row r="52" spans="1:8" s="109" customFormat="1" ht="16.5" customHeight="1">
      <c r="A52" s="424" t="s">
        <v>1751</v>
      </c>
      <c r="B52" s="424"/>
      <c r="C52" s="424"/>
      <c r="D52" s="424"/>
      <c r="E52" s="424" t="s">
        <v>1750</v>
      </c>
      <c r="F52" s="424"/>
      <c r="G52" s="424"/>
      <c r="H52" s="424"/>
    </row>
    <row r="53" spans="1:8" s="118" customFormat="1" ht="16.2" customHeight="1">
      <c r="A53" s="440"/>
      <c r="B53" s="440"/>
      <c r="C53" s="116"/>
      <c r="D53" s="117"/>
      <c r="E53" s="440"/>
      <c r="F53" s="440"/>
      <c r="G53" s="440"/>
      <c r="H53" s="440"/>
    </row>
    <row r="54" spans="1:8" s="118" customFormat="1" ht="15.75" customHeight="1">
      <c r="A54" s="440"/>
      <c r="B54" s="440"/>
      <c r="C54" s="440"/>
      <c r="D54" s="440"/>
      <c r="E54" s="440"/>
      <c r="F54" s="440"/>
      <c r="G54" s="440"/>
      <c r="H54" s="440"/>
    </row>
    <row r="55" spans="1:8" s="98" customFormat="1" ht="16.2" customHeight="1">
      <c r="A55" s="436"/>
      <c r="B55" s="436"/>
      <c r="C55" s="436"/>
      <c r="D55" s="436"/>
      <c r="E55" s="119"/>
      <c r="F55" s="120"/>
      <c r="G55" s="119"/>
      <c r="H55" s="121"/>
    </row>
    <row r="56" spans="1:8" s="98" customFormat="1" ht="16.2" customHeight="1">
      <c r="A56" s="436"/>
      <c r="B56" s="436"/>
      <c r="C56" s="436"/>
      <c r="D56" s="436"/>
      <c r="E56" s="119"/>
      <c r="F56" s="120"/>
      <c r="G56" s="119"/>
      <c r="H56" s="121"/>
    </row>
    <row r="57" spans="1:8" s="98" customFormat="1" ht="16.2" customHeight="1">
      <c r="A57" s="121"/>
      <c r="B57" s="121"/>
      <c r="C57" s="121"/>
      <c r="D57" s="122"/>
      <c r="E57" s="119"/>
      <c r="F57" s="120"/>
      <c r="G57" s="119"/>
      <c r="H57" s="121"/>
    </row>
    <row r="58" spans="1:8" ht="16.2" customHeight="1">
      <c r="A58" s="83"/>
      <c r="B58" s="83"/>
      <c r="C58" s="83"/>
      <c r="D58" s="84"/>
      <c r="E58" s="85"/>
      <c r="F58" s="86"/>
      <c r="G58" s="85"/>
      <c r="H58" s="83"/>
    </row>
    <row r="59" spans="1:8" ht="16.2" customHeight="1">
      <c r="A59" s="83"/>
      <c r="B59" s="83"/>
      <c r="C59" s="83"/>
      <c r="D59" s="84"/>
      <c r="E59" s="85"/>
      <c r="F59" s="86"/>
      <c r="G59" s="85"/>
      <c r="H59" s="83"/>
    </row>
    <row r="60" spans="1:8" ht="16.2" customHeight="1">
      <c r="A60" s="83"/>
      <c r="B60" s="83"/>
      <c r="C60" s="83"/>
      <c r="D60" s="84"/>
      <c r="E60" s="85"/>
      <c r="F60" s="86"/>
      <c r="G60" s="85"/>
      <c r="H60" s="83"/>
    </row>
    <row r="61" spans="1:8" ht="16.2" customHeight="1">
      <c r="A61" s="83"/>
      <c r="B61" s="83"/>
      <c r="C61" s="83"/>
      <c r="D61" s="84"/>
      <c r="E61" s="437"/>
      <c r="F61" s="437"/>
      <c r="G61" s="437"/>
      <c r="H61" s="437"/>
    </row>
    <row r="62" spans="1:8" ht="20.25" customHeight="1">
      <c r="A62" s="438"/>
      <c r="B62" s="438"/>
      <c r="C62" s="438"/>
      <c r="D62" s="438"/>
      <c r="E62" s="438"/>
      <c r="F62" s="438"/>
      <c r="G62" s="438"/>
      <c r="H62" s="438"/>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D73" s="18"/>
      <c r="E73" s="19"/>
      <c r="F73" s="97"/>
      <c r="G73" s="19"/>
    </row>
    <row r="74" spans="3:7" s="17" customFormat="1" ht="16.2" customHeight="1">
      <c r="D74" s="18"/>
      <c r="E74" s="19"/>
      <c r="F74" s="97"/>
      <c r="G74" s="19"/>
    </row>
    <row r="75" spans="3:7" s="17" customFormat="1" ht="16.2" customHeight="1">
      <c r="D75" s="18"/>
      <c r="E75" s="19"/>
      <c r="F75" s="97"/>
      <c r="G75" s="19"/>
    </row>
    <row r="76" spans="3:7" s="17" customFormat="1" ht="16.2" customHeight="1">
      <c r="D76" s="18"/>
      <c r="E76" s="19"/>
      <c r="F76" s="97"/>
      <c r="G76" s="19"/>
    </row>
    <row r="77" spans="3:7" s="17" customFormat="1" ht="16.2" customHeight="1">
      <c r="D77" s="18"/>
      <c r="E77" s="19"/>
      <c r="F77" s="97"/>
      <c r="G77" s="19"/>
    </row>
    <row r="78" spans="3:7" s="17" customFormat="1" ht="16.2" customHeight="1">
      <c r="D78" s="18"/>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s="17" customFormat="1" ht="16.2" customHeight="1">
      <c r="C87" s="97"/>
      <c r="D87" s="20"/>
      <c r="E87" s="19"/>
      <c r="F87" s="97"/>
      <c r="G87" s="19"/>
    </row>
    <row r="88" spans="3:7" s="17" customFormat="1" ht="16.2" customHeight="1">
      <c r="C88" s="97"/>
      <c r="D88" s="20"/>
      <c r="E88" s="19"/>
      <c r="F88" s="97"/>
      <c r="G88" s="19"/>
    </row>
    <row r="89" spans="3:7" s="17" customFormat="1" ht="16.2" customHeight="1">
      <c r="C89" s="97"/>
      <c r="D89" s="20"/>
      <c r="E89" s="19"/>
      <c r="F89" s="97"/>
      <c r="G89" s="19"/>
    </row>
    <row r="90" spans="3:7" s="17" customFormat="1" ht="16.2" customHeight="1">
      <c r="C90" s="97"/>
      <c r="D90" s="20"/>
      <c r="E90" s="19"/>
      <c r="F90" s="97"/>
      <c r="G90" s="19"/>
    </row>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ht="16.2" customHeight="1"/>
    <row r="235" ht="16.2" customHeight="1"/>
    <row r="236" ht="16.2" customHeight="1"/>
    <row r="237"/>
    <row r="238"/>
    <row r="239"/>
    <row r="240"/>
    <row r="241"/>
    <row r="242"/>
    <row r="243"/>
    <row r="244"/>
    <row r="245"/>
    <row r="246"/>
    <row r="247"/>
    <row r="248"/>
    <row r="249"/>
    <row r="250"/>
    <row r="251"/>
    <row r="252"/>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sheetData>
  <mergeCells count="40">
    <mergeCell ref="E61:H61"/>
    <mergeCell ref="A62:H62"/>
    <mergeCell ref="A53:B53"/>
    <mergeCell ref="E53:H53"/>
    <mergeCell ref="A54:D54"/>
    <mergeCell ref="E54:H54"/>
    <mergeCell ref="A55:D55"/>
    <mergeCell ref="A56:D56"/>
    <mergeCell ref="A52:D52"/>
    <mergeCell ref="E52:H52"/>
    <mergeCell ref="C35:H35"/>
    <mergeCell ref="A36:B36"/>
    <mergeCell ref="C36:E36"/>
    <mergeCell ref="F36:H36"/>
    <mergeCell ref="C42:E42"/>
    <mergeCell ref="F42:H42"/>
    <mergeCell ref="A44:D44"/>
    <mergeCell ref="E44:H44"/>
    <mergeCell ref="A45:D45"/>
    <mergeCell ref="E45:H45"/>
    <mergeCell ref="E51:H51"/>
    <mergeCell ref="A32:H32"/>
    <mergeCell ref="A6:H6"/>
    <mergeCell ref="A7:H7"/>
    <mergeCell ref="A8:H8"/>
    <mergeCell ref="A9:H9"/>
    <mergeCell ref="A10:H10"/>
    <mergeCell ref="A11:H11"/>
    <mergeCell ref="B13:F13"/>
    <mergeCell ref="B15:F15"/>
    <mergeCell ref="B26:F26"/>
    <mergeCell ref="B30:F30"/>
    <mergeCell ref="B31:F31"/>
    <mergeCell ref="A4:B4"/>
    <mergeCell ref="C4:H4"/>
    <mergeCell ref="A1:B1"/>
    <mergeCell ref="C1:H1"/>
    <mergeCell ref="A2:B2"/>
    <mergeCell ref="C2:H2"/>
    <mergeCell ref="A3:B3"/>
  </mergeCells>
  <dataValidations count="2">
    <dataValidation type="list" allowBlank="1" showInputMessage="1" showErrorMessage="1" sqref="WVJ983054:WVJ983071 B983054:B983071 IX983054:IX983071 ST983054:ST983071 ACP983054:ACP983071 AML983054:AML983071 AWH983054:AWH983071 BGD983054:BGD983071 BPZ983054:BPZ983071 BZV983054:BZV983071 CJR983054:CJR983071 CTN983054:CTN983071 DDJ983054:DDJ983071 DNF983054:DNF983071 DXB983054:DXB983071 EGX983054:EGX983071 EQT983054:EQT983071 FAP983054:FAP983071 FKL983054:FKL983071 FUH983054:FUH983071 GED983054:GED983071 GNZ983054:GNZ983071 GXV983054:GXV983071 HHR983054:HHR983071 HRN983054:HRN983071 IBJ983054:IBJ983071 ILF983054:ILF983071 IVB983054:IVB983071 JEX983054:JEX983071 JOT983054:JOT983071 JYP983054:JYP983071 KIL983054:KIL983071 KSH983054:KSH983071 LCD983054:LCD983071 LLZ983054:LLZ983071 LVV983054:LVV983071 MFR983054:MFR983071 MPN983054:MPN983071 MZJ983054:MZJ983071 NJF983054:NJF983071 NTB983054:NTB983071 OCX983054:OCX983071 OMT983054:OMT983071 OWP983054:OWP983071 PGL983054:PGL983071 PQH983054:PQH983071 QAD983054:QAD983071 QJZ983054:QJZ983071 QTV983054:QTV983071 RDR983054:RDR983071 RNN983054:RNN983071 RXJ983054:RXJ983071 SHF983054:SHF983071 SRB983054:SRB983071 TAX983054:TAX983071 TKT983054:TKT983071 TUP983054:TUP983071 UEL983054:UEL983071 UOH983054:UOH983071 UYD983054:UYD983071 VHZ983054:VHZ983071 VRV983054:VRV983071 WBR983054:WBR983071 WLN983054:WLN983071 B65550:B65567 IX65550:IX65567 ST65550:ST65567 ACP65550:ACP65567 AML65550:AML65567 AWH65550:AWH65567 BGD65550:BGD65567 BPZ65550:BPZ65567 BZV65550:BZV65567 CJR65550:CJR65567 CTN65550:CTN65567 DDJ65550:DDJ65567 DNF65550:DNF65567 DXB65550:DXB65567 EGX65550:EGX65567 EQT65550:EQT65567 FAP65550:FAP65567 FKL65550:FKL65567 FUH65550:FUH65567 GED65550:GED65567 GNZ65550:GNZ65567 GXV65550:GXV65567 HHR65550:HHR65567 HRN65550:HRN65567 IBJ65550:IBJ65567 ILF65550:ILF65567 IVB65550:IVB65567 JEX65550:JEX65567 JOT65550:JOT65567 JYP65550:JYP65567 KIL65550:KIL65567 KSH65550:KSH65567 LCD65550:LCD65567 LLZ65550:LLZ65567 LVV65550:LVV65567 MFR65550:MFR65567 MPN65550:MPN65567 MZJ65550:MZJ65567 NJF65550:NJF65567 NTB65550:NTB65567 OCX65550:OCX65567 OMT65550:OMT65567 OWP65550:OWP65567 PGL65550:PGL65567 PQH65550:PQH65567 QAD65550:QAD65567 QJZ65550:QJZ65567 QTV65550:QTV65567 RDR65550:RDR65567 RNN65550:RNN65567 RXJ65550:RXJ65567 SHF65550:SHF65567 SRB65550:SRB65567 TAX65550:TAX65567 TKT65550:TKT65567 TUP65550:TUP65567 UEL65550:UEL65567 UOH65550:UOH65567 UYD65550:UYD65567 VHZ65550:VHZ65567 VRV65550:VRV65567 WBR65550:WBR65567 WLN65550:WLN65567 WVJ65550:WVJ65567 B131086:B131103 IX131086:IX131103 ST131086:ST131103 ACP131086:ACP131103 AML131086:AML131103 AWH131086:AWH131103 BGD131086:BGD131103 BPZ131086:BPZ131103 BZV131086:BZV131103 CJR131086:CJR131103 CTN131086:CTN131103 DDJ131086:DDJ131103 DNF131086:DNF131103 DXB131086:DXB131103 EGX131086:EGX131103 EQT131086:EQT131103 FAP131086:FAP131103 FKL131086:FKL131103 FUH131086:FUH131103 GED131086:GED131103 GNZ131086:GNZ131103 GXV131086:GXV131103 HHR131086:HHR131103 HRN131086:HRN131103 IBJ131086:IBJ131103 ILF131086:ILF131103 IVB131086:IVB131103 JEX131086:JEX131103 JOT131086:JOT131103 JYP131086:JYP131103 KIL131086:KIL131103 KSH131086:KSH131103 LCD131086:LCD131103 LLZ131086:LLZ131103 LVV131086:LVV131103 MFR131086:MFR131103 MPN131086:MPN131103 MZJ131086:MZJ131103 NJF131086:NJF131103 NTB131086:NTB131103 OCX131086:OCX131103 OMT131086:OMT131103 OWP131086:OWP131103 PGL131086:PGL131103 PQH131086:PQH131103 QAD131086:QAD131103 QJZ131086:QJZ131103 QTV131086:QTV131103 RDR131086:RDR131103 RNN131086:RNN131103 RXJ131086:RXJ131103 SHF131086:SHF131103 SRB131086:SRB131103 TAX131086:TAX131103 TKT131086:TKT131103 TUP131086:TUP131103 UEL131086:UEL131103 UOH131086:UOH131103 UYD131086:UYD131103 VHZ131086:VHZ131103 VRV131086:VRV131103 WBR131086:WBR131103 WLN131086:WLN131103 WVJ131086:WVJ131103 B196622:B196639 IX196622:IX196639 ST196622:ST196639 ACP196622:ACP196639 AML196622:AML196639 AWH196622:AWH196639 BGD196622:BGD196639 BPZ196622:BPZ196639 BZV196622:BZV196639 CJR196622:CJR196639 CTN196622:CTN196639 DDJ196622:DDJ196639 DNF196622:DNF196639 DXB196622:DXB196639 EGX196622:EGX196639 EQT196622:EQT196639 FAP196622:FAP196639 FKL196622:FKL196639 FUH196622:FUH196639 GED196622:GED196639 GNZ196622:GNZ196639 GXV196622:GXV196639 HHR196622:HHR196639 HRN196622:HRN196639 IBJ196622:IBJ196639 ILF196622:ILF196639 IVB196622:IVB196639 JEX196622:JEX196639 JOT196622:JOT196639 JYP196622:JYP196639 KIL196622:KIL196639 KSH196622:KSH196639 LCD196622:LCD196639 LLZ196622:LLZ196639 LVV196622:LVV196639 MFR196622:MFR196639 MPN196622:MPN196639 MZJ196622:MZJ196639 NJF196622:NJF196639 NTB196622:NTB196639 OCX196622:OCX196639 OMT196622:OMT196639 OWP196622:OWP196639 PGL196622:PGL196639 PQH196622:PQH196639 QAD196622:QAD196639 QJZ196622:QJZ196639 QTV196622:QTV196639 RDR196622:RDR196639 RNN196622:RNN196639 RXJ196622:RXJ196639 SHF196622:SHF196639 SRB196622:SRB196639 TAX196622:TAX196639 TKT196622:TKT196639 TUP196622:TUP196639 UEL196622:UEL196639 UOH196622:UOH196639 UYD196622:UYD196639 VHZ196622:VHZ196639 VRV196622:VRV196639 WBR196622:WBR196639 WLN196622:WLN196639 WVJ196622:WVJ196639 B262158:B262175 IX262158:IX262175 ST262158:ST262175 ACP262158:ACP262175 AML262158:AML262175 AWH262158:AWH262175 BGD262158:BGD262175 BPZ262158:BPZ262175 BZV262158:BZV262175 CJR262158:CJR262175 CTN262158:CTN262175 DDJ262158:DDJ262175 DNF262158:DNF262175 DXB262158:DXB262175 EGX262158:EGX262175 EQT262158:EQT262175 FAP262158:FAP262175 FKL262158:FKL262175 FUH262158:FUH262175 GED262158:GED262175 GNZ262158:GNZ262175 GXV262158:GXV262175 HHR262158:HHR262175 HRN262158:HRN262175 IBJ262158:IBJ262175 ILF262158:ILF262175 IVB262158:IVB262175 JEX262158:JEX262175 JOT262158:JOT262175 JYP262158:JYP262175 KIL262158:KIL262175 KSH262158:KSH262175 LCD262158:LCD262175 LLZ262158:LLZ262175 LVV262158:LVV262175 MFR262158:MFR262175 MPN262158:MPN262175 MZJ262158:MZJ262175 NJF262158:NJF262175 NTB262158:NTB262175 OCX262158:OCX262175 OMT262158:OMT262175 OWP262158:OWP262175 PGL262158:PGL262175 PQH262158:PQH262175 QAD262158:QAD262175 QJZ262158:QJZ262175 QTV262158:QTV262175 RDR262158:RDR262175 RNN262158:RNN262175 RXJ262158:RXJ262175 SHF262158:SHF262175 SRB262158:SRB262175 TAX262158:TAX262175 TKT262158:TKT262175 TUP262158:TUP262175 UEL262158:UEL262175 UOH262158:UOH262175 UYD262158:UYD262175 VHZ262158:VHZ262175 VRV262158:VRV262175 WBR262158:WBR262175 WLN262158:WLN262175 WVJ262158:WVJ262175 B327694:B327711 IX327694:IX327711 ST327694:ST327711 ACP327694:ACP327711 AML327694:AML327711 AWH327694:AWH327711 BGD327694:BGD327711 BPZ327694:BPZ327711 BZV327694:BZV327711 CJR327694:CJR327711 CTN327694:CTN327711 DDJ327694:DDJ327711 DNF327694:DNF327711 DXB327694:DXB327711 EGX327694:EGX327711 EQT327694:EQT327711 FAP327694:FAP327711 FKL327694:FKL327711 FUH327694:FUH327711 GED327694:GED327711 GNZ327694:GNZ327711 GXV327694:GXV327711 HHR327694:HHR327711 HRN327694:HRN327711 IBJ327694:IBJ327711 ILF327694:ILF327711 IVB327694:IVB327711 JEX327694:JEX327711 JOT327694:JOT327711 JYP327694:JYP327711 KIL327694:KIL327711 KSH327694:KSH327711 LCD327694:LCD327711 LLZ327694:LLZ327711 LVV327694:LVV327711 MFR327694:MFR327711 MPN327694:MPN327711 MZJ327694:MZJ327711 NJF327694:NJF327711 NTB327694:NTB327711 OCX327694:OCX327711 OMT327694:OMT327711 OWP327694:OWP327711 PGL327694:PGL327711 PQH327694:PQH327711 QAD327694:QAD327711 QJZ327694:QJZ327711 QTV327694:QTV327711 RDR327694:RDR327711 RNN327694:RNN327711 RXJ327694:RXJ327711 SHF327694:SHF327711 SRB327694:SRB327711 TAX327694:TAX327711 TKT327694:TKT327711 TUP327694:TUP327711 UEL327694:UEL327711 UOH327694:UOH327711 UYD327694:UYD327711 VHZ327694:VHZ327711 VRV327694:VRV327711 WBR327694:WBR327711 WLN327694:WLN327711 WVJ327694:WVJ327711 B393230:B393247 IX393230:IX393247 ST393230:ST393247 ACP393230:ACP393247 AML393230:AML393247 AWH393230:AWH393247 BGD393230:BGD393247 BPZ393230:BPZ393247 BZV393230:BZV393247 CJR393230:CJR393247 CTN393230:CTN393247 DDJ393230:DDJ393247 DNF393230:DNF393247 DXB393230:DXB393247 EGX393230:EGX393247 EQT393230:EQT393247 FAP393230:FAP393247 FKL393230:FKL393247 FUH393230:FUH393247 GED393230:GED393247 GNZ393230:GNZ393247 GXV393230:GXV393247 HHR393230:HHR393247 HRN393230:HRN393247 IBJ393230:IBJ393247 ILF393230:ILF393247 IVB393230:IVB393247 JEX393230:JEX393247 JOT393230:JOT393247 JYP393230:JYP393247 KIL393230:KIL393247 KSH393230:KSH393247 LCD393230:LCD393247 LLZ393230:LLZ393247 LVV393230:LVV393247 MFR393230:MFR393247 MPN393230:MPN393247 MZJ393230:MZJ393247 NJF393230:NJF393247 NTB393230:NTB393247 OCX393230:OCX393247 OMT393230:OMT393247 OWP393230:OWP393247 PGL393230:PGL393247 PQH393230:PQH393247 QAD393230:QAD393247 QJZ393230:QJZ393247 QTV393230:QTV393247 RDR393230:RDR393247 RNN393230:RNN393247 RXJ393230:RXJ393247 SHF393230:SHF393247 SRB393230:SRB393247 TAX393230:TAX393247 TKT393230:TKT393247 TUP393230:TUP393247 UEL393230:UEL393247 UOH393230:UOH393247 UYD393230:UYD393247 VHZ393230:VHZ393247 VRV393230:VRV393247 WBR393230:WBR393247 WLN393230:WLN393247 WVJ393230:WVJ393247 B458766:B458783 IX458766:IX458783 ST458766:ST458783 ACP458766:ACP458783 AML458766:AML458783 AWH458766:AWH458783 BGD458766:BGD458783 BPZ458766:BPZ458783 BZV458766:BZV458783 CJR458766:CJR458783 CTN458766:CTN458783 DDJ458766:DDJ458783 DNF458766:DNF458783 DXB458766:DXB458783 EGX458766:EGX458783 EQT458766:EQT458783 FAP458766:FAP458783 FKL458766:FKL458783 FUH458766:FUH458783 GED458766:GED458783 GNZ458766:GNZ458783 GXV458766:GXV458783 HHR458766:HHR458783 HRN458766:HRN458783 IBJ458766:IBJ458783 ILF458766:ILF458783 IVB458766:IVB458783 JEX458766:JEX458783 JOT458766:JOT458783 JYP458766:JYP458783 KIL458766:KIL458783 KSH458766:KSH458783 LCD458766:LCD458783 LLZ458766:LLZ458783 LVV458766:LVV458783 MFR458766:MFR458783 MPN458766:MPN458783 MZJ458766:MZJ458783 NJF458766:NJF458783 NTB458766:NTB458783 OCX458766:OCX458783 OMT458766:OMT458783 OWP458766:OWP458783 PGL458766:PGL458783 PQH458766:PQH458783 QAD458766:QAD458783 QJZ458766:QJZ458783 QTV458766:QTV458783 RDR458766:RDR458783 RNN458766:RNN458783 RXJ458766:RXJ458783 SHF458766:SHF458783 SRB458766:SRB458783 TAX458766:TAX458783 TKT458766:TKT458783 TUP458766:TUP458783 UEL458766:UEL458783 UOH458766:UOH458783 UYD458766:UYD458783 VHZ458766:VHZ458783 VRV458766:VRV458783 WBR458766:WBR458783 WLN458766:WLN458783 WVJ458766:WVJ458783 B524302:B524319 IX524302:IX524319 ST524302:ST524319 ACP524302:ACP524319 AML524302:AML524319 AWH524302:AWH524319 BGD524302:BGD524319 BPZ524302:BPZ524319 BZV524302:BZV524319 CJR524302:CJR524319 CTN524302:CTN524319 DDJ524302:DDJ524319 DNF524302:DNF524319 DXB524302:DXB524319 EGX524302:EGX524319 EQT524302:EQT524319 FAP524302:FAP524319 FKL524302:FKL524319 FUH524302:FUH524319 GED524302:GED524319 GNZ524302:GNZ524319 GXV524302:GXV524319 HHR524302:HHR524319 HRN524302:HRN524319 IBJ524302:IBJ524319 ILF524302:ILF524319 IVB524302:IVB524319 JEX524302:JEX524319 JOT524302:JOT524319 JYP524302:JYP524319 KIL524302:KIL524319 KSH524302:KSH524319 LCD524302:LCD524319 LLZ524302:LLZ524319 LVV524302:LVV524319 MFR524302:MFR524319 MPN524302:MPN524319 MZJ524302:MZJ524319 NJF524302:NJF524319 NTB524302:NTB524319 OCX524302:OCX524319 OMT524302:OMT524319 OWP524302:OWP524319 PGL524302:PGL524319 PQH524302:PQH524319 QAD524302:QAD524319 QJZ524302:QJZ524319 QTV524302:QTV524319 RDR524302:RDR524319 RNN524302:RNN524319 RXJ524302:RXJ524319 SHF524302:SHF524319 SRB524302:SRB524319 TAX524302:TAX524319 TKT524302:TKT524319 TUP524302:TUP524319 UEL524302:UEL524319 UOH524302:UOH524319 UYD524302:UYD524319 VHZ524302:VHZ524319 VRV524302:VRV524319 WBR524302:WBR524319 WLN524302:WLN524319 WVJ524302:WVJ524319 B589838:B589855 IX589838:IX589855 ST589838:ST589855 ACP589838:ACP589855 AML589838:AML589855 AWH589838:AWH589855 BGD589838:BGD589855 BPZ589838:BPZ589855 BZV589838:BZV589855 CJR589838:CJR589855 CTN589838:CTN589855 DDJ589838:DDJ589855 DNF589838:DNF589855 DXB589838:DXB589855 EGX589838:EGX589855 EQT589838:EQT589855 FAP589838:FAP589855 FKL589838:FKL589855 FUH589838:FUH589855 GED589838:GED589855 GNZ589838:GNZ589855 GXV589838:GXV589855 HHR589838:HHR589855 HRN589838:HRN589855 IBJ589838:IBJ589855 ILF589838:ILF589855 IVB589838:IVB589855 JEX589838:JEX589855 JOT589838:JOT589855 JYP589838:JYP589855 KIL589838:KIL589855 KSH589838:KSH589855 LCD589838:LCD589855 LLZ589838:LLZ589855 LVV589838:LVV589855 MFR589838:MFR589855 MPN589838:MPN589855 MZJ589838:MZJ589855 NJF589838:NJF589855 NTB589838:NTB589855 OCX589838:OCX589855 OMT589838:OMT589855 OWP589838:OWP589855 PGL589838:PGL589855 PQH589838:PQH589855 QAD589838:QAD589855 QJZ589838:QJZ589855 QTV589838:QTV589855 RDR589838:RDR589855 RNN589838:RNN589855 RXJ589838:RXJ589855 SHF589838:SHF589855 SRB589838:SRB589855 TAX589838:TAX589855 TKT589838:TKT589855 TUP589838:TUP589855 UEL589838:UEL589855 UOH589838:UOH589855 UYD589838:UYD589855 VHZ589838:VHZ589855 VRV589838:VRV589855 WBR589838:WBR589855 WLN589838:WLN589855 WVJ589838:WVJ589855 B655374:B655391 IX655374:IX655391 ST655374:ST655391 ACP655374:ACP655391 AML655374:AML655391 AWH655374:AWH655391 BGD655374:BGD655391 BPZ655374:BPZ655391 BZV655374:BZV655391 CJR655374:CJR655391 CTN655374:CTN655391 DDJ655374:DDJ655391 DNF655374:DNF655391 DXB655374:DXB655391 EGX655374:EGX655391 EQT655374:EQT655391 FAP655374:FAP655391 FKL655374:FKL655391 FUH655374:FUH655391 GED655374:GED655391 GNZ655374:GNZ655391 GXV655374:GXV655391 HHR655374:HHR655391 HRN655374:HRN655391 IBJ655374:IBJ655391 ILF655374:ILF655391 IVB655374:IVB655391 JEX655374:JEX655391 JOT655374:JOT655391 JYP655374:JYP655391 KIL655374:KIL655391 KSH655374:KSH655391 LCD655374:LCD655391 LLZ655374:LLZ655391 LVV655374:LVV655391 MFR655374:MFR655391 MPN655374:MPN655391 MZJ655374:MZJ655391 NJF655374:NJF655391 NTB655374:NTB655391 OCX655374:OCX655391 OMT655374:OMT655391 OWP655374:OWP655391 PGL655374:PGL655391 PQH655374:PQH655391 QAD655374:QAD655391 QJZ655374:QJZ655391 QTV655374:QTV655391 RDR655374:RDR655391 RNN655374:RNN655391 RXJ655374:RXJ655391 SHF655374:SHF655391 SRB655374:SRB655391 TAX655374:TAX655391 TKT655374:TKT655391 TUP655374:TUP655391 UEL655374:UEL655391 UOH655374:UOH655391 UYD655374:UYD655391 VHZ655374:VHZ655391 VRV655374:VRV655391 WBR655374:WBR655391 WLN655374:WLN655391 WVJ655374:WVJ655391 B720910:B720927 IX720910:IX720927 ST720910:ST720927 ACP720910:ACP720927 AML720910:AML720927 AWH720910:AWH720927 BGD720910:BGD720927 BPZ720910:BPZ720927 BZV720910:BZV720927 CJR720910:CJR720927 CTN720910:CTN720927 DDJ720910:DDJ720927 DNF720910:DNF720927 DXB720910:DXB720927 EGX720910:EGX720927 EQT720910:EQT720927 FAP720910:FAP720927 FKL720910:FKL720927 FUH720910:FUH720927 GED720910:GED720927 GNZ720910:GNZ720927 GXV720910:GXV720927 HHR720910:HHR720927 HRN720910:HRN720927 IBJ720910:IBJ720927 ILF720910:ILF720927 IVB720910:IVB720927 JEX720910:JEX720927 JOT720910:JOT720927 JYP720910:JYP720927 KIL720910:KIL720927 KSH720910:KSH720927 LCD720910:LCD720927 LLZ720910:LLZ720927 LVV720910:LVV720927 MFR720910:MFR720927 MPN720910:MPN720927 MZJ720910:MZJ720927 NJF720910:NJF720927 NTB720910:NTB720927 OCX720910:OCX720927 OMT720910:OMT720927 OWP720910:OWP720927 PGL720910:PGL720927 PQH720910:PQH720927 QAD720910:QAD720927 QJZ720910:QJZ720927 QTV720910:QTV720927 RDR720910:RDR720927 RNN720910:RNN720927 RXJ720910:RXJ720927 SHF720910:SHF720927 SRB720910:SRB720927 TAX720910:TAX720927 TKT720910:TKT720927 TUP720910:TUP720927 UEL720910:UEL720927 UOH720910:UOH720927 UYD720910:UYD720927 VHZ720910:VHZ720927 VRV720910:VRV720927 WBR720910:WBR720927 WLN720910:WLN720927 WVJ720910:WVJ720927 B786446:B786463 IX786446:IX786463 ST786446:ST786463 ACP786446:ACP786463 AML786446:AML786463 AWH786446:AWH786463 BGD786446:BGD786463 BPZ786446:BPZ786463 BZV786446:BZV786463 CJR786446:CJR786463 CTN786446:CTN786463 DDJ786446:DDJ786463 DNF786446:DNF786463 DXB786446:DXB786463 EGX786446:EGX786463 EQT786446:EQT786463 FAP786446:FAP786463 FKL786446:FKL786463 FUH786446:FUH786463 GED786446:GED786463 GNZ786446:GNZ786463 GXV786446:GXV786463 HHR786446:HHR786463 HRN786446:HRN786463 IBJ786446:IBJ786463 ILF786446:ILF786463 IVB786446:IVB786463 JEX786446:JEX786463 JOT786446:JOT786463 JYP786446:JYP786463 KIL786446:KIL786463 KSH786446:KSH786463 LCD786446:LCD786463 LLZ786446:LLZ786463 LVV786446:LVV786463 MFR786446:MFR786463 MPN786446:MPN786463 MZJ786446:MZJ786463 NJF786446:NJF786463 NTB786446:NTB786463 OCX786446:OCX786463 OMT786446:OMT786463 OWP786446:OWP786463 PGL786446:PGL786463 PQH786446:PQH786463 QAD786446:QAD786463 QJZ786446:QJZ786463 QTV786446:QTV786463 RDR786446:RDR786463 RNN786446:RNN786463 RXJ786446:RXJ786463 SHF786446:SHF786463 SRB786446:SRB786463 TAX786446:TAX786463 TKT786446:TKT786463 TUP786446:TUP786463 UEL786446:UEL786463 UOH786446:UOH786463 UYD786446:UYD786463 VHZ786446:VHZ786463 VRV786446:VRV786463 WBR786446:WBR786463 WLN786446:WLN786463 WVJ786446:WVJ786463 B851982:B851999 IX851982:IX851999 ST851982:ST851999 ACP851982:ACP851999 AML851982:AML851999 AWH851982:AWH851999 BGD851982:BGD851999 BPZ851982:BPZ851999 BZV851982:BZV851999 CJR851982:CJR851999 CTN851982:CTN851999 DDJ851982:DDJ851999 DNF851982:DNF851999 DXB851982:DXB851999 EGX851982:EGX851999 EQT851982:EQT851999 FAP851982:FAP851999 FKL851982:FKL851999 FUH851982:FUH851999 GED851982:GED851999 GNZ851982:GNZ851999 GXV851982:GXV851999 HHR851982:HHR851999 HRN851982:HRN851999 IBJ851982:IBJ851999 ILF851982:ILF851999 IVB851982:IVB851999 JEX851982:JEX851999 JOT851982:JOT851999 JYP851982:JYP851999 KIL851982:KIL851999 KSH851982:KSH851999 LCD851982:LCD851999 LLZ851982:LLZ851999 LVV851982:LVV851999 MFR851982:MFR851999 MPN851982:MPN851999 MZJ851982:MZJ851999 NJF851982:NJF851999 NTB851982:NTB851999 OCX851982:OCX851999 OMT851982:OMT851999 OWP851982:OWP851999 PGL851982:PGL851999 PQH851982:PQH851999 QAD851982:QAD851999 QJZ851982:QJZ851999 QTV851982:QTV851999 RDR851982:RDR851999 RNN851982:RNN851999 RXJ851982:RXJ851999 SHF851982:SHF851999 SRB851982:SRB851999 TAX851982:TAX851999 TKT851982:TKT851999 TUP851982:TUP851999 UEL851982:UEL851999 UOH851982:UOH851999 UYD851982:UYD851999 VHZ851982:VHZ851999 VRV851982:VRV851999 WBR851982:WBR851999 WLN851982:WLN851999 WVJ851982:WVJ851999 B917518:B917535 IX917518:IX917535 ST917518:ST917535 ACP917518:ACP917535 AML917518:AML917535 AWH917518:AWH917535 BGD917518:BGD917535 BPZ917518:BPZ917535 BZV917518:BZV917535 CJR917518:CJR917535 CTN917518:CTN917535 DDJ917518:DDJ917535 DNF917518:DNF917535 DXB917518:DXB917535 EGX917518:EGX917535 EQT917518:EQT917535 FAP917518:FAP917535 FKL917518:FKL917535 FUH917518:FUH917535 GED917518:GED917535 GNZ917518:GNZ917535 GXV917518:GXV917535 HHR917518:HHR917535 HRN917518:HRN917535 IBJ917518:IBJ917535 ILF917518:ILF917535 IVB917518:IVB917535 JEX917518:JEX917535 JOT917518:JOT917535 JYP917518:JYP917535 KIL917518:KIL917535 KSH917518:KSH917535 LCD917518:LCD917535 LLZ917518:LLZ917535 LVV917518:LVV917535 MFR917518:MFR917535 MPN917518:MPN917535 MZJ917518:MZJ917535 NJF917518:NJF917535 NTB917518:NTB917535 OCX917518:OCX917535 OMT917518:OMT917535 OWP917518:OWP917535 PGL917518:PGL917535 PQH917518:PQH917535 QAD917518:QAD917535 QJZ917518:QJZ917535 QTV917518:QTV917535 RDR917518:RDR917535 RNN917518:RNN917535 RXJ917518:RXJ917535 SHF917518:SHF917535 SRB917518:SRB917535 TAX917518:TAX917535 TKT917518:TKT917535 TUP917518:TUP917535 UEL917518:UEL917535 UOH917518:UOH917535 UYD917518:UYD917535 VHZ917518:VHZ917535 VRV917518:VRV917535 WBR917518:WBR917535 WLN917518:WLN917535 WVJ917518:WVJ917535" xr:uid="{00000000-0002-0000-1900-000000000000}">
      <formula1>trung</formula1>
    </dataValidation>
    <dataValidation type="list" allowBlank="1" showInputMessage="1" showErrorMessage="1" sqref="B27:B29" xr:uid="{00000000-0002-0000-1900-000001000000}">
      <formula1>bichphuong</formula1>
    </dataValidation>
  </dataValidation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380"/>
  <sheetViews>
    <sheetView topLeftCell="A8"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57"/>
      <c r="G3" s="102"/>
      <c r="H3" s="103"/>
    </row>
    <row r="4" spans="1:8" s="98" customFormat="1" ht="18" customHeight="1">
      <c r="A4" s="414"/>
      <c r="B4" s="414"/>
      <c r="C4" s="415" t="s">
        <v>1740</v>
      </c>
      <c r="D4" s="416"/>
      <c r="E4" s="416"/>
      <c r="F4" s="416"/>
      <c r="G4" s="416"/>
      <c r="H4" s="416"/>
    </row>
    <row r="5" spans="1:8" s="98" customFormat="1" ht="15.6">
      <c r="A5" s="104"/>
      <c r="B5" s="104"/>
      <c r="C5" s="156"/>
      <c r="D5" s="105"/>
      <c r="E5" s="106"/>
      <c r="F5" s="156"/>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1884</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2036</v>
      </c>
      <c r="C13" s="425"/>
      <c r="D13" s="425"/>
      <c r="E13" s="425"/>
      <c r="F13" s="425"/>
      <c r="G13" s="73">
        <f>G14</f>
        <v>50740000</v>
      </c>
      <c r="H13" s="74"/>
    </row>
    <row r="14" spans="1:8" s="131" customFormat="1" ht="40.5" customHeight="1">
      <c r="A14" s="123"/>
      <c r="B14" s="124" t="s">
        <v>1757</v>
      </c>
      <c r="C14" s="125" t="s">
        <v>1753</v>
      </c>
      <c r="D14" s="126">
        <v>4.3</v>
      </c>
      <c r="E14" s="127">
        <v>11800000</v>
      </c>
      <c r="F14" s="128">
        <v>1</v>
      </c>
      <c r="G14" s="129">
        <f>D14*E14*F14</f>
        <v>50740000</v>
      </c>
      <c r="H14" s="130"/>
    </row>
    <row r="15" spans="1:8" ht="27" customHeight="1">
      <c r="A15" s="75" t="s">
        <v>18</v>
      </c>
      <c r="B15" s="426" t="s">
        <v>1725</v>
      </c>
      <c r="C15" s="426"/>
      <c r="D15" s="426"/>
      <c r="E15" s="426"/>
      <c r="F15" s="426"/>
      <c r="G15" s="76">
        <f>SUM(G16:G26)</f>
        <v>30761127.95992</v>
      </c>
      <c r="H15" s="11"/>
    </row>
    <row r="16" spans="1:8" ht="31.2">
      <c r="A16" s="77">
        <v>1</v>
      </c>
      <c r="B16" s="78" t="s">
        <v>1885</v>
      </c>
      <c r="C16" s="14" t="s">
        <v>1754</v>
      </c>
      <c r="D16" s="132">
        <f>5.2*1.9*0.11</f>
        <v>1.0868</v>
      </c>
      <c r="E16" s="15">
        <v>2126713</v>
      </c>
      <c r="F16" s="14">
        <v>1</v>
      </c>
      <c r="G16" s="79">
        <f t="shared" ref="G16:G18" si="0">D16*E16*F16</f>
        <v>2311311.6883999999</v>
      </c>
      <c r="H16" s="15"/>
    </row>
    <row r="17" spans="1:8" ht="15.6">
      <c r="A17" s="77"/>
      <c r="B17" s="78" t="s">
        <v>1975</v>
      </c>
      <c r="C17" s="14" t="s">
        <v>66</v>
      </c>
      <c r="D17" s="132">
        <f>5.2*1.9*2</f>
        <v>19.759999999999998</v>
      </c>
      <c r="E17" s="15">
        <v>141099</v>
      </c>
      <c r="F17" s="14">
        <v>1</v>
      </c>
      <c r="G17" s="79">
        <f t="shared" si="0"/>
        <v>2788116.2399999998</v>
      </c>
      <c r="H17" s="15"/>
    </row>
    <row r="18" spans="1:8" ht="30.6" customHeight="1">
      <c r="A18" s="77"/>
      <c r="B18" s="78" t="s">
        <v>1976</v>
      </c>
      <c r="C18" s="14" t="s">
        <v>66</v>
      </c>
      <c r="D18" s="132">
        <f>5.2*1.9*2</f>
        <v>19.759999999999998</v>
      </c>
      <c r="E18" s="15">
        <v>87789</v>
      </c>
      <c r="F18" s="14">
        <v>1</v>
      </c>
      <c r="G18" s="79">
        <f t="shared" si="0"/>
        <v>1734710.64</v>
      </c>
      <c r="H18" s="15"/>
    </row>
    <row r="19" spans="1:8" ht="31.2">
      <c r="A19" s="77">
        <v>2</v>
      </c>
      <c r="B19" s="78" t="s">
        <v>1886</v>
      </c>
      <c r="C19" s="14" t="s">
        <v>1754</v>
      </c>
      <c r="D19" s="132">
        <f>(0.22*0.22*1.9)*4</f>
        <v>0.36783999999999994</v>
      </c>
      <c r="E19" s="15">
        <v>2623803</v>
      </c>
      <c r="F19" s="14">
        <v>1</v>
      </c>
      <c r="G19" s="79">
        <f t="shared" ref="G19:G24" si="1">D19*E19*F19</f>
        <v>965139.69551999983</v>
      </c>
      <c r="H19" s="15"/>
    </row>
    <row r="20" spans="1:8" ht="30.6" customHeight="1">
      <c r="A20" s="77"/>
      <c r="B20" s="78" t="s">
        <v>1977</v>
      </c>
      <c r="C20" s="14" t="s">
        <v>66</v>
      </c>
      <c r="D20" s="132">
        <f>0.22*1.9*4*4</f>
        <v>6.6879999999999997</v>
      </c>
      <c r="E20" s="15">
        <v>250492</v>
      </c>
      <c r="F20" s="14">
        <v>1</v>
      </c>
      <c r="G20" s="79">
        <f t="shared" si="1"/>
        <v>1675290.496</v>
      </c>
      <c r="H20" s="15"/>
    </row>
    <row r="21" spans="1:8" ht="30.6" customHeight="1">
      <c r="A21" s="77"/>
      <c r="B21" s="78" t="s">
        <v>1978</v>
      </c>
      <c r="C21" s="14" t="s">
        <v>66</v>
      </c>
      <c r="D21" s="132">
        <f>0.22*1.9*4*4</f>
        <v>6.6879999999999997</v>
      </c>
      <c r="E21" s="15">
        <v>87789</v>
      </c>
      <c r="F21" s="14">
        <v>1</v>
      </c>
      <c r="G21" s="79">
        <f t="shared" si="1"/>
        <v>587132.83199999994</v>
      </c>
      <c r="H21" s="15"/>
    </row>
    <row r="22" spans="1:8" ht="15.6">
      <c r="A22" s="77">
        <v>3</v>
      </c>
      <c r="B22" s="78" t="s">
        <v>1879</v>
      </c>
      <c r="C22" s="14"/>
      <c r="D22" s="132"/>
      <c r="E22" s="15"/>
      <c r="F22" s="14"/>
      <c r="G22" s="79"/>
      <c r="H22" s="15"/>
    </row>
    <row r="23" spans="1:8" ht="31.2">
      <c r="A23" s="77" t="s">
        <v>1761</v>
      </c>
      <c r="B23" s="78" t="s">
        <v>1887</v>
      </c>
      <c r="C23" s="14" t="s">
        <v>1755</v>
      </c>
      <c r="D23" s="132">
        <f>(7.6/6)*(2*6)*4</f>
        <v>60.8</v>
      </c>
      <c r="E23" s="15">
        <v>145000</v>
      </c>
      <c r="F23" s="14">
        <v>1</v>
      </c>
      <c r="G23" s="79">
        <f>D23*E23*F23</f>
        <v>8816000</v>
      </c>
      <c r="H23" s="15"/>
    </row>
    <row r="24" spans="1:8" ht="31.2">
      <c r="A24" s="77" t="s">
        <v>1761</v>
      </c>
      <c r="B24" s="78" t="s">
        <v>1888</v>
      </c>
      <c r="C24" s="14" t="s">
        <v>1755</v>
      </c>
      <c r="D24" s="132">
        <f>(10.23/6)*(8*2.2)*2</f>
        <v>60.016000000000005</v>
      </c>
      <c r="E24" s="15">
        <v>145000</v>
      </c>
      <c r="F24" s="14">
        <v>1</v>
      </c>
      <c r="G24" s="79">
        <f t="shared" si="1"/>
        <v>8702320</v>
      </c>
      <c r="H24" s="15"/>
    </row>
    <row r="25" spans="1:8" ht="15.6">
      <c r="A25" s="77" t="s">
        <v>1761</v>
      </c>
      <c r="B25" s="78" t="s">
        <v>1889</v>
      </c>
      <c r="C25" s="14" t="s">
        <v>1755</v>
      </c>
      <c r="D25" s="132">
        <f>(11.64/6)*3.8</f>
        <v>7.3719999999999999</v>
      </c>
      <c r="E25" s="15">
        <v>145000</v>
      </c>
      <c r="F25" s="14">
        <v>1</v>
      </c>
      <c r="G25" s="79">
        <f t="shared" ref="G25:G26" si="2">D25*E25*F25</f>
        <v>1068940</v>
      </c>
      <c r="H25" s="15"/>
    </row>
    <row r="26" spans="1:8" ht="15.6">
      <c r="A26" s="77">
        <v>4</v>
      </c>
      <c r="B26" s="78" t="s">
        <v>1890</v>
      </c>
      <c r="C26" s="14" t="s">
        <v>1754</v>
      </c>
      <c r="D26" s="132">
        <f>1.8*7.2*0.1</f>
        <v>1.2960000000000003</v>
      </c>
      <c r="E26" s="15">
        <v>1629758</v>
      </c>
      <c r="F26" s="14">
        <v>1</v>
      </c>
      <c r="G26" s="79">
        <f t="shared" si="2"/>
        <v>2112166.3680000002</v>
      </c>
      <c r="H26" s="15"/>
    </row>
    <row r="27" spans="1:8" ht="24" customHeight="1">
      <c r="A27" s="75" t="s">
        <v>19</v>
      </c>
      <c r="B27" s="426" t="s">
        <v>1727</v>
      </c>
      <c r="C27" s="426"/>
      <c r="D27" s="426"/>
      <c r="E27" s="426"/>
      <c r="F27" s="426"/>
      <c r="G27" s="76">
        <f>SUM(G28:G28)</f>
        <v>270000</v>
      </c>
      <c r="H27" s="11"/>
    </row>
    <row r="28" spans="1:8" s="12" customFormat="1" ht="31.2">
      <c r="A28" s="94">
        <v>1</v>
      </c>
      <c r="B28" s="154" t="s">
        <v>1151</v>
      </c>
      <c r="C28" s="14" t="s">
        <v>1724</v>
      </c>
      <c r="D28" s="14">
        <v>1</v>
      </c>
      <c r="E28" s="79">
        <v>270000</v>
      </c>
      <c r="F28" s="137">
        <v>1</v>
      </c>
      <c r="G28" s="79">
        <f>D28*E28*F28</f>
        <v>270000</v>
      </c>
      <c r="H28" s="95"/>
    </row>
    <row r="29" spans="1:8" ht="15.6">
      <c r="A29" s="80"/>
      <c r="B29" s="427" t="s">
        <v>62</v>
      </c>
      <c r="C29" s="428"/>
      <c r="D29" s="428"/>
      <c r="E29" s="428"/>
      <c r="F29" s="429"/>
      <c r="G29" s="81">
        <f>G13+G15+G27</f>
        <v>81771127.959920004</v>
      </c>
      <c r="H29" s="82"/>
    </row>
    <row r="30" spans="1:8" ht="15.6">
      <c r="A30" s="80"/>
      <c r="B30" s="427" t="s">
        <v>1726</v>
      </c>
      <c r="C30" s="428"/>
      <c r="D30" s="428"/>
      <c r="E30" s="428"/>
      <c r="F30" s="429"/>
      <c r="G30" s="81">
        <f>ROUND(G29,-3)</f>
        <v>81771000</v>
      </c>
      <c r="H30" s="82"/>
    </row>
    <row r="31" spans="1:8" ht="15.6">
      <c r="A31" s="430" t="e">
        <f ca="1">[19]!vnd(G30)</f>
        <v>#NAME?</v>
      </c>
      <c r="B31" s="431"/>
      <c r="C31" s="431"/>
      <c r="D31" s="431"/>
      <c r="E31" s="431"/>
      <c r="F31" s="431"/>
      <c r="G31" s="431"/>
      <c r="H31" s="432"/>
    </row>
    <row r="32" spans="1:8">
      <c r="A32" s="17"/>
      <c r="B32" s="17"/>
      <c r="C32" s="97"/>
      <c r="D32" s="20"/>
      <c r="E32" s="19"/>
      <c r="F32" s="97"/>
      <c r="G32" s="19"/>
      <c r="H32" s="17"/>
    </row>
    <row r="33" spans="1:8" s="109" customFormat="1" ht="16.5" customHeight="1">
      <c r="A33" s="108"/>
      <c r="B33" s="108"/>
      <c r="C33" s="424" t="s">
        <v>1742</v>
      </c>
      <c r="D33" s="424"/>
      <c r="E33" s="424"/>
      <c r="F33" s="424"/>
      <c r="G33" s="424"/>
      <c r="H33" s="424"/>
    </row>
    <row r="34" spans="1:8" s="109" customFormat="1" ht="16.5" customHeight="1">
      <c r="A34" s="423" t="s">
        <v>63</v>
      </c>
      <c r="B34" s="423"/>
      <c r="C34" s="424" t="s">
        <v>1743</v>
      </c>
      <c r="D34" s="424"/>
      <c r="E34" s="424"/>
      <c r="F34" s="424" t="s">
        <v>1744</v>
      </c>
      <c r="G34" s="424"/>
      <c r="H34" s="424"/>
    </row>
    <row r="35" spans="1:8" s="109" customFormat="1" ht="15.6">
      <c r="A35" s="108"/>
      <c r="B35" s="108"/>
      <c r="C35" s="108"/>
      <c r="D35" s="110"/>
      <c r="E35" s="111"/>
      <c r="F35" s="112"/>
      <c r="G35" s="111"/>
      <c r="H35" s="113"/>
    </row>
    <row r="36" spans="1:8" s="109" customFormat="1" ht="15.6">
      <c r="A36" s="108"/>
      <c r="B36" s="108"/>
      <c r="C36" s="108"/>
      <c r="D36" s="110"/>
      <c r="E36" s="111"/>
      <c r="F36" s="112"/>
      <c r="G36" s="114"/>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6.5" customHeight="1">
      <c r="A40" s="108"/>
      <c r="B40" s="158" t="s">
        <v>64</v>
      </c>
      <c r="C40" s="424"/>
      <c r="D40" s="424"/>
      <c r="E40" s="424"/>
      <c r="F40" s="424" t="s">
        <v>1745</v>
      </c>
      <c r="G40" s="424"/>
      <c r="H40" s="424"/>
    </row>
    <row r="41" spans="1:8" s="109" customFormat="1" ht="15.6">
      <c r="A41" s="108"/>
      <c r="B41" s="158"/>
      <c r="C41" s="155"/>
      <c r="D41" s="155"/>
      <c r="E41" s="155"/>
      <c r="F41" s="155"/>
      <c r="G41" s="155"/>
      <c r="H41" s="155"/>
    </row>
    <row r="42" spans="1:8" s="109" customFormat="1" ht="15" customHeight="1">
      <c r="A42" s="424" t="s">
        <v>1746</v>
      </c>
      <c r="B42" s="424"/>
      <c r="C42" s="424"/>
      <c r="D42" s="424"/>
      <c r="E42" s="424" t="s">
        <v>1747</v>
      </c>
      <c r="F42" s="424"/>
      <c r="G42" s="424"/>
      <c r="H42" s="424"/>
    </row>
    <row r="43" spans="1:8" s="109" customFormat="1" ht="33.6" customHeight="1">
      <c r="A43" s="424" t="s">
        <v>1748</v>
      </c>
      <c r="B43" s="424"/>
      <c r="C43" s="424"/>
      <c r="D43" s="424"/>
      <c r="E43" s="424" t="s">
        <v>65</v>
      </c>
      <c r="F43" s="424"/>
      <c r="G43" s="424"/>
      <c r="H43" s="424"/>
    </row>
    <row r="44" spans="1:8" s="109" customFormat="1" ht="15.6">
      <c r="A44" s="108"/>
      <c r="B44" s="108"/>
      <c r="C44" s="108"/>
      <c r="D44" s="110"/>
      <c r="E44" s="111"/>
      <c r="F44" s="112"/>
      <c r="G44" s="111"/>
      <c r="H44" s="113"/>
    </row>
    <row r="45" spans="1:8" s="109" customFormat="1" ht="15.6">
      <c r="A45" s="108"/>
      <c r="B45" s="108"/>
      <c r="C45" s="108"/>
      <c r="D45" s="110"/>
      <c r="E45" s="111"/>
      <c r="F45" s="112"/>
      <c r="G45" s="111"/>
      <c r="H45" s="113"/>
    </row>
    <row r="46" spans="1:8" s="109" customFormat="1" ht="15.6">
      <c r="A46" s="108"/>
      <c r="B46" s="108"/>
      <c r="C46" s="108"/>
      <c r="D46" s="110"/>
      <c r="E46" s="111"/>
      <c r="F46" s="112"/>
      <c r="G46" s="111"/>
      <c r="H46" s="113"/>
    </row>
    <row r="47" spans="1:8" s="109" customFormat="1" ht="15.6">
      <c r="A47" s="108"/>
      <c r="B47" s="108"/>
      <c r="C47" s="108"/>
      <c r="D47" s="110"/>
      <c r="E47" s="111"/>
      <c r="F47" s="112"/>
      <c r="G47" s="111"/>
      <c r="H47" s="113"/>
    </row>
    <row r="48" spans="1:8" s="109" customFormat="1" ht="15.6">
      <c r="A48" s="108"/>
      <c r="B48" s="108"/>
      <c r="C48" s="108"/>
      <c r="D48" s="110"/>
      <c r="E48" s="111"/>
      <c r="F48" s="112"/>
      <c r="G48" s="111"/>
      <c r="H48" s="113"/>
    </row>
    <row r="49" spans="1:8" s="109" customFormat="1" ht="15.6" customHeight="1">
      <c r="A49" s="108"/>
      <c r="B49" s="108"/>
      <c r="C49" s="108"/>
      <c r="D49" s="115"/>
      <c r="E49" s="439" t="s">
        <v>1749</v>
      </c>
      <c r="F49" s="439"/>
      <c r="G49" s="439"/>
      <c r="H49" s="439"/>
    </row>
    <row r="50" spans="1:8" s="109" customFormat="1" ht="16.5" customHeight="1">
      <c r="A50" s="424" t="s">
        <v>1751</v>
      </c>
      <c r="B50" s="424"/>
      <c r="C50" s="424"/>
      <c r="D50" s="424"/>
      <c r="E50" s="424" t="s">
        <v>1750</v>
      </c>
      <c r="F50" s="424"/>
      <c r="G50" s="424"/>
      <c r="H50" s="424"/>
    </row>
    <row r="51" spans="1:8" s="118" customFormat="1" ht="16.2" customHeight="1">
      <c r="A51" s="440"/>
      <c r="B51" s="440"/>
      <c r="C51" s="116"/>
      <c r="D51" s="117"/>
      <c r="E51" s="440"/>
      <c r="F51" s="440"/>
      <c r="G51" s="440"/>
      <c r="H51" s="440"/>
    </row>
    <row r="52" spans="1:8" s="118" customFormat="1" ht="15.75" customHeight="1">
      <c r="A52" s="440"/>
      <c r="B52" s="440"/>
      <c r="C52" s="440"/>
      <c r="D52" s="440"/>
      <c r="E52" s="440"/>
      <c r="F52" s="440"/>
      <c r="G52" s="440"/>
      <c r="H52" s="440"/>
    </row>
    <row r="53" spans="1:8" s="98" customFormat="1" ht="16.2" customHeight="1">
      <c r="A53" s="436"/>
      <c r="B53" s="436"/>
      <c r="C53" s="436"/>
      <c r="D53" s="436"/>
      <c r="E53" s="119"/>
      <c r="F53" s="120"/>
      <c r="G53" s="119"/>
      <c r="H53" s="121"/>
    </row>
    <row r="54" spans="1:8" s="98" customFormat="1" ht="16.2" customHeight="1">
      <c r="A54" s="436"/>
      <c r="B54" s="436"/>
      <c r="C54" s="436"/>
      <c r="D54" s="436"/>
      <c r="E54" s="119"/>
      <c r="F54" s="120"/>
      <c r="G54" s="119"/>
      <c r="H54" s="121"/>
    </row>
    <row r="55" spans="1:8" s="98" customFormat="1" ht="16.2" customHeight="1">
      <c r="A55" s="121"/>
      <c r="B55" s="121"/>
      <c r="C55" s="121"/>
      <c r="D55" s="122"/>
      <c r="E55" s="119"/>
      <c r="F55" s="120"/>
      <c r="G55" s="119"/>
      <c r="H55" s="121"/>
    </row>
    <row r="56" spans="1:8" ht="16.2" customHeight="1">
      <c r="A56" s="83"/>
      <c r="B56" s="83"/>
      <c r="C56" s="83"/>
      <c r="D56" s="84"/>
      <c r="E56" s="85"/>
      <c r="F56" s="86"/>
      <c r="G56" s="85"/>
      <c r="H56" s="83"/>
    </row>
    <row r="57" spans="1:8" ht="16.2" customHeight="1">
      <c r="A57" s="83"/>
      <c r="B57" s="83"/>
      <c r="C57" s="83"/>
      <c r="D57" s="84"/>
      <c r="E57" s="85"/>
      <c r="F57" s="86"/>
      <c r="G57" s="85"/>
      <c r="H57" s="83"/>
    </row>
    <row r="58" spans="1:8" ht="16.2" customHeight="1">
      <c r="A58" s="83"/>
      <c r="B58" s="83"/>
      <c r="C58" s="83"/>
      <c r="D58" s="84"/>
      <c r="E58" s="85"/>
      <c r="F58" s="86"/>
      <c r="G58" s="85"/>
      <c r="H58" s="83"/>
    </row>
    <row r="59" spans="1:8" ht="16.2" customHeight="1">
      <c r="A59" s="83"/>
      <c r="B59" s="83"/>
      <c r="C59" s="83"/>
      <c r="D59" s="84"/>
      <c r="E59" s="437"/>
      <c r="F59" s="437"/>
      <c r="G59" s="437"/>
      <c r="H59" s="437"/>
    </row>
    <row r="60" spans="1:8" ht="20.25" customHeight="1">
      <c r="A60" s="438"/>
      <c r="B60" s="438"/>
      <c r="C60" s="438"/>
      <c r="D60" s="438"/>
      <c r="E60" s="438"/>
      <c r="F60" s="438"/>
      <c r="G60" s="438"/>
      <c r="H60" s="438"/>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D73" s="18"/>
      <c r="E73" s="19"/>
      <c r="F73" s="97"/>
      <c r="G73" s="19"/>
    </row>
    <row r="74" spans="3:7" s="17" customFormat="1" ht="16.2" customHeight="1">
      <c r="D74" s="18"/>
      <c r="E74" s="19"/>
      <c r="F74" s="97"/>
      <c r="G74" s="19"/>
    </row>
    <row r="75" spans="3:7" s="17" customFormat="1" ht="16.2" customHeight="1">
      <c r="D75" s="18"/>
      <c r="E75" s="19"/>
      <c r="F75" s="97"/>
      <c r="G75" s="19"/>
    </row>
    <row r="76" spans="3:7" s="17" customFormat="1" ht="16.2" customHeight="1">
      <c r="D76" s="18"/>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s="17" customFormat="1" ht="16.2" customHeight="1">
      <c r="C87" s="97"/>
      <c r="D87" s="20"/>
      <c r="E87" s="19"/>
      <c r="F87" s="97"/>
      <c r="G87" s="19"/>
    </row>
    <row r="88" spans="3:7" s="17" customFormat="1" ht="16.2" customHeight="1">
      <c r="C88" s="97"/>
      <c r="D88" s="20"/>
      <c r="E88" s="19"/>
      <c r="F88" s="97"/>
      <c r="G88" s="19"/>
    </row>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ht="16.2" customHeight="1"/>
    <row r="235"/>
    <row r="236"/>
    <row r="237"/>
    <row r="238"/>
    <row r="239"/>
    <row r="240"/>
    <row r="241"/>
    <row r="242"/>
    <row r="243"/>
    <row r="244"/>
    <row r="245"/>
    <row r="246"/>
    <row r="247"/>
    <row r="248"/>
    <row r="249"/>
    <row r="250"/>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sheetData>
  <mergeCells count="40">
    <mergeCell ref="E59:H59"/>
    <mergeCell ref="A60:H60"/>
    <mergeCell ref="A51:B51"/>
    <mergeCell ref="E51:H51"/>
    <mergeCell ref="A52:D52"/>
    <mergeCell ref="E52:H52"/>
    <mergeCell ref="A53:D53"/>
    <mergeCell ref="A54:D54"/>
    <mergeCell ref="A50:D50"/>
    <mergeCell ref="E50:H50"/>
    <mergeCell ref="C33:H33"/>
    <mergeCell ref="A34:B34"/>
    <mergeCell ref="C34:E34"/>
    <mergeCell ref="F34:H34"/>
    <mergeCell ref="C40:E40"/>
    <mergeCell ref="F40:H40"/>
    <mergeCell ref="A42:D42"/>
    <mergeCell ref="E42:H42"/>
    <mergeCell ref="A43:D43"/>
    <mergeCell ref="E43:H43"/>
    <mergeCell ref="E49:H49"/>
    <mergeCell ref="A31:H31"/>
    <mergeCell ref="A6:H6"/>
    <mergeCell ref="A7:H7"/>
    <mergeCell ref="A8:H8"/>
    <mergeCell ref="A9:H9"/>
    <mergeCell ref="A10:H10"/>
    <mergeCell ref="A11:H11"/>
    <mergeCell ref="B13:F13"/>
    <mergeCell ref="B15:F15"/>
    <mergeCell ref="B27:F27"/>
    <mergeCell ref="B29:F29"/>
    <mergeCell ref="B30:F30"/>
    <mergeCell ref="A4:B4"/>
    <mergeCell ref="C4:H4"/>
    <mergeCell ref="A1:B1"/>
    <mergeCell ref="C1:H1"/>
    <mergeCell ref="A2:B2"/>
    <mergeCell ref="C2:H2"/>
    <mergeCell ref="A3:B3"/>
  </mergeCells>
  <dataValidations count="2">
    <dataValidation type="list" allowBlank="1" showInputMessage="1" showErrorMessage="1" sqref="B28" xr:uid="{00000000-0002-0000-1A00-000000000000}">
      <formula1>bichphuong</formula1>
    </dataValidation>
    <dataValidation type="list" allowBlank="1" showInputMessage="1" showErrorMessage="1" sqref="WVJ983052:WVJ983069 B983052:B983069 IX983052:IX983069 ST983052:ST983069 ACP983052:ACP983069 AML983052:AML983069 AWH983052:AWH983069 BGD983052:BGD983069 BPZ983052:BPZ983069 BZV983052:BZV983069 CJR983052:CJR983069 CTN983052:CTN983069 DDJ983052:DDJ983069 DNF983052:DNF983069 DXB983052:DXB983069 EGX983052:EGX983069 EQT983052:EQT983069 FAP983052:FAP983069 FKL983052:FKL983069 FUH983052:FUH983069 GED983052:GED983069 GNZ983052:GNZ983069 GXV983052:GXV983069 HHR983052:HHR983069 HRN983052:HRN983069 IBJ983052:IBJ983069 ILF983052:ILF983069 IVB983052:IVB983069 JEX983052:JEX983069 JOT983052:JOT983069 JYP983052:JYP983069 KIL983052:KIL983069 KSH983052:KSH983069 LCD983052:LCD983069 LLZ983052:LLZ983069 LVV983052:LVV983069 MFR983052:MFR983069 MPN983052:MPN983069 MZJ983052:MZJ983069 NJF983052:NJF983069 NTB983052:NTB983069 OCX983052:OCX983069 OMT983052:OMT983069 OWP983052:OWP983069 PGL983052:PGL983069 PQH983052:PQH983069 QAD983052:QAD983069 QJZ983052:QJZ983069 QTV983052:QTV983069 RDR983052:RDR983069 RNN983052:RNN983069 RXJ983052:RXJ983069 SHF983052:SHF983069 SRB983052:SRB983069 TAX983052:TAX983069 TKT983052:TKT983069 TUP983052:TUP983069 UEL983052:UEL983069 UOH983052:UOH983069 UYD983052:UYD983069 VHZ983052:VHZ983069 VRV983052:VRV983069 WBR983052:WBR983069 WLN983052:WLN983069 B65548:B65565 IX65548:IX65565 ST65548:ST65565 ACP65548:ACP65565 AML65548:AML65565 AWH65548:AWH65565 BGD65548:BGD65565 BPZ65548:BPZ65565 BZV65548:BZV65565 CJR65548:CJR65565 CTN65548:CTN65565 DDJ65548:DDJ65565 DNF65548:DNF65565 DXB65548:DXB65565 EGX65548:EGX65565 EQT65548:EQT65565 FAP65548:FAP65565 FKL65548:FKL65565 FUH65548:FUH65565 GED65548:GED65565 GNZ65548:GNZ65565 GXV65548:GXV65565 HHR65548:HHR65565 HRN65548:HRN65565 IBJ65548:IBJ65565 ILF65548:ILF65565 IVB65548:IVB65565 JEX65548:JEX65565 JOT65548:JOT65565 JYP65548:JYP65565 KIL65548:KIL65565 KSH65548:KSH65565 LCD65548:LCD65565 LLZ65548:LLZ65565 LVV65548:LVV65565 MFR65548:MFR65565 MPN65548:MPN65565 MZJ65548:MZJ65565 NJF65548:NJF65565 NTB65548:NTB65565 OCX65548:OCX65565 OMT65548:OMT65565 OWP65548:OWP65565 PGL65548:PGL65565 PQH65548:PQH65565 QAD65548:QAD65565 QJZ65548:QJZ65565 QTV65548:QTV65565 RDR65548:RDR65565 RNN65548:RNN65565 RXJ65548:RXJ65565 SHF65548:SHF65565 SRB65548:SRB65565 TAX65548:TAX65565 TKT65548:TKT65565 TUP65548:TUP65565 UEL65548:UEL65565 UOH65548:UOH65565 UYD65548:UYD65565 VHZ65548:VHZ65565 VRV65548:VRV65565 WBR65548:WBR65565 WLN65548:WLN65565 WVJ65548:WVJ65565 B131084:B131101 IX131084:IX131101 ST131084:ST131101 ACP131084:ACP131101 AML131084:AML131101 AWH131084:AWH131101 BGD131084:BGD131101 BPZ131084:BPZ131101 BZV131084:BZV131101 CJR131084:CJR131101 CTN131084:CTN131101 DDJ131084:DDJ131101 DNF131084:DNF131101 DXB131084:DXB131101 EGX131084:EGX131101 EQT131084:EQT131101 FAP131084:FAP131101 FKL131084:FKL131101 FUH131084:FUH131101 GED131084:GED131101 GNZ131084:GNZ131101 GXV131084:GXV131101 HHR131084:HHR131101 HRN131084:HRN131101 IBJ131084:IBJ131101 ILF131084:ILF131101 IVB131084:IVB131101 JEX131084:JEX131101 JOT131084:JOT131101 JYP131084:JYP131101 KIL131084:KIL131101 KSH131084:KSH131101 LCD131084:LCD131101 LLZ131084:LLZ131101 LVV131084:LVV131101 MFR131084:MFR131101 MPN131084:MPN131101 MZJ131084:MZJ131101 NJF131084:NJF131101 NTB131084:NTB131101 OCX131084:OCX131101 OMT131084:OMT131101 OWP131084:OWP131101 PGL131084:PGL131101 PQH131084:PQH131101 QAD131084:QAD131101 QJZ131084:QJZ131101 QTV131084:QTV131101 RDR131084:RDR131101 RNN131084:RNN131101 RXJ131084:RXJ131101 SHF131084:SHF131101 SRB131084:SRB131101 TAX131084:TAX131101 TKT131084:TKT131101 TUP131084:TUP131101 UEL131084:UEL131101 UOH131084:UOH131101 UYD131084:UYD131101 VHZ131084:VHZ131101 VRV131084:VRV131101 WBR131084:WBR131101 WLN131084:WLN131101 WVJ131084:WVJ131101 B196620:B196637 IX196620:IX196637 ST196620:ST196637 ACP196620:ACP196637 AML196620:AML196637 AWH196620:AWH196637 BGD196620:BGD196637 BPZ196620:BPZ196637 BZV196620:BZV196637 CJR196620:CJR196637 CTN196620:CTN196637 DDJ196620:DDJ196637 DNF196620:DNF196637 DXB196620:DXB196637 EGX196620:EGX196637 EQT196620:EQT196637 FAP196620:FAP196637 FKL196620:FKL196637 FUH196620:FUH196637 GED196620:GED196637 GNZ196620:GNZ196637 GXV196620:GXV196637 HHR196620:HHR196637 HRN196620:HRN196637 IBJ196620:IBJ196637 ILF196620:ILF196637 IVB196620:IVB196637 JEX196620:JEX196637 JOT196620:JOT196637 JYP196620:JYP196637 KIL196620:KIL196637 KSH196620:KSH196637 LCD196620:LCD196637 LLZ196620:LLZ196637 LVV196620:LVV196637 MFR196620:MFR196637 MPN196620:MPN196637 MZJ196620:MZJ196637 NJF196620:NJF196637 NTB196620:NTB196637 OCX196620:OCX196637 OMT196620:OMT196637 OWP196620:OWP196637 PGL196620:PGL196637 PQH196620:PQH196637 QAD196620:QAD196637 QJZ196620:QJZ196637 QTV196620:QTV196637 RDR196620:RDR196637 RNN196620:RNN196637 RXJ196620:RXJ196637 SHF196620:SHF196637 SRB196620:SRB196637 TAX196620:TAX196637 TKT196620:TKT196637 TUP196620:TUP196637 UEL196620:UEL196637 UOH196620:UOH196637 UYD196620:UYD196637 VHZ196620:VHZ196637 VRV196620:VRV196637 WBR196620:WBR196637 WLN196620:WLN196637 WVJ196620:WVJ196637 B262156:B262173 IX262156:IX262173 ST262156:ST262173 ACP262156:ACP262173 AML262156:AML262173 AWH262156:AWH262173 BGD262156:BGD262173 BPZ262156:BPZ262173 BZV262156:BZV262173 CJR262156:CJR262173 CTN262156:CTN262173 DDJ262156:DDJ262173 DNF262156:DNF262173 DXB262156:DXB262173 EGX262156:EGX262173 EQT262156:EQT262173 FAP262156:FAP262173 FKL262156:FKL262173 FUH262156:FUH262173 GED262156:GED262173 GNZ262156:GNZ262173 GXV262156:GXV262173 HHR262156:HHR262173 HRN262156:HRN262173 IBJ262156:IBJ262173 ILF262156:ILF262173 IVB262156:IVB262173 JEX262156:JEX262173 JOT262156:JOT262173 JYP262156:JYP262173 KIL262156:KIL262173 KSH262156:KSH262173 LCD262156:LCD262173 LLZ262156:LLZ262173 LVV262156:LVV262173 MFR262156:MFR262173 MPN262156:MPN262173 MZJ262156:MZJ262173 NJF262156:NJF262173 NTB262156:NTB262173 OCX262156:OCX262173 OMT262156:OMT262173 OWP262156:OWP262173 PGL262156:PGL262173 PQH262156:PQH262173 QAD262156:QAD262173 QJZ262156:QJZ262173 QTV262156:QTV262173 RDR262156:RDR262173 RNN262156:RNN262173 RXJ262156:RXJ262173 SHF262156:SHF262173 SRB262156:SRB262173 TAX262156:TAX262173 TKT262156:TKT262173 TUP262156:TUP262173 UEL262156:UEL262173 UOH262156:UOH262173 UYD262156:UYD262173 VHZ262156:VHZ262173 VRV262156:VRV262173 WBR262156:WBR262173 WLN262156:WLN262173 WVJ262156:WVJ262173 B327692:B327709 IX327692:IX327709 ST327692:ST327709 ACP327692:ACP327709 AML327692:AML327709 AWH327692:AWH327709 BGD327692:BGD327709 BPZ327692:BPZ327709 BZV327692:BZV327709 CJR327692:CJR327709 CTN327692:CTN327709 DDJ327692:DDJ327709 DNF327692:DNF327709 DXB327692:DXB327709 EGX327692:EGX327709 EQT327692:EQT327709 FAP327692:FAP327709 FKL327692:FKL327709 FUH327692:FUH327709 GED327692:GED327709 GNZ327692:GNZ327709 GXV327692:GXV327709 HHR327692:HHR327709 HRN327692:HRN327709 IBJ327692:IBJ327709 ILF327692:ILF327709 IVB327692:IVB327709 JEX327692:JEX327709 JOT327692:JOT327709 JYP327692:JYP327709 KIL327692:KIL327709 KSH327692:KSH327709 LCD327692:LCD327709 LLZ327692:LLZ327709 LVV327692:LVV327709 MFR327692:MFR327709 MPN327692:MPN327709 MZJ327692:MZJ327709 NJF327692:NJF327709 NTB327692:NTB327709 OCX327692:OCX327709 OMT327692:OMT327709 OWP327692:OWP327709 PGL327692:PGL327709 PQH327692:PQH327709 QAD327692:QAD327709 QJZ327692:QJZ327709 QTV327692:QTV327709 RDR327692:RDR327709 RNN327692:RNN327709 RXJ327692:RXJ327709 SHF327692:SHF327709 SRB327692:SRB327709 TAX327692:TAX327709 TKT327692:TKT327709 TUP327692:TUP327709 UEL327692:UEL327709 UOH327692:UOH327709 UYD327692:UYD327709 VHZ327692:VHZ327709 VRV327692:VRV327709 WBR327692:WBR327709 WLN327692:WLN327709 WVJ327692:WVJ327709 B393228:B393245 IX393228:IX393245 ST393228:ST393245 ACP393228:ACP393245 AML393228:AML393245 AWH393228:AWH393245 BGD393228:BGD393245 BPZ393228:BPZ393245 BZV393228:BZV393245 CJR393228:CJR393245 CTN393228:CTN393245 DDJ393228:DDJ393245 DNF393228:DNF393245 DXB393228:DXB393245 EGX393228:EGX393245 EQT393228:EQT393245 FAP393228:FAP393245 FKL393228:FKL393245 FUH393228:FUH393245 GED393228:GED393245 GNZ393228:GNZ393245 GXV393228:GXV393245 HHR393228:HHR393245 HRN393228:HRN393245 IBJ393228:IBJ393245 ILF393228:ILF393245 IVB393228:IVB393245 JEX393228:JEX393245 JOT393228:JOT393245 JYP393228:JYP393245 KIL393228:KIL393245 KSH393228:KSH393245 LCD393228:LCD393245 LLZ393228:LLZ393245 LVV393228:LVV393245 MFR393228:MFR393245 MPN393228:MPN393245 MZJ393228:MZJ393245 NJF393228:NJF393245 NTB393228:NTB393245 OCX393228:OCX393245 OMT393228:OMT393245 OWP393228:OWP393245 PGL393228:PGL393245 PQH393228:PQH393245 QAD393228:QAD393245 QJZ393228:QJZ393245 QTV393228:QTV393245 RDR393228:RDR393245 RNN393228:RNN393245 RXJ393228:RXJ393245 SHF393228:SHF393245 SRB393228:SRB393245 TAX393228:TAX393245 TKT393228:TKT393245 TUP393228:TUP393245 UEL393228:UEL393245 UOH393228:UOH393245 UYD393228:UYD393245 VHZ393228:VHZ393245 VRV393228:VRV393245 WBR393228:WBR393245 WLN393228:WLN393245 WVJ393228:WVJ393245 B458764:B458781 IX458764:IX458781 ST458764:ST458781 ACP458764:ACP458781 AML458764:AML458781 AWH458764:AWH458781 BGD458764:BGD458781 BPZ458764:BPZ458781 BZV458764:BZV458781 CJR458764:CJR458781 CTN458764:CTN458781 DDJ458764:DDJ458781 DNF458764:DNF458781 DXB458764:DXB458781 EGX458764:EGX458781 EQT458764:EQT458781 FAP458764:FAP458781 FKL458764:FKL458781 FUH458764:FUH458781 GED458764:GED458781 GNZ458764:GNZ458781 GXV458764:GXV458781 HHR458764:HHR458781 HRN458764:HRN458781 IBJ458764:IBJ458781 ILF458764:ILF458781 IVB458764:IVB458781 JEX458764:JEX458781 JOT458764:JOT458781 JYP458764:JYP458781 KIL458764:KIL458781 KSH458764:KSH458781 LCD458764:LCD458781 LLZ458764:LLZ458781 LVV458764:LVV458781 MFR458764:MFR458781 MPN458764:MPN458781 MZJ458764:MZJ458781 NJF458764:NJF458781 NTB458764:NTB458781 OCX458764:OCX458781 OMT458764:OMT458781 OWP458764:OWP458781 PGL458764:PGL458781 PQH458764:PQH458781 QAD458764:QAD458781 QJZ458764:QJZ458781 QTV458764:QTV458781 RDR458764:RDR458781 RNN458764:RNN458781 RXJ458764:RXJ458781 SHF458764:SHF458781 SRB458764:SRB458781 TAX458764:TAX458781 TKT458764:TKT458781 TUP458764:TUP458781 UEL458764:UEL458781 UOH458764:UOH458781 UYD458764:UYD458781 VHZ458764:VHZ458781 VRV458764:VRV458781 WBR458764:WBR458781 WLN458764:WLN458781 WVJ458764:WVJ458781 B524300:B524317 IX524300:IX524317 ST524300:ST524317 ACP524300:ACP524317 AML524300:AML524317 AWH524300:AWH524317 BGD524300:BGD524317 BPZ524300:BPZ524317 BZV524300:BZV524317 CJR524300:CJR524317 CTN524300:CTN524317 DDJ524300:DDJ524317 DNF524300:DNF524317 DXB524300:DXB524317 EGX524300:EGX524317 EQT524300:EQT524317 FAP524300:FAP524317 FKL524300:FKL524317 FUH524300:FUH524317 GED524300:GED524317 GNZ524300:GNZ524317 GXV524300:GXV524317 HHR524300:HHR524317 HRN524300:HRN524317 IBJ524300:IBJ524317 ILF524300:ILF524317 IVB524300:IVB524317 JEX524300:JEX524317 JOT524300:JOT524317 JYP524300:JYP524317 KIL524300:KIL524317 KSH524300:KSH524317 LCD524300:LCD524317 LLZ524300:LLZ524317 LVV524300:LVV524317 MFR524300:MFR524317 MPN524300:MPN524317 MZJ524300:MZJ524317 NJF524300:NJF524317 NTB524300:NTB524317 OCX524300:OCX524317 OMT524300:OMT524317 OWP524300:OWP524317 PGL524300:PGL524317 PQH524300:PQH524317 QAD524300:QAD524317 QJZ524300:QJZ524317 QTV524300:QTV524317 RDR524300:RDR524317 RNN524300:RNN524317 RXJ524300:RXJ524317 SHF524300:SHF524317 SRB524300:SRB524317 TAX524300:TAX524317 TKT524300:TKT524317 TUP524300:TUP524317 UEL524300:UEL524317 UOH524300:UOH524317 UYD524300:UYD524317 VHZ524300:VHZ524317 VRV524300:VRV524317 WBR524300:WBR524317 WLN524300:WLN524317 WVJ524300:WVJ524317 B589836:B589853 IX589836:IX589853 ST589836:ST589853 ACP589836:ACP589853 AML589836:AML589853 AWH589836:AWH589853 BGD589836:BGD589853 BPZ589836:BPZ589853 BZV589836:BZV589853 CJR589836:CJR589853 CTN589836:CTN589853 DDJ589836:DDJ589853 DNF589836:DNF589853 DXB589836:DXB589853 EGX589836:EGX589853 EQT589836:EQT589853 FAP589836:FAP589853 FKL589836:FKL589853 FUH589836:FUH589853 GED589836:GED589853 GNZ589836:GNZ589853 GXV589836:GXV589853 HHR589836:HHR589853 HRN589836:HRN589853 IBJ589836:IBJ589853 ILF589836:ILF589853 IVB589836:IVB589853 JEX589836:JEX589853 JOT589836:JOT589853 JYP589836:JYP589853 KIL589836:KIL589853 KSH589836:KSH589853 LCD589836:LCD589853 LLZ589836:LLZ589853 LVV589836:LVV589853 MFR589836:MFR589853 MPN589836:MPN589853 MZJ589836:MZJ589853 NJF589836:NJF589853 NTB589836:NTB589853 OCX589836:OCX589853 OMT589836:OMT589853 OWP589836:OWP589853 PGL589836:PGL589853 PQH589836:PQH589853 QAD589836:QAD589853 QJZ589836:QJZ589853 QTV589836:QTV589853 RDR589836:RDR589853 RNN589836:RNN589853 RXJ589836:RXJ589853 SHF589836:SHF589853 SRB589836:SRB589853 TAX589836:TAX589853 TKT589836:TKT589853 TUP589836:TUP589853 UEL589836:UEL589853 UOH589836:UOH589853 UYD589836:UYD589853 VHZ589836:VHZ589853 VRV589836:VRV589853 WBR589836:WBR589853 WLN589836:WLN589853 WVJ589836:WVJ589853 B655372:B655389 IX655372:IX655389 ST655372:ST655389 ACP655372:ACP655389 AML655372:AML655389 AWH655372:AWH655389 BGD655372:BGD655389 BPZ655372:BPZ655389 BZV655372:BZV655389 CJR655372:CJR655389 CTN655372:CTN655389 DDJ655372:DDJ655389 DNF655372:DNF655389 DXB655372:DXB655389 EGX655372:EGX655389 EQT655372:EQT655389 FAP655372:FAP655389 FKL655372:FKL655389 FUH655372:FUH655389 GED655372:GED655389 GNZ655372:GNZ655389 GXV655372:GXV655389 HHR655372:HHR655389 HRN655372:HRN655389 IBJ655372:IBJ655389 ILF655372:ILF655389 IVB655372:IVB655389 JEX655372:JEX655389 JOT655372:JOT655389 JYP655372:JYP655389 KIL655372:KIL655389 KSH655372:KSH655389 LCD655372:LCD655389 LLZ655372:LLZ655389 LVV655372:LVV655389 MFR655372:MFR655389 MPN655372:MPN655389 MZJ655372:MZJ655389 NJF655372:NJF655389 NTB655372:NTB655389 OCX655372:OCX655389 OMT655372:OMT655389 OWP655372:OWP655389 PGL655372:PGL655389 PQH655372:PQH655389 QAD655372:QAD655389 QJZ655372:QJZ655389 QTV655372:QTV655389 RDR655372:RDR655389 RNN655372:RNN655389 RXJ655372:RXJ655389 SHF655372:SHF655389 SRB655372:SRB655389 TAX655372:TAX655389 TKT655372:TKT655389 TUP655372:TUP655389 UEL655372:UEL655389 UOH655372:UOH655389 UYD655372:UYD655389 VHZ655372:VHZ655389 VRV655372:VRV655389 WBR655372:WBR655389 WLN655372:WLN655389 WVJ655372:WVJ655389 B720908:B720925 IX720908:IX720925 ST720908:ST720925 ACP720908:ACP720925 AML720908:AML720925 AWH720908:AWH720925 BGD720908:BGD720925 BPZ720908:BPZ720925 BZV720908:BZV720925 CJR720908:CJR720925 CTN720908:CTN720925 DDJ720908:DDJ720925 DNF720908:DNF720925 DXB720908:DXB720925 EGX720908:EGX720925 EQT720908:EQT720925 FAP720908:FAP720925 FKL720908:FKL720925 FUH720908:FUH720925 GED720908:GED720925 GNZ720908:GNZ720925 GXV720908:GXV720925 HHR720908:HHR720925 HRN720908:HRN720925 IBJ720908:IBJ720925 ILF720908:ILF720925 IVB720908:IVB720925 JEX720908:JEX720925 JOT720908:JOT720925 JYP720908:JYP720925 KIL720908:KIL720925 KSH720908:KSH720925 LCD720908:LCD720925 LLZ720908:LLZ720925 LVV720908:LVV720925 MFR720908:MFR720925 MPN720908:MPN720925 MZJ720908:MZJ720925 NJF720908:NJF720925 NTB720908:NTB720925 OCX720908:OCX720925 OMT720908:OMT720925 OWP720908:OWP720925 PGL720908:PGL720925 PQH720908:PQH720925 QAD720908:QAD720925 QJZ720908:QJZ720925 QTV720908:QTV720925 RDR720908:RDR720925 RNN720908:RNN720925 RXJ720908:RXJ720925 SHF720908:SHF720925 SRB720908:SRB720925 TAX720908:TAX720925 TKT720908:TKT720925 TUP720908:TUP720925 UEL720908:UEL720925 UOH720908:UOH720925 UYD720908:UYD720925 VHZ720908:VHZ720925 VRV720908:VRV720925 WBR720908:WBR720925 WLN720908:WLN720925 WVJ720908:WVJ720925 B786444:B786461 IX786444:IX786461 ST786444:ST786461 ACP786444:ACP786461 AML786444:AML786461 AWH786444:AWH786461 BGD786444:BGD786461 BPZ786444:BPZ786461 BZV786444:BZV786461 CJR786444:CJR786461 CTN786444:CTN786461 DDJ786444:DDJ786461 DNF786444:DNF786461 DXB786444:DXB786461 EGX786444:EGX786461 EQT786444:EQT786461 FAP786444:FAP786461 FKL786444:FKL786461 FUH786444:FUH786461 GED786444:GED786461 GNZ786444:GNZ786461 GXV786444:GXV786461 HHR786444:HHR786461 HRN786444:HRN786461 IBJ786444:IBJ786461 ILF786444:ILF786461 IVB786444:IVB786461 JEX786444:JEX786461 JOT786444:JOT786461 JYP786444:JYP786461 KIL786444:KIL786461 KSH786444:KSH786461 LCD786444:LCD786461 LLZ786444:LLZ786461 LVV786444:LVV786461 MFR786444:MFR786461 MPN786444:MPN786461 MZJ786444:MZJ786461 NJF786444:NJF786461 NTB786444:NTB786461 OCX786444:OCX786461 OMT786444:OMT786461 OWP786444:OWP786461 PGL786444:PGL786461 PQH786444:PQH786461 QAD786444:QAD786461 QJZ786444:QJZ786461 QTV786444:QTV786461 RDR786444:RDR786461 RNN786444:RNN786461 RXJ786444:RXJ786461 SHF786444:SHF786461 SRB786444:SRB786461 TAX786444:TAX786461 TKT786444:TKT786461 TUP786444:TUP786461 UEL786444:UEL786461 UOH786444:UOH786461 UYD786444:UYD786461 VHZ786444:VHZ786461 VRV786444:VRV786461 WBR786444:WBR786461 WLN786444:WLN786461 WVJ786444:WVJ786461 B851980:B851997 IX851980:IX851997 ST851980:ST851997 ACP851980:ACP851997 AML851980:AML851997 AWH851980:AWH851997 BGD851980:BGD851997 BPZ851980:BPZ851997 BZV851980:BZV851997 CJR851980:CJR851997 CTN851980:CTN851997 DDJ851980:DDJ851997 DNF851980:DNF851997 DXB851980:DXB851997 EGX851980:EGX851997 EQT851980:EQT851997 FAP851980:FAP851997 FKL851980:FKL851997 FUH851980:FUH851997 GED851980:GED851997 GNZ851980:GNZ851997 GXV851980:GXV851997 HHR851980:HHR851997 HRN851980:HRN851997 IBJ851980:IBJ851997 ILF851980:ILF851997 IVB851980:IVB851997 JEX851980:JEX851997 JOT851980:JOT851997 JYP851980:JYP851997 KIL851980:KIL851997 KSH851980:KSH851997 LCD851980:LCD851997 LLZ851980:LLZ851997 LVV851980:LVV851997 MFR851980:MFR851997 MPN851980:MPN851997 MZJ851980:MZJ851997 NJF851980:NJF851997 NTB851980:NTB851997 OCX851980:OCX851997 OMT851980:OMT851997 OWP851980:OWP851997 PGL851980:PGL851997 PQH851980:PQH851997 QAD851980:QAD851997 QJZ851980:QJZ851997 QTV851980:QTV851997 RDR851980:RDR851997 RNN851980:RNN851997 RXJ851980:RXJ851997 SHF851980:SHF851997 SRB851980:SRB851997 TAX851980:TAX851997 TKT851980:TKT851997 TUP851980:TUP851997 UEL851980:UEL851997 UOH851980:UOH851997 UYD851980:UYD851997 VHZ851980:VHZ851997 VRV851980:VRV851997 WBR851980:WBR851997 WLN851980:WLN851997 WVJ851980:WVJ851997 B917516:B917533 IX917516:IX917533 ST917516:ST917533 ACP917516:ACP917533 AML917516:AML917533 AWH917516:AWH917533 BGD917516:BGD917533 BPZ917516:BPZ917533 BZV917516:BZV917533 CJR917516:CJR917533 CTN917516:CTN917533 DDJ917516:DDJ917533 DNF917516:DNF917533 DXB917516:DXB917533 EGX917516:EGX917533 EQT917516:EQT917533 FAP917516:FAP917533 FKL917516:FKL917533 FUH917516:FUH917533 GED917516:GED917533 GNZ917516:GNZ917533 GXV917516:GXV917533 HHR917516:HHR917533 HRN917516:HRN917533 IBJ917516:IBJ917533 ILF917516:ILF917533 IVB917516:IVB917533 JEX917516:JEX917533 JOT917516:JOT917533 JYP917516:JYP917533 KIL917516:KIL917533 KSH917516:KSH917533 LCD917516:LCD917533 LLZ917516:LLZ917533 LVV917516:LVV917533 MFR917516:MFR917533 MPN917516:MPN917533 MZJ917516:MZJ917533 NJF917516:NJF917533 NTB917516:NTB917533 OCX917516:OCX917533 OMT917516:OMT917533 OWP917516:OWP917533 PGL917516:PGL917533 PQH917516:PQH917533 QAD917516:QAD917533 QJZ917516:QJZ917533 QTV917516:QTV917533 RDR917516:RDR917533 RNN917516:RNN917533 RXJ917516:RXJ917533 SHF917516:SHF917533 SRB917516:SRB917533 TAX917516:TAX917533 TKT917516:TKT917533 TUP917516:TUP917533 UEL917516:UEL917533 UOH917516:UOH917533 UYD917516:UYD917533 VHZ917516:VHZ917533 VRV917516:VRV917533 WBR917516:WBR917533 WLN917516:WLN917533 WVJ917516:WVJ917533" xr:uid="{00000000-0002-0000-1A00-000001000000}">
      <formula1>trung</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377"/>
  <sheetViews>
    <sheetView topLeftCell="A16" workbookViewId="0">
      <selection activeCell="C35" sqref="C35"/>
    </sheetView>
  </sheetViews>
  <sheetFormatPr defaultColWidth="40.5" defaultRowHeight="15" customHeight="1" zeroHeight="1"/>
  <cols>
    <col min="1" max="1" width="4.19921875" style="16" customWidth="1"/>
    <col min="2" max="2" width="23.8984375" style="16" customWidth="1"/>
    <col min="3" max="3" width="5" style="87" customWidth="1"/>
    <col min="4" max="4" width="6.19921875" style="88" customWidth="1"/>
    <col min="5" max="5" width="10.8984375" style="89" customWidth="1"/>
    <col min="6" max="6" width="5.8984375" style="87" customWidth="1"/>
    <col min="7" max="7" width="10" style="89" customWidth="1"/>
    <col min="8" max="8" width="6.398437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57"/>
      <c r="G3" s="102"/>
      <c r="H3" s="103"/>
    </row>
    <row r="4" spans="1:8" s="98" customFormat="1" ht="18" customHeight="1">
      <c r="A4" s="414"/>
      <c r="B4" s="414"/>
      <c r="C4" s="415" t="s">
        <v>1740</v>
      </c>
      <c r="D4" s="416"/>
      <c r="E4" s="416"/>
      <c r="F4" s="416"/>
      <c r="G4" s="416"/>
      <c r="H4" s="416"/>
    </row>
    <row r="5" spans="1:8" s="98" customFormat="1" ht="15.6">
      <c r="A5" s="104"/>
      <c r="B5" s="104"/>
      <c r="C5" s="156"/>
      <c r="D5" s="105"/>
      <c r="E5" s="106"/>
      <c r="F5" s="156"/>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1891</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1892</v>
      </c>
      <c r="C13" s="425"/>
      <c r="D13" s="425"/>
      <c r="E13" s="425"/>
      <c r="F13" s="425"/>
      <c r="G13" s="73">
        <f>G14</f>
        <v>12980000.000000002</v>
      </c>
      <c r="H13" s="74"/>
    </row>
    <row r="14" spans="1:8" s="131" customFormat="1" ht="183" customHeight="1">
      <c r="A14" s="123"/>
      <c r="B14" s="124" t="s">
        <v>2054</v>
      </c>
      <c r="C14" s="125" t="s">
        <v>1753</v>
      </c>
      <c r="D14" s="126">
        <v>2.2000000000000002</v>
      </c>
      <c r="E14" s="127">
        <v>11800000</v>
      </c>
      <c r="F14" s="188">
        <v>0.5</v>
      </c>
      <c r="G14" s="129">
        <f>D14*E14*F14</f>
        <v>12980000.000000002</v>
      </c>
      <c r="H14" s="130"/>
    </row>
    <row r="15" spans="1:8" ht="27" customHeight="1">
      <c r="A15" s="75" t="s">
        <v>18</v>
      </c>
      <c r="B15" s="426" t="s">
        <v>1725</v>
      </c>
      <c r="C15" s="426"/>
      <c r="D15" s="426"/>
      <c r="E15" s="426"/>
      <c r="F15" s="426"/>
      <c r="G15" s="76">
        <f>SUM(G17:G17)</f>
        <v>1303806.4000000001</v>
      </c>
      <c r="H15" s="11"/>
    </row>
    <row r="16" spans="1:8" ht="60" customHeight="1">
      <c r="A16" s="75"/>
      <c r="B16" s="433" t="s">
        <v>2039</v>
      </c>
      <c r="C16" s="434"/>
      <c r="D16" s="434"/>
      <c r="E16" s="434"/>
      <c r="F16" s="435"/>
      <c r="G16" s="76"/>
      <c r="H16" s="11"/>
    </row>
    <row r="17" spans="1:8" ht="15.6">
      <c r="A17" s="77">
        <v>1</v>
      </c>
      <c r="B17" s="78" t="s">
        <v>1893</v>
      </c>
      <c r="C17" s="14" t="s">
        <v>1754</v>
      </c>
      <c r="D17" s="132">
        <f>4*2.5*0.1</f>
        <v>1</v>
      </c>
      <c r="E17" s="15">
        <v>1629758</v>
      </c>
      <c r="F17" s="187">
        <v>0.8</v>
      </c>
      <c r="G17" s="79">
        <f t="shared" ref="G17" si="0">D17*E17*F17</f>
        <v>1303806.4000000001</v>
      </c>
      <c r="H17" s="15"/>
    </row>
    <row r="18" spans="1:8" ht="24" customHeight="1">
      <c r="A18" s="75" t="s">
        <v>19</v>
      </c>
      <c r="B18" s="426" t="s">
        <v>1727</v>
      </c>
      <c r="C18" s="426"/>
      <c r="D18" s="426"/>
      <c r="E18" s="426"/>
      <c r="F18" s="426"/>
      <c r="G18" s="76">
        <f>SUM(G19:G19)</f>
        <v>0</v>
      </c>
      <c r="H18" s="11"/>
    </row>
    <row r="19" spans="1:8" ht="30.6" customHeight="1">
      <c r="A19" s="77"/>
      <c r="B19" s="78" t="s">
        <v>1728</v>
      </c>
      <c r="C19" s="13"/>
      <c r="D19" s="13"/>
      <c r="E19" s="13"/>
      <c r="F19" s="13"/>
      <c r="G19" s="79"/>
      <c r="H19" s="15"/>
    </row>
    <row r="20" spans="1:8" ht="15.6">
      <c r="A20" s="80"/>
      <c r="B20" s="427" t="s">
        <v>62</v>
      </c>
      <c r="C20" s="428"/>
      <c r="D20" s="428"/>
      <c r="E20" s="428"/>
      <c r="F20" s="429"/>
      <c r="G20" s="81">
        <f>G13+G15+G18</f>
        <v>14283806.400000002</v>
      </c>
      <c r="H20" s="82"/>
    </row>
    <row r="21" spans="1:8" ht="15.6">
      <c r="A21" s="80"/>
      <c r="B21" s="427" t="s">
        <v>1726</v>
      </c>
      <c r="C21" s="428"/>
      <c r="D21" s="428"/>
      <c r="E21" s="428"/>
      <c r="F21" s="429"/>
      <c r="G21" s="81">
        <f>ROUND(G20,-3)</f>
        <v>14284000</v>
      </c>
      <c r="H21" s="82"/>
    </row>
    <row r="22" spans="1:8" ht="15.6">
      <c r="A22" s="430" t="e" cm="1">
        <f t="array" aca="1" ref="A22" ca="1">[22]!vnd(G21)</f>
        <v>#NAME?</v>
      </c>
      <c r="B22" s="431"/>
      <c r="C22" s="431"/>
      <c r="D22" s="431"/>
      <c r="E22" s="431"/>
      <c r="F22" s="431"/>
      <c r="G22" s="431"/>
      <c r="H22" s="432"/>
    </row>
    <row r="23" spans="1:8">
      <c r="A23" s="17"/>
      <c r="B23" s="17"/>
      <c r="C23" s="97"/>
      <c r="D23" s="20"/>
      <c r="E23" s="19"/>
      <c r="F23" s="97"/>
      <c r="G23" s="19"/>
      <c r="H23" s="17"/>
    </row>
    <row r="24" spans="1:8" s="109" customFormat="1" ht="16.5" customHeight="1">
      <c r="A24" s="108"/>
      <c r="B24" s="108"/>
      <c r="C24" s="424" t="s">
        <v>1742</v>
      </c>
      <c r="D24" s="424"/>
      <c r="E24" s="424"/>
      <c r="F24" s="424"/>
      <c r="G24" s="424"/>
      <c r="H24" s="424"/>
    </row>
    <row r="25" spans="1:8" s="109" customFormat="1" ht="16.5" customHeight="1">
      <c r="A25" s="423" t="s">
        <v>63</v>
      </c>
      <c r="B25" s="423"/>
      <c r="C25" s="424" t="s">
        <v>1743</v>
      </c>
      <c r="D25" s="424"/>
      <c r="E25" s="424"/>
      <c r="F25" s="424" t="s">
        <v>1744</v>
      </c>
      <c r="G25" s="424"/>
      <c r="H25" s="424"/>
    </row>
    <row r="26" spans="1:8" s="109" customFormat="1" ht="15.6">
      <c r="A26" s="108"/>
      <c r="B26" s="108"/>
      <c r="C26" s="108"/>
      <c r="D26" s="110"/>
      <c r="E26" s="111"/>
      <c r="F26" s="112"/>
      <c r="G26" s="111"/>
      <c r="H26" s="113"/>
    </row>
    <row r="27" spans="1:8" s="109" customFormat="1" ht="15.6">
      <c r="A27" s="108"/>
      <c r="B27" s="108"/>
      <c r="C27" s="108"/>
      <c r="D27" s="110"/>
      <c r="E27" s="111"/>
      <c r="F27" s="112"/>
      <c r="G27" s="114"/>
      <c r="H27" s="113"/>
    </row>
    <row r="28" spans="1:8" s="109" customFormat="1" ht="15.6">
      <c r="A28" s="108"/>
      <c r="B28" s="108"/>
      <c r="C28" s="108"/>
      <c r="D28" s="110"/>
      <c r="E28" s="111"/>
      <c r="F28" s="112"/>
      <c r="G28" s="111"/>
      <c r="H28" s="113"/>
    </row>
    <row r="29" spans="1:8" s="109" customFormat="1" ht="15.6">
      <c r="A29" s="108"/>
      <c r="B29" s="108"/>
      <c r="C29" s="108"/>
      <c r="D29" s="110"/>
      <c r="E29" s="111"/>
      <c r="F29" s="112"/>
      <c r="G29" s="111"/>
      <c r="H29" s="113"/>
    </row>
    <row r="30" spans="1:8" s="109" customFormat="1" ht="15.6">
      <c r="A30" s="108"/>
      <c r="B30" s="108"/>
      <c r="C30" s="108"/>
      <c r="D30" s="110"/>
      <c r="E30" s="111"/>
      <c r="F30" s="112"/>
      <c r="G30" s="111"/>
      <c r="H30" s="113"/>
    </row>
    <row r="31" spans="1:8" s="109" customFormat="1" ht="16.5" customHeight="1">
      <c r="A31" s="108"/>
      <c r="B31" s="158" t="s">
        <v>64</v>
      </c>
      <c r="C31" s="424"/>
      <c r="D31" s="424"/>
      <c r="E31" s="424"/>
      <c r="F31" s="424" t="s">
        <v>1745</v>
      </c>
      <c r="G31" s="424"/>
      <c r="H31" s="424"/>
    </row>
    <row r="32" spans="1:8" s="109" customFormat="1" ht="15.6">
      <c r="A32" s="108"/>
      <c r="B32" s="158"/>
      <c r="C32" s="155"/>
      <c r="D32" s="155"/>
      <c r="E32" s="155"/>
      <c r="F32" s="155"/>
      <c r="G32" s="155"/>
      <c r="H32" s="155"/>
    </row>
    <row r="33" spans="1:8" s="109" customFormat="1" ht="15" customHeight="1">
      <c r="A33" s="424" t="s">
        <v>1746</v>
      </c>
      <c r="B33" s="424"/>
      <c r="C33" s="424"/>
      <c r="D33" s="424"/>
      <c r="E33" s="424" t="s">
        <v>1747</v>
      </c>
      <c r="F33" s="424"/>
      <c r="G33" s="424"/>
      <c r="H33" s="424"/>
    </row>
    <row r="34" spans="1:8" s="109" customFormat="1" ht="33.6" customHeight="1">
      <c r="A34" s="424" t="s">
        <v>1748</v>
      </c>
      <c r="B34" s="424"/>
      <c r="C34" s="424"/>
      <c r="D34" s="424"/>
      <c r="E34" s="424" t="s">
        <v>65</v>
      </c>
      <c r="F34" s="424"/>
      <c r="G34" s="424"/>
      <c r="H34" s="424"/>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ustomHeight="1">
      <c r="A40" s="108"/>
      <c r="B40" s="108"/>
      <c r="C40" s="108"/>
      <c r="D40" s="115"/>
      <c r="E40" s="439" t="s">
        <v>1749</v>
      </c>
      <c r="F40" s="439"/>
      <c r="G40" s="439"/>
      <c r="H40" s="439"/>
    </row>
    <row r="41" spans="1:8" s="109" customFormat="1" ht="16.5" customHeight="1">
      <c r="A41" s="424" t="s">
        <v>1751</v>
      </c>
      <c r="B41" s="424"/>
      <c r="C41" s="424"/>
      <c r="D41" s="424"/>
      <c r="E41" s="424" t="s">
        <v>1750</v>
      </c>
      <c r="F41" s="424"/>
      <c r="G41" s="424"/>
      <c r="H41" s="424"/>
    </row>
    <row r="42" spans="1:8" s="118" customFormat="1" ht="16.2" customHeight="1">
      <c r="A42" s="440"/>
      <c r="B42" s="440"/>
      <c r="C42" s="116"/>
      <c r="D42" s="117"/>
      <c r="E42" s="440"/>
      <c r="F42" s="440"/>
      <c r="G42" s="440"/>
      <c r="H42" s="440"/>
    </row>
    <row r="43" spans="1:8" s="118" customFormat="1" ht="15.75" customHeight="1">
      <c r="A43" s="440"/>
      <c r="B43" s="440"/>
      <c r="C43" s="440"/>
      <c r="D43" s="440"/>
      <c r="E43" s="440"/>
      <c r="F43" s="440"/>
      <c r="G43" s="440"/>
      <c r="H43" s="440"/>
    </row>
    <row r="44" spans="1:8" s="98" customFormat="1" ht="16.2" customHeight="1">
      <c r="A44" s="436"/>
      <c r="B44" s="436"/>
      <c r="C44" s="436"/>
      <c r="D44" s="436"/>
      <c r="E44" s="119"/>
      <c r="F44" s="120"/>
      <c r="G44" s="119"/>
      <c r="H44" s="121"/>
    </row>
    <row r="45" spans="1:8" s="98" customFormat="1" ht="16.2" customHeight="1">
      <c r="A45" s="436"/>
      <c r="B45" s="436"/>
      <c r="C45" s="436"/>
      <c r="D45" s="436"/>
      <c r="E45" s="119"/>
      <c r="F45" s="120"/>
      <c r="G45" s="119"/>
      <c r="H45" s="121"/>
    </row>
    <row r="46" spans="1:8" s="98" customFormat="1" ht="16.2" customHeight="1">
      <c r="A46" s="121"/>
      <c r="B46" s="121"/>
      <c r="C46" s="121"/>
      <c r="D46" s="122"/>
      <c r="E46" s="119"/>
      <c r="F46" s="120"/>
      <c r="G46" s="119"/>
      <c r="H46" s="121"/>
    </row>
    <row r="47" spans="1:8" ht="16.2" customHeight="1">
      <c r="A47" s="83"/>
      <c r="B47" s="83"/>
      <c r="C47" s="83"/>
      <c r="D47" s="84"/>
      <c r="E47" s="85"/>
      <c r="F47" s="86"/>
      <c r="G47" s="85"/>
      <c r="H47" s="83"/>
    </row>
    <row r="48" spans="1:8" ht="16.2" customHeight="1">
      <c r="A48" s="83"/>
      <c r="B48" s="83"/>
      <c r="C48" s="83"/>
      <c r="D48" s="84"/>
      <c r="E48" s="85"/>
      <c r="F48" s="86"/>
      <c r="G48" s="85"/>
      <c r="H48" s="83"/>
    </row>
    <row r="49" spans="1:8" ht="16.2" customHeight="1">
      <c r="A49" s="83"/>
      <c r="B49" s="83"/>
      <c r="C49" s="83"/>
      <c r="D49" s="84"/>
      <c r="E49" s="85"/>
      <c r="F49" s="86"/>
      <c r="G49" s="85"/>
      <c r="H49" s="83"/>
    </row>
    <row r="50" spans="1:8" ht="16.2" customHeight="1">
      <c r="A50" s="83"/>
      <c r="B50" s="83"/>
      <c r="C50" s="83"/>
      <c r="D50" s="84"/>
      <c r="E50" s="437"/>
      <c r="F50" s="437"/>
      <c r="G50" s="437"/>
      <c r="H50" s="437"/>
    </row>
    <row r="51" spans="1:8" ht="20.25" customHeight="1">
      <c r="A51" s="438"/>
      <c r="B51" s="438"/>
      <c r="C51" s="438"/>
      <c r="D51" s="438"/>
      <c r="E51" s="438"/>
      <c r="F51" s="438"/>
      <c r="G51" s="438"/>
      <c r="H51" s="438"/>
    </row>
    <row r="52" spans="1:8" s="17" customFormat="1" ht="16.2" customHeight="1">
      <c r="D52" s="18"/>
      <c r="E52" s="19"/>
      <c r="F52" s="97"/>
      <c r="G52" s="19"/>
    </row>
    <row r="53" spans="1:8" s="17" customFormat="1" ht="16.2" customHeight="1">
      <c r="D53" s="18"/>
      <c r="E53" s="19"/>
      <c r="F53" s="97"/>
      <c r="G53" s="19"/>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C68" s="97"/>
      <c r="D68" s="20"/>
      <c r="E68" s="19"/>
      <c r="F68" s="97"/>
      <c r="G68" s="19"/>
    </row>
    <row r="69" spans="3:7" s="17" customFormat="1" ht="16.2" customHeight="1">
      <c r="C69" s="97"/>
      <c r="D69" s="20"/>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ht="16.2" customHeight="1"/>
    <row r="81" ht="16.2" customHeight="1"/>
    <row r="82" ht="16.2" customHeight="1"/>
    <row r="83" ht="16.2" customHeight="1"/>
    <row r="84" ht="16.2" customHeight="1"/>
    <row r="85" ht="16.2" customHeight="1"/>
    <row r="86" ht="16.2" customHeight="1"/>
    <row r="87" ht="16.2" customHeight="1"/>
    <row r="88" ht="16.2" customHeight="1"/>
    <row r="89" ht="16.2" customHeight="1"/>
    <row r="90" ht="16.2" customHeight="1"/>
    <row r="91" ht="16.2" customHeight="1"/>
    <row r="92" ht="16.2" customHeight="1"/>
    <row r="93" ht="16.2" customHeight="1"/>
    <row r="94" ht="16.2" customHeight="1"/>
    <row r="95" ht="16.2" customHeight="1"/>
    <row r="96"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row r="227"/>
    <row r="228"/>
    <row r="229"/>
    <row r="230"/>
    <row r="231"/>
    <row r="232"/>
    <row r="233"/>
    <row r="234"/>
    <row r="235"/>
    <row r="236"/>
    <row r="237"/>
    <row r="238"/>
    <row r="239"/>
    <row r="240"/>
    <row r="24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sheetData>
  <mergeCells count="41">
    <mergeCell ref="E50:H50"/>
    <mergeCell ref="A51:H51"/>
    <mergeCell ref="A42:B42"/>
    <mergeCell ref="E42:H42"/>
    <mergeCell ref="A43:D43"/>
    <mergeCell ref="E43:H43"/>
    <mergeCell ref="A44:D44"/>
    <mergeCell ref="A45:D45"/>
    <mergeCell ref="A41:D41"/>
    <mergeCell ref="E41:H41"/>
    <mergeCell ref="C24:H24"/>
    <mergeCell ref="A25:B25"/>
    <mergeCell ref="C25:E25"/>
    <mergeCell ref="F25:H25"/>
    <mergeCell ref="C31:E31"/>
    <mergeCell ref="F31:H31"/>
    <mergeCell ref="A33:D33"/>
    <mergeCell ref="E33:H33"/>
    <mergeCell ref="A34:D34"/>
    <mergeCell ref="E34:H34"/>
    <mergeCell ref="E40:H40"/>
    <mergeCell ref="A22:H22"/>
    <mergeCell ref="A6:H6"/>
    <mergeCell ref="A7:H7"/>
    <mergeCell ref="A8:H8"/>
    <mergeCell ref="A9:H9"/>
    <mergeCell ref="A10:H10"/>
    <mergeCell ref="A11:H11"/>
    <mergeCell ref="B13:F13"/>
    <mergeCell ref="B15:F15"/>
    <mergeCell ref="B18:F18"/>
    <mergeCell ref="B20:F20"/>
    <mergeCell ref="B21:F21"/>
    <mergeCell ref="B16:F16"/>
    <mergeCell ref="A4:B4"/>
    <mergeCell ref="C4:H4"/>
    <mergeCell ref="A1:B1"/>
    <mergeCell ref="C1:H1"/>
    <mergeCell ref="A2:B2"/>
    <mergeCell ref="C2:H2"/>
    <mergeCell ref="A3:B3"/>
  </mergeCells>
  <dataValidations count="1">
    <dataValidation type="list" allowBlank="1" showInputMessage="1" showErrorMessage="1" sqref="WVJ983043:WVJ983060 B983043:B983060 IX983043:IX983060 ST983043:ST983060 ACP983043:ACP983060 AML983043:AML983060 AWH983043:AWH983060 BGD983043:BGD983060 BPZ983043:BPZ983060 BZV983043:BZV983060 CJR983043:CJR983060 CTN983043:CTN983060 DDJ983043:DDJ983060 DNF983043:DNF983060 DXB983043:DXB983060 EGX983043:EGX983060 EQT983043:EQT983060 FAP983043:FAP983060 FKL983043:FKL983060 FUH983043:FUH983060 GED983043:GED983060 GNZ983043:GNZ983060 GXV983043:GXV983060 HHR983043:HHR983060 HRN983043:HRN983060 IBJ983043:IBJ983060 ILF983043:ILF983060 IVB983043:IVB983060 JEX983043:JEX983060 JOT983043:JOT983060 JYP983043:JYP983060 KIL983043:KIL983060 KSH983043:KSH983060 LCD983043:LCD983060 LLZ983043:LLZ983060 LVV983043:LVV983060 MFR983043:MFR983060 MPN983043:MPN983060 MZJ983043:MZJ983060 NJF983043:NJF983060 NTB983043:NTB983060 OCX983043:OCX983060 OMT983043:OMT983060 OWP983043:OWP983060 PGL983043:PGL983060 PQH983043:PQH983060 QAD983043:QAD983060 QJZ983043:QJZ983060 QTV983043:QTV983060 RDR983043:RDR983060 RNN983043:RNN983060 RXJ983043:RXJ983060 SHF983043:SHF983060 SRB983043:SRB983060 TAX983043:TAX983060 TKT983043:TKT983060 TUP983043:TUP983060 UEL983043:UEL983060 UOH983043:UOH983060 UYD983043:UYD983060 VHZ983043:VHZ983060 VRV983043:VRV983060 WBR983043:WBR983060 WLN983043:WLN983060 B65539:B65556 IX65539:IX65556 ST65539:ST65556 ACP65539:ACP65556 AML65539:AML65556 AWH65539:AWH65556 BGD65539:BGD65556 BPZ65539:BPZ65556 BZV65539:BZV65556 CJR65539:CJR65556 CTN65539:CTN65556 DDJ65539:DDJ65556 DNF65539:DNF65556 DXB65539:DXB65556 EGX65539:EGX65556 EQT65539:EQT65556 FAP65539:FAP65556 FKL65539:FKL65556 FUH65539:FUH65556 GED65539:GED65556 GNZ65539:GNZ65556 GXV65539:GXV65556 HHR65539:HHR65556 HRN65539:HRN65556 IBJ65539:IBJ65556 ILF65539:ILF65556 IVB65539:IVB65556 JEX65539:JEX65556 JOT65539:JOT65556 JYP65539:JYP65556 KIL65539:KIL65556 KSH65539:KSH65556 LCD65539:LCD65556 LLZ65539:LLZ65556 LVV65539:LVV65556 MFR65539:MFR65556 MPN65539:MPN65556 MZJ65539:MZJ65556 NJF65539:NJF65556 NTB65539:NTB65556 OCX65539:OCX65556 OMT65539:OMT65556 OWP65539:OWP65556 PGL65539:PGL65556 PQH65539:PQH65556 QAD65539:QAD65556 QJZ65539:QJZ65556 QTV65539:QTV65556 RDR65539:RDR65556 RNN65539:RNN65556 RXJ65539:RXJ65556 SHF65539:SHF65556 SRB65539:SRB65556 TAX65539:TAX65556 TKT65539:TKT65556 TUP65539:TUP65556 UEL65539:UEL65556 UOH65539:UOH65556 UYD65539:UYD65556 VHZ65539:VHZ65556 VRV65539:VRV65556 WBR65539:WBR65556 WLN65539:WLN65556 WVJ65539:WVJ65556 B131075:B131092 IX131075:IX131092 ST131075:ST131092 ACP131075:ACP131092 AML131075:AML131092 AWH131075:AWH131092 BGD131075:BGD131092 BPZ131075:BPZ131092 BZV131075:BZV131092 CJR131075:CJR131092 CTN131075:CTN131092 DDJ131075:DDJ131092 DNF131075:DNF131092 DXB131075:DXB131092 EGX131075:EGX131092 EQT131075:EQT131092 FAP131075:FAP131092 FKL131075:FKL131092 FUH131075:FUH131092 GED131075:GED131092 GNZ131075:GNZ131092 GXV131075:GXV131092 HHR131075:HHR131092 HRN131075:HRN131092 IBJ131075:IBJ131092 ILF131075:ILF131092 IVB131075:IVB131092 JEX131075:JEX131092 JOT131075:JOT131092 JYP131075:JYP131092 KIL131075:KIL131092 KSH131075:KSH131092 LCD131075:LCD131092 LLZ131075:LLZ131092 LVV131075:LVV131092 MFR131075:MFR131092 MPN131075:MPN131092 MZJ131075:MZJ131092 NJF131075:NJF131092 NTB131075:NTB131092 OCX131075:OCX131092 OMT131075:OMT131092 OWP131075:OWP131092 PGL131075:PGL131092 PQH131075:PQH131092 QAD131075:QAD131092 QJZ131075:QJZ131092 QTV131075:QTV131092 RDR131075:RDR131092 RNN131075:RNN131092 RXJ131075:RXJ131092 SHF131075:SHF131092 SRB131075:SRB131092 TAX131075:TAX131092 TKT131075:TKT131092 TUP131075:TUP131092 UEL131075:UEL131092 UOH131075:UOH131092 UYD131075:UYD131092 VHZ131075:VHZ131092 VRV131075:VRV131092 WBR131075:WBR131092 WLN131075:WLN131092 WVJ131075:WVJ131092 B196611:B196628 IX196611:IX196628 ST196611:ST196628 ACP196611:ACP196628 AML196611:AML196628 AWH196611:AWH196628 BGD196611:BGD196628 BPZ196611:BPZ196628 BZV196611:BZV196628 CJR196611:CJR196628 CTN196611:CTN196628 DDJ196611:DDJ196628 DNF196611:DNF196628 DXB196611:DXB196628 EGX196611:EGX196628 EQT196611:EQT196628 FAP196611:FAP196628 FKL196611:FKL196628 FUH196611:FUH196628 GED196611:GED196628 GNZ196611:GNZ196628 GXV196611:GXV196628 HHR196611:HHR196628 HRN196611:HRN196628 IBJ196611:IBJ196628 ILF196611:ILF196628 IVB196611:IVB196628 JEX196611:JEX196628 JOT196611:JOT196628 JYP196611:JYP196628 KIL196611:KIL196628 KSH196611:KSH196628 LCD196611:LCD196628 LLZ196611:LLZ196628 LVV196611:LVV196628 MFR196611:MFR196628 MPN196611:MPN196628 MZJ196611:MZJ196628 NJF196611:NJF196628 NTB196611:NTB196628 OCX196611:OCX196628 OMT196611:OMT196628 OWP196611:OWP196628 PGL196611:PGL196628 PQH196611:PQH196628 QAD196611:QAD196628 QJZ196611:QJZ196628 QTV196611:QTV196628 RDR196611:RDR196628 RNN196611:RNN196628 RXJ196611:RXJ196628 SHF196611:SHF196628 SRB196611:SRB196628 TAX196611:TAX196628 TKT196611:TKT196628 TUP196611:TUP196628 UEL196611:UEL196628 UOH196611:UOH196628 UYD196611:UYD196628 VHZ196611:VHZ196628 VRV196611:VRV196628 WBR196611:WBR196628 WLN196611:WLN196628 WVJ196611:WVJ196628 B262147:B262164 IX262147:IX262164 ST262147:ST262164 ACP262147:ACP262164 AML262147:AML262164 AWH262147:AWH262164 BGD262147:BGD262164 BPZ262147:BPZ262164 BZV262147:BZV262164 CJR262147:CJR262164 CTN262147:CTN262164 DDJ262147:DDJ262164 DNF262147:DNF262164 DXB262147:DXB262164 EGX262147:EGX262164 EQT262147:EQT262164 FAP262147:FAP262164 FKL262147:FKL262164 FUH262147:FUH262164 GED262147:GED262164 GNZ262147:GNZ262164 GXV262147:GXV262164 HHR262147:HHR262164 HRN262147:HRN262164 IBJ262147:IBJ262164 ILF262147:ILF262164 IVB262147:IVB262164 JEX262147:JEX262164 JOT262147:JOT262164 JYP262147:JYP262164 KIL262147:KIL262164 KSH262147:KSH262164 LCD262147:LCD262164 LLZ262147:LLZ262164 LVV262147:LVV262164 MFR262147:MFR262164 MPN262147:MPN262164 MZJ262147:MZJ262164 NJF262147:NJF262164 NTB262147:NTB262164 OCX262147:OCX262164 OMT262147:OMT262164 OWP262147:OWP262164 PGL262147:PGL262164 PQH262147:PQH262164 QAD262147:QAD262164 QJZ262147:QJZ262164 QTV262147:QTV262164 RDR262147:RDR262164 RNN262147:RNN262164 RXJ262147:RXJ262164 SHF262147:SHF262164 SRB262147:SRB262164 TAX262147:TAX262164 TKT262147:TKT262164 TUP262147:TUP262164 UEL262147:UEL262164 UOH262147:UOH262164 UYD262147:UYD262164 VHZ262147:VHZ262164 VRV262147:VRV262164 WBR262147:WBR262164 WLN262147:WLN262164 WVJ262147:WVJ262164 B327683:B327700 IX327683:IX327700 ST327683:ST327700 ACP327683:ACP327700 AML327683:AML327700 AWH327683:AWH327700 BGD327683:BGD327700 BPZ327683:BPZ327700 BZV327683:BZV327700 CJR327683:CJR327700 CTN327683:CTN327700 DDJ327683:DDJ327700 DNF327683:DNF327700 DXB327683:DXB327700 EGX327683:EGX327700 EQT327683:EQT327700 FAP327683:FAP327700 FKL327683:FKL327700 FUH327683:FUH327700 GED327683:GED327700 GNZ327683:GNZ327700 GXV327683:GXV327700 HHR327683:HHR327700 HRN327683:HRN327700 IBJ327683:IBJ327700 ILF327683:ILF327700 IVB327683:IVB327700 JEX327683:JEX327700 JOT327683:JOT327700 JYP327683:JYP327700 KIL327683:KIL327700 KSH327683:KSH327700 LCD327683:LCD327700 LLZ327683:LLZ327700 LVV327683:LVV327700 MFR327683:MFR327700 MPN327683:MPN327700 MZJ327683:MZJ327700 NJF327683:NJF327700 NTB327683:NTB327700 OCX327683:OCX327700 OMT327683:OMT327700 OWP327683:OWP327700 PGL327683:PGL327700 PQH327683:PQH327700 QAD327683:QAD327700 QJZ327683:QJZ327700 QTV327683:QTV327700 RDR327683:RDR327700 RNN327683:RNN327700 RXJ327683:RXJ327700 SHF327683:SHF327700 SRB327683:SRB327700 TAX327683:TAX327700 TKT327683:TKT327700 TUP327683:TUP327700 UEL327683:UEL327700 UOH327683:UOH327700 UYD327683:UYD327700 VHZ327683:VHZ327700 VRV327683:VRV327700 WBR327683:WBR327700 WLN327683:WLN327700 WVJ327683:WVJ327700 B393219:B393236 IX393219:IX393236 ST393219:ST393236 ACP393219:ACP393236 AML393219:AML393236 AWH393219:AWH393236 BGD393219:BGD393236 BPZ393219:BPZ393236 BZV393219:BZV393236 CJR393219:CJR393236 CTN393219:CTN393236 DDJ393219:DDJ393236 DNF393219:DNF393236 DXB393219:DXB393236 EGX393219:EGX393236 EQT393219:EQT393236 FAP393219:FAP393236 FKL393219:FKL393236 FUH393219:FUH393236 GED393219:GED393236 GNZ393219:GNZ393236 GXV393219:GXV393236 HHR393219:HHR393236 HRN393219:HRN393236 IBJ393219:IBJ393236 ILF393219:ILF393236 IVB393219:IVB393236 JEX393219:JEX393236 JOT393219:JOT393236 JYP393219:JYP393236 KIL393219:KIL393236 KSH393219:KSH393236 LCD393219:LCD393236 LLZ393219:LLZ393236 LVV393219:LVV393236 MFR393219:MFR393236 MPN393219:MPN393236 MZJ393219:MZJ393236 NJF393219:NJF393236 NTB393219:NTB393236 OCX393219:OCX393236 OMT393219:OMT393236 OWP393219:OWP393236 PGL393219:PGL393236 PQH393219:PQH393236 QAD393219:QAD393236 QJZ393219:QJZ393236 QTV393219:QTV393236 RDR393219:RDR393236 RNN393219:RNN393236 RXJ393219:RXJ393236 SHF393219:SHF393236 SRB393219:SRB393236 TAX393219:TAX393236 TKT393219:TKT393236 TUP393219:TUP393236 UEL393219:UEL393236 UOH393219:UOH393236 UYD393219:UYD393236 VHZ393219:VHZ393236 VRV393219:VRV393236 WBR393219:WBR393236 WLN393219:WLN393236 WVJ393219:WVJ393236 B458755:B458772 IX458755:IX458772 ST458755:ST458772 ACP458755:ACP458772 AML458755:AML458772 AWH458755:AWH458772 BGD458755:BGD458772 BPZ458755:BPZ458772 BZV458755:BZV458772 CJR458755:CJR458772 CTN458755:CTN458772 DDJ458755:DDJ458772 DNF458755:DNF458772 DXB458755:DXB458772 EGX458755:EGX458772 EQT458755:EQT458772 FAP458755:FAP458772 FKL458755:FKL458772 FUH458755:FUH458772 GED458755:GED458772 GNZ458755:GNZ458772 GXV458755:GXV458772 HHR458755:HHR458772 HRN458755:HRN458772 IBJ458755:IBJ458772 ILF458755:ILF458772 IVB458755:IVB458772 JEX458755:JEX458772 JOT458755:JOT458772 JYP458755:JYP458772 KIL458755:KIL458772 KSH458755:KSH458772 LCD458755:LCD458772 LLZ458755:LLZ458772 LVV458755:LVV458772 MFR458755:MFR458772 MPN458755:MPN458772 MZJ458755:MZJ458772 NJF458755:NJF458772 NTB458755:NTB458772 OCX458755:OCX458772 OMT458755:OMT458772 OWP458755:OWP458772 PGL458755:PGL458772 PQH458755:PQH458772 QAD458755:QAD458772 QJZ458755:QJZ458772 QTV458755:QTV458772 RDR458755:RDR458772 RNN458755:RNN458772 RXJ458755:RXJ458772 SHF458755:SHF458772 SRB458755:SRB458772 TAX458755:TAX458772 TKT458755:TKT458772 TUP458755:TUP458772 UEL458755:UEL458772 UOH458755:UOH458772 UYD458755:UYD458772 VHZ458755:VHZ458772 VRV458755:VRV458772 WBR458755:WBR458772 WLN458755:WLN458772 WVJ458755:WVJ458772 B524291:B524308 IX524291:IX524308 ST524291:ST524308 ACP524291:ACP524308 AML524291:AML524308 AWH524291:AWH524308 BGD524291:BGD524308 BPZ524291:BPZ524308 BZV524291:BZV524308 CJR524291:CJR524308 CTN524291:CTN524308 DDJ524291:DDJ524308 DNF524291:DNF524308 DXB524291:DXB524308 EGX524291:EGX524308 EQT524291:EQT524308 FAP524291:FAP524308 FKL524291:FKL524308 FUH524291:FUH524308 GED524291:GED524308 GNZ524291:GNZ524308 GXV524291:GXV524308 HHR524291:HHR524308 HRN524291:HRN524308 IBJ524291:IBJ524308 ILF524291:ILF524308 IVB524291:IVB524308 JEX524291:JEX524308 JOT524291:JOT524308 JYP524291:JYP524308 KIL524291:KIL524308 KSH524291:KSH524308 LCD524291:LCD524308 LLZ524291:LLZ524308 LVV524291:LVV524308 MFR524291:MFR524308 MPN524291:MPN524308 MZJ524291:MZJ524308 NJF524291:NJF524308 NTB524291:NTB524308 OCX524291:OCX524308 OMT524291:OMT524308 OWP524291:OWP524308 PGL524291:PGL524308 PQH524291:PQH524308 QAD524291:QAD524308 QJZ524291:QJZ524308 QTV524291:QTV524308 RDR524291:RDR524308 RNN524291:RNN524308 RXJ524291:RXJ524308 SHF524291:SHF524308 SRB524291:SRB524308 TAX524291:TAX524308 TKT524291:TKT524308 TUP524291:TUP524308 UEL524291:UEL524308 UOH524291:UOH524308 UYD524291:UYD524308 VHZ524291:VHZ524308 VRV524291:VRV524308 WBR524291:WBR524308 WLN524291:WLN524308 WVJ524291:WVJ524308 B589827:B589844 IX589827:IX589844 ST589827:ST589844 ACP589827:ACP589844 AML589827:AML589844 AWH589827:AWH589844 BGD589827:BGD589844 BPZ589827:BPZ589844 BZV589827:BZV589844 CJR589827:CJR589844 CTN589827:CTN589844 DDJ589827:DDJ589844 DNF589827:DNF589844 DXB589827:DXB589844 EGX589827:EGX589844 EQT589827:EQT589844 FAP589827:FAP589844 FKL589827:FKL589844 FUH589827:FUH589844 GED589827:GED589844 GNZ589827:GNZ589844 GXV589827:GXV589844 HHR589827:HHR589844 HRN589827:HRN589844 IBJ589827:IBJ589844 ILF589827:ILF589844 IVB589827:IVB589844 JEX589827:JEX589844 JOT589827:JOT589844 JYP589827:JYP589844 KIL589827:KIL589844 KSH589827:KSH589844 LCD589827:LCD589844 LLZ589827:LLZ589844 LVV589827:LVV589844 MFR589827:MFR589844 MPN589827:MPN589844 MZJ589827:MZJ589844 NJF589827:NJF589844 NTB589827:NTB589844 OCX589827:OCX589844 OMT589827:OMT589844 OWP589827:OWP589844 PGL589827:PGL589844 PQH589827:PQH589844 QAD589827:QAD589844 QJZ589827:QJZ589844 QTV589827:QTV589844 RDR589827:RDR589844 RNN589827:RNN589844 RXJ589827:RXJ589844 SHF589827:SHF589844 SRB589827:SRB589844 TAX589827:TAX589844 TKT589827:TKT589844 TUP589827:TUP589844 UEL589827:UEL589844 UOH589827:UOH589844 UYD589827:UYD589844 VHZ589827:VHZ589844 VRV589827:VRV589844 WBR589827:WBR589844 WLN589827:WLN589844 WVJ589827:WVJ589844 B655363:B655380 IX655363:IX655380 ST655363:ST655380 ACP655363:ACP655380 AML655363:AML655380 AWH655363:AWH655380 BGD655363:BGD655380 BPZ655363:BPZ655380 BZV655363:BZV655380 CJR655363:CJR655380 CTN655363:CTN655380 DDJ655363:DDJ655380 DNF655363:DNF655380 DXB655363:DXB655380 EGX655363:EGX655380 EQT655363:EQT655380 FAP655363:FAP655380 FKL655363:FKL655380 FUH655363:FUH655380 GED655363:GED655380 GNZ655363:GNZ655380 GXV655363:GXV655380 HHR655363:HHR655380 HRN655363:HRN655380 IBJ655363:IBJ655380 ILF655363:ILF655380 IVB655363:IVB655380 JEX655363:JEX655380 JOT655363:JOT655380 JYP655363:JYP655380 KIL655363:KIL655380 KSH655363:KSH655380 LCD655363:LCD655380 LLZ655363:LLZ655380 LVV655363:LVV655380 MFR655363:MFR655380 MPN655363:MPN655380 MZJ655363:MZJ655380 NJF655363:NJF655380 NTB655363:NTB655380 OCX655363:OCX655380 OMT655363:OMT655380 OWP655363:OWP655380 PGL655363:PGL655380 PQH655363:PQH655380 QAD655363:QAD655380 QJZ655363:QJZ655380 QTV655363:QTV655380 RDR655363:RDR655380 RNN655363:RNN655380 RXJ655363:RXJ655380 SHF655363:SHF655380 SRB655363:SRB655380 TAX655363:TAX655380 TKT655363:TKT655380 TUP655363:TUP655380 UEL655363:UEL655380 UOH655363:UOH655380 UYD655363:UYD655380 VHZ655363:VHZ655380 VRV655363:VRV655380 WBR655363:WBR655380 WLN655363:WLN655380 WVJ655363:WVJ655380 B720899:B720916 IX720899:IX720916 ST720899:ST720916 ACP720899:ACP720916 AML720899:AML720916 AWH720899:AWH720916 BGD720899:BGD720916 BPZ720899:BPZ720916 BZV720899:BZV720916 CJR720899:CJR720916 CTN720899:CTN720916 DDJ720899:DDJ720916 DNF720899:DNF720916 DXB720899:DXB720916 EGX720899:EGX720916 EQT720899:EQT720916 FAP720899:FAP720916 FKL720899:FKL720916 FUH720899:FUH720916 GED720899:GED720916 GNZ720899:GNZ720916 GXV720899:GXV720916 HHR720899:HHR720916 HRN720899:HRN720916 IBJ720899:IBJ720916 ILF720899:ILF720916 IVB720899:IVB720916 JEX720899:JEX720916 JOT720899:JOT720916 JYP720899:JYP720916 KIL720899:KIL720916 KSH720899:KSH720916 LCD720899:LCD720916 LLZ720899:LLZ720916 LVV720899:LVV720916 MFR720899:MFR720916 MPN720899:MPN720916 MZJ720899:MZJ720916 NJF720899:NJF720916 NTB720899:NTB720916 OCX720899:OCX720916 OMT720899:OMT720916 OWP720899:OWP720916 PGL720899:PGL720916 PQH720899:PQH720916 QAD720899:QAD720916 QJZ720899:QJZ720916 QTV720899:QTV720916 RDR720899:RDR720916 RNN720899:RNN720916 RXJ720899:RXJ720916 SHF720899:SHF720916 SRB720899:SRB720916 TAX720899:TAX720916 TKT720899:TKT720916 TUP720899:TUP720916 UEL720899:UEL720916 UOH720899:UOH720916 UYD720899:UYD720916 VHZ720899:VHZ720916 VRV720899:VRV720916 WBR720899:WBR720916 WLN720899:WLN720916 WVJ720899:WVJ720916 B786435:B786452 IX786435:IX786452 ST786435:ST786452 ACP786435:ACP786452 AML786435:AML786452 AWH786435:AWH786452 BGD786435:BGD786452 BPZ786435:BPZ786452 BZV786435:BZV786452 CJR786435:CJR786452 CTN786435:CTN786452 DDJ786435:DDJ786452 DNF786435:DNF786452 DXB786435:DXB786452 EGX786435:EGX786452 EQT786435:EQT786452 FAP786435:FAP786452 FKL786435:FKL786452 FUH786435:FUH786452 GED786435:GED786452 GNZ786435:GNZ786452 GXV786435:GXV786452 HHR786435:HHR786452 HRN786435:HRN786452 IBJ786435:IBJ786452 ILF786435:ILF786452 IVB786435:IVB786452 JEX786435:JEX786452 JOT786435:JOT786452 JYP786435:JYP786452 KIL786435:KIL786452 KSH786435:KSH786452 LCD786435:LCD786452 LLZ786435:LLZ786452 LVV786435:LVV786452 MFR786435:MFR786452 MPN786435:MPN786452 MZJ786435:MZJ786452 NJF786435:NJF786452 NTB786435:NTB786452 OCX786435:OCX786452 OMT786435:OMT786452 OWP786435:OWP786452 PGL786435:PGL786452 PQH786435:PQH786452 QAD786435:QAD786452 QJZ786435:QJZ786452 QTV786435:QTV786452 RDR786435:RDR786452 RNN786435:RNN786452 RXJ786435:RXJ786452 SHF786435:SHF786452 SRB786435:SRB786452 TAX786435:TAX786452 TKT786435:TKT786452 TUP786435:TUP786452 UEL786435:UEL786452 UOH786435:UOH786452 UYD786435:UYD786452 VHZ786435:VHZ786452 VRV786435:VRV786452 WBR786435:WBR786452 WLN786435:WLN786452 WVJ786435:WVJ786452 B851971:B851988 IX851971:IX851988 ST851971:ST851988 ACP851971:ACP851988 AML851971:AML851988 AWH851971:AWH851988 BGD851971:BGD851988 BPZ851971:BPZ851988 BZV851971:BZV851988 CJR851971:CJR851988 CTN851971:CTN851988 DDJ851971:DDJ851988 DNF851971:DNF851988 DXB851971:DXB851988 EGX851971:EGX851988 EQT851971:EQT851988 FAP851971:FAP851988 FKL851971:FKL851988 FUH851971:FUH851988 GED851971:GED851988 GNZ851971:GNZ851988 GXV851971:GXV851988 HHR851971:HHR851988 HRN851971:HRN851988 IBJ851971:IBJ851988 ILF851971:ILF851988 IVB851971:IVB851988 JEX851971:JEX851988 JOT851971:JOT851988 JYP851971:JYP851988 KIL851971:KIL851988 KSH851971:KSH851988 LCD851971:LCD851988 LLZ851971:LLZ851988 LVV851971:LVV851988 MFR851971:MFR851988 MPN851971:MPN851988 MZJ851971:MZJ851988 NJF851971:NJF851988 NTB851971:NTB851988 OCX851971:OCX851988 OMT851971:OMT851988 OWP851971:OWP851988 PGL851971:PGL851988 PQH851971:PQH851988 QAD851971:QAD851988 QJZ851971:QJZ851988 QTV851971:QTV851988 RDR851971:RDR851988 RNN851971:RNN851988 RXJ851971:RXJ851988 SHF851971:SHF851988 SRB851971:SRB851988 TAX851971:TAX851988 TKT851971:TKT851988 TUP851971:TUP851988 UEL851971:UEL851988 UOH851971:UOH851988 UYD851971:UYD851988 VHZ851971:VHZ851988 VRV851971:VRV851988 WBR851971:WBR851988 WLN851971:WLN851988 WVJ851971:WVJ851988 B917507:B917524 IX917507:IX917524 ST917507:ST917524 ACP917507:ACP917524 AML917507:AML917524 AWH917507:AWH917524 BGD917507:BGD917524 BPZ917507:BPZ917524 BZV917507:BZV917524 CJR917507:CJR917524 CTN917507:CTN917524 DDJ917507:DDJ917524 DNF917507:DNF917524 DXB917507:DXB917524 EGX917507:EGX917524 EQT917507:EQT917524 FAP917507:FAP917524 FKL917507:FKL917524 FUH917507:FUH917524 GED917507:GED917524 GNZ917507:GNZ917524 GXV917507:GXV917524 HHR917507:HHR917524 HRN917507:HRN917524 IBJ917507:IBJ917524 ILF917507:ILF917524 IVB917507:IVB917524 JEX917507:JEX917524 JOT917507:JOT917524 JYP917507:JYP917524 KIL917507:KIL917524 KSH917507:KSH917524 LCD917507:LCD917524 LLZ917507:LLZ917524 LVV917507:LVV917524 MFR917507:MFR917524 MPN917507:MPN917524 MZJ917507:MZJ917524 NJF917507:NJF917524 NTB917507:NTB917524 OCX917507:OCX917524 OMT917507:OMT917524 OWP917507:OWP917524 PGL917507:PGL917524 PQH917507:PQH917524 QAD917507:QAD917524 QJZ917507:QJZ917524 QTV917507:QTV917524 RDR917507:RDR917524 RNN917507:RNN917524 RXJ917507:RXJ917524 SHF917507:SHF917524 SRB917507:SRB917524 TAX917507:TAX917524 TKT917507:TKT917524 TUP917507:TUP917524 UEL917507:UEL917524 UOH917507:UOH917524 UYD917507:UYD917524 VHZ917507:VHZ917524 VRV917507:VRV917524 WBR917507:WBR917524 WLN917507:WLN917524 WVJ917507:WVJ917524" xr:uid="{00000000-0002-0000-1B00-000000000000}">
      <formula1>trung</formula1>
    </dataValidation>
  </dataValidation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379"/>
  <sheetViews>
    <sheetView topLeftCell="A15" workbookViewId="0">
      <selection activeCell="A14" sqref="A14:XFD14"/>
    </sheetView>
  </sheetViews>
  <sheetFormatPr defaultColWidth="40.5" defaultRowHeight="15" customHeight="1" zeroHeight="1"/>
  <cols>
    <col min="1" max="1" width="4.19921875" style="16" customWidth="1"/>
    <col min="2" max="2" width="23.5" style="16" customWidth="1"/>
    <col min="3" max="3" width="5" style="87" customWidth="1"/>
    <col min="4" max="4" width="6.19921875" style="88" customWidth="1"/>
    <col min="5" max="5" width="10.8984375" style="89" customWidth="1"/>
    <col min="6" max="6" width="5.8984375" style="87" customWidth="1"/>
    <col min="7" max="7" width="10" style="89" customWidth="1"/>
    <col min="8" max="8" width="7.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57"/>
      <c r="G3" s="102"/>
      <c r="H3" s="103"/>
    </row>
    <row r="4" spans="1:8" s="98" customFormat="1" ht="18" customHeight="1">
      <c r="A4" s="414"/>
      <c r="B4" s="414"/>
      <c r="C4" s="415" t="s">
        <v>1740</v>
      </c>
      <c r="D4" s="416"/>
      <c r="E4" s="416"/>
      <c r="F4" s="416"/>
      <c r="G4" s="416"/>
      <c r="H4" s="416"/>
    </row>
    <row r="5" spans="1:8" s="98" customFormat="1" ht="15.6">
      <c r="A5" s="104"/>
      <c r="B5" s="104"/>
      <c r="C5" s="156"/>
      <c r="D5" s="105"/>
      <c r="E5" s="106"/>
      <c r="F5" s="156"/>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1894</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1895</v>
      </c>
      <c r="C13" s="425"/>
      <c r="D13" s="425"/>
      <c r="E13" s="425"/>
      <c r="F13" s="425"/>
      <c r="G13" s="73">
        <f>G14</f>
        <v>11800000</v>
      </c>
      <c r="H13" s="74"/>
    </row>
    <row r="14" spans="1:8" s="131" customFormat="1" ht="183" customHeight="1">
      <c r="A14" s="123"/>
      <c r="B14" s="124" t="s">
        <v>2054</v>
      </c>
      <c r="C14" s="125" t="s">
        <v>1753</v>
      </c>
      <c r="D14" s="126">
        <v>2</v>
      </c>
      <c r="E14" s="127">
        <v>11800000</v>
      </c>
      <c r="F14" s="188">
        <v>0.5</v>
      </c>
      <c r="G14" s="129">
        <f>D14*E14*F14</f>
        <v>11800000</v>
      </c>
      <c r="H14" s="130"/>
    </row>
    <row r="15" spans="1:8" ht="27" customHeight="1">
      <c r="A15" s="75" t="s">
        <v>18</v>
      </c>
      <c r="B15" s="426" t="s">
        <v>1725</v>
      </c>
      <c r="C15" s="426"/>
      <c r="D15" s="426"/>
      <c r="E15" s="426"/>
      <c r="F15" s="426"/>
      <c r="G15" s="76">
        <f>SUM(G17:G21)</f>
        <v>4292653.0855999999</v>
      </c>
      <c r="H15" s="11"/>
    </row>
    <row r="16" spans="1:8" ht="60" customHeight="1">
      <c r="A16" s="75"/>
      <c r="B16" s="433" t="s">
        <v>2039</v>
      </c>
      <c r="C16" s="434"/>
      <c r="D16" s="434"/>
      <c r="E16" s="434"/>
      <c r="F16" s="435"/>
      <c r="G16" s="76"/>
      <c r="H16" s="11"/>
    </row>
    <row r="17" spans="1:8" ht="31.2">
      <c r="A17" s="77">
        <v>1</v>
      </c>
      <c r="B17" s="78" t="s">
        <v>1896</v>
      </c>
      <c r="C17" s="14" t="s">
        <v>1754</v>
      </c>
      <c r="D17" s="132">
        <f>3*1.3*0.11</f>
        <v>0.42900000000000005</v>
      </c>
      <c r="E17" s="15">
        <v>2126713</v>
      </c>
      <c r="F17" s="187">
        <v>0.8</v>
      </c>
      <c r="G17" s="79">
        <f t="shared" ref="G17:G21" si="0">D17*E17*F17</f>
        <v>729887.9016000001</v>
      </c>
      <c r="H17" s="15"/>
    </row>
    <row r="18" spans="1:8" ht="15.6">
      <c r="A18" s="77"/>
      <c r="B18" s="78" t="s">
        <v>1979</v>
      </c>
      <c r="C18" s="14" t="s">
        <v>66</v>
      </c>
      <c r="D18" s="132">
        <f>3*1.3*2</f>
        <v>7.8000000000000007</v>
      </c>
      <c r="E18" s="15">
        <v>141099</v>
      </c>
      <c r="F18" s="187">
        <v>0.8</v>
      </c>
      <c r="G18" s="79">
        <f t="shared" si="0"/>
        <v>880457.76000000024</v>
      </c>
      <c r="H18" s="15"/>
    </row>
    <row r="19" spans="1:8" ht="31.2">
      <c r="A19" s="77">
        <v>2</v>
      </c>
      <c r="B19" s="78" t="s">
        <v>1897</v>
      </c>
      <c r="C19" s="14" t="s">
        <v>1754</v>
      </c>
      <c r="D19" s="132">
        <f>0.4*0.5*2</f>
        <v>0.4</v>
      </c>
      <c r="E19" s="15">
        <v>2623803</v>
      </c>
      <c r="F19" s="187">
        <v>0.8</v>
      </c>
      <c r="G19" s="79">
        <f t="shared" si="0"/>
        <v>839616.96</v>
      </c>
      <c r="H19" s="15"/>
    </row>
    <row r="20" spans="1:8" ht="30.6" customHeight="1">
      <c r="A20" s="77"/>
      <c r="B20" s="78" t="s">
        <v>1980</v>
      </c>
      <c r="C20" s="14" t="s">
        <v>66</v>
      </c>
      <c r="D20" s="132">
        <f>(0.4+0.5)*2*2</f>
        <v>3.6</v>
      </c>
      <c r="E20" s="15">
        <v>250492</v>
      </c>
      <c r="F20" s="187">
        <v>0.8</v>
      </c>
      <c r="G20" s="79">
        <f t="shared" si="0"/>
        <v>721416.96000000008</v>
      </c>
      <c r="H20" s="15"/>
    </row>
    <row r="21" spans="1:8" ht="15.6">
      <c r="A21" s="77">
        <v>3</v>
      </c>
      <c r="B21" s="78" t="s">
        <v>1898</v>
      </c>
      <c r="C21" s="14" t="s">
        <v>1754</v>
      </c>
      <c r="D21" s="132">
        <f>4.3*2*0.1</f>
        <v>0.86</v>
      </c>
      <c r="E21" s="15">
        <v>1629758</v>
      </c>
      <c r="F21" s="187">
        <v>0.8</v>
      </c>
      <c r="G21" s="79">
        <f t="shared" si="0"/>
        <v>1121273.504</v>
      </c>
      <c r="H21" s="15"/>
    </row>
    <row r="22" spans="1:8" ht="24" customHeight="1">
      <c r="A22" s="75" t="s">
        <v>19</v>
      </c>
      <c r="B22" s="426" t="s">
        <v>1727</v>
      </c>
      <c r="C22" s="426"/>
      <c r="D22" s="426"/>
      <c r="E22" s="426"/>
      <c r="F22" s="426"/>
      <c r="G22" s="76">
        <f>SUM(G23:G23)</f>
        <v>0</v>
      </c>
      <c r="H22" s="11"/>
    </row>
    <row r="23" spans="1:8" ht="30.6" customHeight="1">
      <c r="A23" s="77"/>
      <c r="B23" s="78" t="s">
        <v>1728</v>
      </c>
      <c r="C23" s="13"/>
      <c r="D23" s="13"/>
      <c r="E23" s="13"/>
      <c r="F23" s="13"/>
      <c r="G23" s="79"/>
      <c r="H23" s="15"/>
    </row>
    <row r="24" spans="1:8" ht="15.6">
      <c r="A24" s="80"/>
      <c r="B24" s="427" t="s">
        <v>62</v>
      </c>
      <c r="C24" s="428"/>
      <c r="D24" s="428"/>
      <c r="E24" s="428"/>
      <c r="F24" s="429"/>
      <c r="G24" s="81">
        <f>G13+G15+G22</f>
        <v>16092653.0856</v>
      </c>
      <c r="H24" s="82"/>
    </row>
    <row r="25" spans="1:8" ht="15.6">
      <c r="A25" s="80"/>
      <c r="B25" s="427" t="s">
        <v>1726</v>
      </c>
      <c r="C25" s="428"/>
      <c r="D25" s="428"/>
      <c r="E25" s="428"/>
      <c r="F25" s="429"/>
      <c r="G25" s="81">
        <f>ROUND(G24,-3)</f>
        <v>16093000</v>
      </c>
      <c r="H25" s="82"/>
    </row>
    <row r="26" spans="1:8" ht="15.6">
      <c r="A26" s="430" t="e" cm="1">
        <f t="array" aca="1" ref="A26" ca="1">[22]!vnd(G25)</f>
        <v>#NAME?</v>
      </c>
      <c r="B26" s="431"/>
      <c r="C26" s="431"/>
      <c r="D26" s="431"/>
      <c r="E26" s="431"/>
      <c r="F26" s="431"/>
      <c r="G26" s="431"/>
      <c r="H26" s="432"/>
    </row>
    <row r="27" spans="1:8">
      <c r="A27" s="17"/>
      <c r="B27" s="17"/>
      <c r="C27" s="97"/>
      <c r="D27" s="20"/>
      <c r="E27" s="19"/>
      <c r="F27" s="97"/>
      <c r="G27" s="19"/>
      <c r="H27" s="17"/>
    </row>
    <row r="28" spans="1:8" s="109" customFormat="1" ht="16.5" customHeight="1">
      <c r="A28" s="108"/>
      <c r="B28" s="108"/>
      <c r="C28" s="424" t="s">
        <v>1742</v>
      </c>
      <c r="D28" s="424"/>
      <c r="E28" s="424"/>
      <c r="F28" s="424"/>
      <c r="G28" s="424"/>
      <c r="H28" s="424"/>
    </row>
    <row r="29" spans="1:8" s="109" customFormat="1" ht="16.5" customHeight="1">
      <c r="A29" s="423" t="s">
        <v>63</v>
      </c>
      <c r="B29" s="423"/>
      <c r="C29" s="424" t="s">
        <v>1743</v>
      </c>
      <c r="D29" s="424"/>
      <c r="E29" s="424"/>
      <c r="F29" s="424" t="s">
        <v>1744</v>
      </c>
      <c r="G29" s="424"/>
      <c r="H29" s="424"/>
    </row>
    <row r="30" spans="1:8" s="109" customFormat="1" ht="15.6">
      <c r="A30" s="108"/>
      <c r="B30" s="108"/>
      <c r="C30" s="108"/>
      <c r="D30" s="110"/>
      <c r="E30" s="111"/>
      <c r="F30" s="112"/>
      <c r="G30" s="111"/>
      <c r="H30" s="113"/>
    </row>
    <row r="31" spans="1:8" s="109" customFormat="1" ht="15.6">
      <c r="A31" s="108"/>
      <c r="B31" s="108"/>
      <c r="C31" s="108"/>
      <c r="D31" s="110"/>
      <c r="E31" s="111"/>
      <c r="F31" s="112"/>
      <c r="G31" s="114"/>
      <c r="H31" s="113"/>
    </row>
    <row r="32" spans="1:8" s="109" customFormat="1" ht="15.6">
      <c r="A32" s="108"/>
      <c r="B32" s="108"/>
      <c r="C32" s="108"/>
      <c r="D32" s="110"/>
      <c r="E32" s="111"/>
      <c r="F32" s="112"/>
      <c r="G32" s="111"/>
      <c r="H32" s="113"/>
    </row>
    <row r="33" spans="1:8" s="109" customFormat="1" ht="15.6">
      <c r="A33" s="108"/>
      <c r="B33" s="108"/>
      <c r="C33" s="108"/>
      <c r="D33" s="110"/>
      <c r="E33" s="111"/>
      <c r="F33" s="112"/>
      <c r="G33" s="111"/>
      <c r="H33" s="113"/>
    </row>
    <row r="34" spans="1:8" s="109" customFormat="1" ht="15.6">
      <c r="A34" s="108"/>
      <c r="B34" s="108"/>
      <c r="C34" s="108"/>
      <c r="D34" s="110"/>
      <c r="E34" s="111"/>
      <c r="F34" s="112"/>
      <c r="G34" s="111"/>
      <c r="H34" s="113"/>
    </row>
    <row r="35" spans="1:8" s="109" customFormat="1" ht="16.5" customHeight="1">
      <c r="A35" s="108"/>
      <c r="B35" s="158" t="s">
        <v>64</v>
      </c>
      <c r="C35" s="424"/>
      <c r="D35" s="424"/>
      <c r="E35" s="424"/>
      <c r="F35" s="424" t="s">
        <v>1745</v>
      </c>
      <c r="G35" s="424"/>
      <c r="H35" s="424"/>
    </row>
    <row r="36" spans="1:8" s="109" customFormat="1" ht="15.6">
      <c r="A36" s="108"/>
      <c r="B36" s="158"/>
      <c r="C36" s="155"/>
      <c r="D36" s="155"/>
      <c r="E36" s="155"/>
      <c r="F36" s="155"/>
      <c r="G36" s="155"/>
      <c r="H36" s="155"/>
    </row>
    <row r="37" spans="1:8" s="109" customFormat="1" ht="15" customHeight="1">
      <c r="A37" s="424" t="s">
        <v>1746</v>
      </c>
      <c r="B37" s="424"/>
      <c r="C37" s="424"/>
      <c r="D37" s="424"/>
      <c r="E37" s="424" t="s">
        <v>1747</v>
      </c>
      <c r="F37" s="424"/>
      <c r="G37" s="424"/>
      <c r="H37" s="424"/>
    </row>
    <row r="38" spans="1:8" s="109" customFormat="1" ht="33.6" customHeight="1">
      <c r="A38" s="424" t="s">
        <v>1748</v>
      </c>
      <c r="B38" s="424"/>
      <c r="C38" s="424"/>
      <c r="D38" s="424"/>
      <c r="E38" s="424" t="s">
        <v>65</v>
      </c>
      <c r="F38" s="424"/>
      <c r="G38" s="424"/>
      <c r="H38" s="424"/>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 r="A43" s="108"/>
      <c r="B43" s="108"/>
      <c r="C43" s="108"/>
      <c r="D43" s="110"/>
      <c r="E43" s="111"/>
      <c r="F43" s="112"/>
      <c r="G43" s="111"/>
      <c r="H43" s="113"/>
    </row>
    <row r="44" spans="1:8" s="109" customFormat="1" ht="15.6" customHeight="1">
      <c r="A44" s="108"/>
      <c r="B44" s="108"/>
      <c r="C44" s="108"/>
      <c r="D44" s="115"/>
      <c r="E44" s="439" t="s">
        <v>1749</v>
      </c>
      <c r="F44" s="439"/>
      <c r="G44" s="439"/>
      <c r="H44" s="439"/>
    </row>
    <row r="45" spans="1:8" s="109" customFormat="1" ht="16.5" customHeight="1">
      <c r="A45" s="424" t="s">
        <v>1751</v>
      </c>
      <c r="B45" s="424"/>
      <c r="C45" s="424"/>
      <c r="D45" s="424"/>
      <c r="E45" s="424" t="s">
        <v>1750</v>
      </c>
      <c r="F45" s="424"/>
      <c r="G45" s="424"/>
      <c r="H45" s="424"/>
    </row>
    <row r="46" spans="1:8" s="118" customFormat="1" ht="16.2" customHeight="1">
      <c r="A46" s="440"/>
      <c r="B46" s="440"/>
      <c r="C46" s="116"/>
      <c r="D46" s="117"/>
      <c r="E46" s="440"/>
      <c r="F46" s="440"/>
      <c r="G46" s="440"/>
      <c r="H46" s="440"/>
    </row>
    <row r="47" spans="1:8" s="118" customFormat="1" ht="15.75" customHeight="1">
      <c r="A47" s="440"/>
      <c r="B47" s="440"/>
      <c r="C47" s="440"/>
      <c r="D47" s="440"/>
      <c r="E47" s="440"/>
      <c r="F47" s="440"/>
      <c r="G47" s="440"/>
      <c r="H47" s="440"/>
    </row>
    <row r="48" spans="1:8" s="98" customFormat="1" ht="16.2" customHeight="1">
      <c r="A48" s="436"/>
      <c r="B48" s="436"/>
      <c r="C48" s="436"/>
      <c r="D48" s="436"/>
      <c r="E48" s="119"/>
      <c r="F48" s="120"/>
      <c r="G48" s="119"/>
      <c r="H48" s="121"/>
    </row>
    <row r="49" spans="1:8" s="98" customFormat="1" ht="16.2" customHeight="1">
      <c r="A49" s="436"/>
      <c r="B49" s="436"/>
      <c r="C49" s="436"/>
      <c r="D49" s="436"/>
      <c r="E49" s="119"/>
      <c r="F49" s="120"/>
      <c r="G49" s="119"/>
      <c r="H49" s="121"/>
    </row>
    <row r="50" spans="1:8" s="98" customFormat="1" ht="16.2" customHeight="1">
      <c r="A50" s="121"/>
      <c r="B50" s="121"/>
      <c r="C50" s="121"/>
      <c r="D50" s="122"/>
      <c r="E50" s="119"/>
      <c r="F50" s="120"/>
      <c r="G50" s="119"/>
      <c r="H50" s="121"/>
    </row>
    <row r="51" spans="1:8" ht="16.2" customHeight="1">
      <c r="A51" s="83"/>
      <c r="B51" s="83"/>
      <c r="C51" s="83"/>
      <c r="D51" s="84"/>
      <c r="E51" s="85"/>
      <c r="F51" s="86"/>
      <c r="G51" s="85"/>
      <c r="H51" s="83"/>
    </row>
    <row r="52" spans="1:8" ht="16.2" customHeight="1">
      <c r="A52" s="83"/>
      <c r="B52" s="83"/>
      <c r="C52" s="83"/>
      <c r="D52" s="84"/>
      <c r="E52" s="85"/>
      <c r="F52" s="86"/>
      <c r="G52" s="85"/>
      <c r="H52" s="83"/>
    </row>
    <row r="53" spans="1:8" ht="16.2" customHeight="1">
      <c r="A53" s="83"/>
      <c r="B53" s="83"/>
      <c r="C53" s="83"/>
      <c r="D53" s="84"/>
      <c r="E53" s="85"/>
      <c r="F53" s="86"/>
      <c r="G53" s="85"/>
      <c r="H53" s="83"/>
    </row>
    <row r="54" spans="1:8" ht="16.2" customHeight="1">
      <c r="A54" s="83"/>
      <c r="B54" s="83"/>
      <c r="C54" s="83"/>
      <c r="D54" s="84"/>
      <c r="E54" s="437"/>
      <c r="F54" s="437"/>
      <c r="G54" s="437"/>
      <c r="H54" s="437"/>
    </row>
    <row r="55" spans="1:8" ht="20.25" customHeight="1">
      <c r="A55" s="438"/>
      <c r="B55" s="438"/>
      <c r="C55" s="438"/>
      <c r="D55" s="438"/>
      <c r="E55" s="438"/>
      <c r="F55" s="438"/>
      <c r="G55" s="438"/>
      <c r="H55" s="438"/>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ht="16.2" customHeight="1"/>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row r="231"/>
    <row r="232"/>
    <row r="233"/>
    <row r="234"/>
    <row r="235"/>
    <row r="236"/>
    <row r="237"/>
    <row r="238"/>
    <row r="239"/>
    <row r="240"/>
    <row r="241"/>
    <row r="242"/>
    <row r="243"/>
    <row r="244"/>
    <row r="245"/>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sheetData>
  <mergeCells count="41">
    <mergeCell ref="E54:H54"/>
    <mergeCell ref="A55:H55"/>
    <mergeCell ref="A46:B46"/>
    <mergeCell ref="E46:H46"/>
    <mergeCell ref="A47:D47"/>
    <mergeCell ref="E47:H47"/>
    <mergeCell ref="A48:D48"/>
    <mergeCell ref="A49:D49"/>
    <mergeCell ref="A45:D45"/>
    <mergeCell ref="E45:H45"/>
    <mergeCell ref="C28:H28"/>
    <mergeCell ref="A29:B29"/>
    <mergeCell ref="C29:E29"/>
    <mergeCell ref="F29:H29"/>
    <mergeCell ref="C35:E35"/>
    <mergeCell ref="F35:H35"/>
    <mergeCell ref="A37:D37"/>
    <mergeCell ref="E37:H37"/>
    <mergeCell ref="A38:D38"/>
    <mergeCell ref="E38:H38"/>
    <mergeCell ref="E44:H44"/>
    <mergeCell ref="A26:H26"/>
    <mergeCell ref="A6:H6"/>
    <mergeCell ref="A7:H7"/>
    <mergeCell ref="A8:H8"/>
    <mergeCell ref="A9:H9"/>
    <mergeCell ref="A10:H10"/>
    <mergeCell ref="A11:H11"/>
    <mergeCell ref="B13:F13"/>
    <mergeCell ref="B15:F15"/>
    <mergeCell ref="B22:F22"/>
    <mergeCell ref="B24:F24"/>
    <mergeCell ref="B25:F25"/>
    <mergeCell ref="B16:F16"/>
    <mergeCell ref="A4:B4"/>
    <mergeCell ref="C4:H4"/>
    <mergeCell ref="A1:B1"/>
    <mergeCell ref="C1:H1"/>
    <mergeCell ref="A2:B2"/>
    <mergeCell ref="C2:H2"/>
    <mergeCell ref="A3:B3"/>
  </mergeCells>
  <dataValidations count="1">
    <dataValidation type="list" allowBlank="1" showInputMessage="1" showErrorMessage="1" sqref="WVJ983047:WVJ983064 B983047:B983064 IX983047:IX983064 ST983047:ST983064 ACP983047:ACP983064 AML983047:AML983064 AWH983047:AWH983064 BGD983047:BGD983064 BPZ983047:BPZ983064 BZV983047:BZV983064 CJR983047:CJR983064 CTN983047:CTN983064 DDJ983047:DDJ983064 DNF983047:DNF983064 DXB983047:DXB983064 EGX983047:EGX983064 EQT983047:EQT983064 FAP983047:FAP983064 FKL983047:FKL983064 FUH983047:FUH983064 GED983047:GED983064 GNZ983047:GNZ983064 GXV983047:GXV983064 HHR983047:HHR983064 HRN983047:HRN983064 IBJ983047:IBJ983064 ILF983047:ILF983064 IVB983047:IVB983064 JEX983047:JEX983064 JOT983047:JOT983064 JYP983047:JYP983064 KIL983047:KIL983064 KSH983047:KSH983064 LCD983047:LCD983064 LLZ983047:LLZ983064 LVV983047:LVV983064 MFR983047:MFR983064 MPN983047:MPN983064 MZJ983047:MZJ983064 NJF983047:NJF983064 NTB983047:NTB983064 OCX983047:OCX983064 OMT983047:OMT983064 OWP983047:OWP983064 PGL983047:PGL983064 PQH983047:PQH983064 QAD983047:QAD983064 QJZ983047:QJZ983064 QTV983047:QTV983064 RDR983047:RDR983064 RNN983047:RNN983064 RXJ983047:RXJ983064 SHF983047:SHF983064 SRB983047:SRB983064 TAX983047:TAX983064 TKT983047:TKT983064 TUP983047:TUP983064 UEL983047:UEL983064 UOH983047:UOH983064 UYD983047:UYD983064 VHZ983047:VHZ983064 VRV983047:VRV983064 WBR983047:WBR983064 WLN983047:WLN983064 B65543:B65560 IX65543:IX65560 ST65543:ST65560 ACP65543:ACP65560 AML65543:AML65560 AWH65543:AWH65560 BGD65543:BGD65560 BPZ65543:BPZ65560 BZV65543:BZV65560 CJR65543:CJR65560 CTN65543:CTN65560 DDJ65543:DDJ65560 DNF65543:DNF65560 DXB65543:DXB65560 EGX65543:EGX65560 EQT65543:EQT65560 FAP65543:FAP65560 FKL65543:FKL65560 FUH65543:FUH65560 GED65543:GED65560 GNZ65543:GNZ65560 GXV65543:GXV65560 HHR65543:HHR65560 HRN65543:HRN65560 IBJ65543:IBJ65560 ILF65543:ILF65560 IVB65543:IVB65560 JEX65543:JEX65560 JOT65543:JOT65560 JYP65543:JYP65560 KIL65543:KIL65560 KSH65543:KSH65560 LCD65543:LCD65560 LLZ65543:LLZ65560 LVV65543:LVV65560 MFR65543:MFR65560 MPN65543:MPN65560 MZJ65543:MZJ65560 NJF65543:NJF65560 NTB65543:NTB65560 OCX65543:OCX65560 OMT65543:OMT65560 OWP65543:OWP65560 PGL65543:PGL65560 PQH65543:PQH65560 QAD65543:QAD65560 QJZ65543:QJZ65560 QTV65543:QTV65560 RDR65543:RDR65560 RNN65543:RNN65560 RXJ65543:RXJ65560 SHF65543:SHF65560 SRB65543:SRB65560 TAX65543:TAX65560 TKT65543:TKT65560 TUP65543:TUP65560 UEL65543:UEL65560 UOH65543:UOH65560 UYD65543:UYD65560 VHZ65543:VHZ65560 VRV65543:VRV65560 WBR65543:WBR65560 WLN65543:WLN65560 WVJ65543:WVJ65560 B131079:B131096 IX131079:IX131096 ST131079:ST131096 ACP131079:ACP131096 AML131079:AML131096 AWH131079:AWH131096 BGD131079:BGD131096 BPZ131079:BPZ131096 BZV131079:BZV131096 CJR131079:CJR131096 CTN131079:CTN131096 DDJ131079:DDJ131096 DNF131079:DNF131096 DXB131079:DXB131096 EGX131079:EGX131096 EQT131079:EQT131096 FAP131079:FAP131096 FKL131079:FKL131096 FUH131079:FUH131096 GED131079:GED131096 GNZ131079:GNZ131096 GXV131079:GXV131096 HHR131079:HHR131096 HRN131079:HRN131096 IBJ131079:IBJ131096 ILF131079:ILF131096 IVB131079:IVB131096 JEX131079:JEX131096 JOT131079:JOT131096 JYP131079:JYP131096 KIL131079:KIL131096 KSH131079:KSH131096 LCD131079:LCD131096 LLZ131079:LLZ131096 LVV131079:LVV131096 MFR131079:MFR131096 MPN131079:MPN131096 MZJ131079:MZJ131096 NJF131079:NJF131096 NTB131079:NTB131096 OCX131079:OCX131096 OMT131079:OMT131096 OWP131079:OWP131096 PGL131079:PGL131096 PQH131079:PQH131096 QAD131079:QAD131096 QJZ131079:QJZ131096 QTV131079:QTV131096 RDR131079:RDR131096 RNN131079:RNN131096 RXJ131079:RXJ131096 SHF131079:SHF131096 SRB131079:SRB131096 TAX131079:TAX131096 TKT131079:TKT131096 TUP131079:TUP131096 UEL131079:UEL131096 UOH131079:UOH131096 UYD131079:UYD131096 VHZ131079:VHZ131096 VRV131079:VRV131096 WBR131079:WBR131096 WLN131079:WLN131096 WVJ131079:WVJ131096 B196615:B196632 IX196615:IX196632 ST196615:ST196632 ACP196615:ACP196632 AML196615:AML196632 AWH196615:AWH196632 BGD196615:BGD196632 BPZ196615:BPZ196632 BZV196615:BZV196632 CJR196615:CJR196632 CTN196615:CTN196632 DDJ196615:DDJ196632 DNF196615:DNF196632 DXB196615:DXB196632 EGX196615:EGX196632 EQT196615:EQT196632 FAP196615:FAP196632 FKL196615:FKL196632 FUH196615:FUH196632 GED196615:GED196632 GNZ196615:GNZ196632 GXV196615:GXV196632 HHR196615:HHR196632 HRN196615:HRN196632 IBJ196615:IBJ196632 ILF196615:ILF196632 IVB196615:IVB196632 JEX196615:JEX196632 JOT196615:JOT196632 JYP196615:JYP196632 KIL196615:KIL196632 KSH196615:KSH196632 LCD196615:LCD196632 LLZ196615:LLZ196632 LVV196615:LVV196632 MFR196615:MFR196632 MPN196615:MPN196632 MZJ196615:MZJ196632 NJF196615:NJF196632 NTB196615:NTB196632 OCX196615:OCX196632 OMT196615:OMT196632 OWP196615:OWP196632 PGL196615:PGL196632 PQH196615:PQH196632 QAD196615:QAD196632 QJZ196615:QJZ196632 QTV196615:QTV196632 RDR196615:RDR196632 RNN196615:RNN196632 RXJ196615:RXJ196632 SHF196615:SHF196632 SRB196615:SRB196632 TAX196615:TAX196632 TKT196615:TKT196632 TUP196615:TUP196632 UEL196615:UEL196632 UOH196615:UOH196632 UYD196615:UYD196632 VHZ196615:VHZ196632 VRV196615:VRV196632 WBR196615:WBR196632 WLN196615:WLN196632 WVJ196615:WVJ196632 B262151:B262168 IX262151:IX262168 ST262151:ST262168 ACP262151:ACP262168 AML262151:AML262168 AWH262151:AWH262168 BGD262151:BGD262168 BPZ262151:BPZ262168 BZV262151:BZV262168 CJR262151:CJR262168 CTN262151:CTN262168 DDJ262151:DDJ262168 DNF262151:DNF262168 DXB262151:DXB262168 EGX262151:EGX262168 EQT262151:EQT262168 FAP262151:FAP262168 FKL262151:FKL262168 FUH262151:FUH262168 GED262151:GED262168 GNZ262151:GNZ262168 GXV262151:GXV262168 HHR262151:HHR262168 HRN262151:HRN262168 IBJ262151:IBJ262168 ILF262151:ILF262168 IVB262151:IVB262168 JEX262151:JEX262168 JOT262151:JOT262168 JYP262151:JYP262168 KIL262151:KIL262168 KSH262151:KSH262168 LCD262151:LCD262168 LLZ262151:LLZ262168 LVV262151:LVV262168 MFR262151:MFR262168 MPN262151:MPN262168 MZJ262151:MZJ262168 NJF262151:NJF262168 NTB262151:NTB262168 OCX262151:OCX262168 OMT262151:OMT262168 OWP262151:OWP262168 PGL262151:PGL262168 PQH262151:PQH262168 QAD262151:QAD262168 QJZ262151:QJZ262168 QTV262151:QTV262168 RDR262151:RDR262168 RNN262151:RNN262168 RXJ262151:RXJ262168 SHF262151:SHF262168 SRB262151:SRB262168 TAX262151:TAX262168 TKT262151:TKT262168 TUP262151:TUP262168 UEL262151:UEL262168 UOH262151:UOH262168 UYD262151:UYD262168 VHZ262151:VHZ262168 VRV262151:VRV262168 WBR262151:WBR262168 WLN262151:WLN262168 WVJ262151:WVJ262168 B327687:B327704 IX327687:IX327704 ST327687:ST327704 ACP327687:ACP327704 AML327687:AML327704 AWH327687:AWH327704 BGD327687:BGD327704 BPZ327687:BPZ327704 BZV327687:BZV327704 CJR327687:CJR327704 CTN327687:CTN327704 DDJ327687:DDJ327704 DNF327687:DNF327704 DXB327687:DXB327704 EGX327687:EGX327704 EQT327687:EQT327704 FAP327687:FAP327704 FKL327687:FKL327704 FUH327687:FUH327704 GED327687:GED327704 GNZ327687:GNZ327704 GXV327687:GXV327704 HHR327687:HHR327704 HRN327687:HRN327704 IBJ327687:IBJ327704 ILF327687:ILF327704 IVB327687:IVB327704 JEX327687:JEX327704 JOT327687:JOT327704 JYP327687:JYP327704 KIL327687:KIL327704 KSH327687:KSH327704 LCD327687:LCD327704 LLZ327687:LLZ327704 LVV327687:LVV327704 MFR327687:MFR327704 MPN327687:MPN327704 MZJ327687:MZJ327704 NJF327687:NJF327704 NTB327687:NTB327704 OCX327687:OCX327704 OMT327687:OMT327704 OWP327687:OWP327704 PGL327687:PGL327704 PQH327687:PQH327704 QAD327687:QAD327704 QJZ327687:QJZ327704 QTV327687:QTV327704 RDR327687:RDR327704 RNN327687:RNN327704 RXJ327687:RXJ327704 SHF327687:SHF327704 SRB327687:SRB327704 TAX327687:TAX327704 TKT327687:TKT327704 TUP327687:TUP327704 UEL327687:UEL327704 UOH327687:UOH327704 UYD327687:UYD327704 VHZ327687:VHZ327704 VRV327687:VRV327704 WBR327687:WBR327704 WLN327687:WLN327704 WVJ327687:WVJ327704 B393223:B393240 IX393223:IX393240 ST393223:ST393240 ACP393223:ACP393240 AML393223:AML393240 AWH393223:AWH393240 BGD393223:BGD393240 BPZ393223:BPZ393240 BZV393223:BZV393240 CJR393223:CJR393240 CTN393223:CTN393240 DDJ393223:DDJ393240 DNF393223:DNF393240 DXB393223:DXB393240 EGX393223:EGX393240 EQT393223:EQT393240 FAP393223:FAP393240 FKL393223:FKL393240 FUH393223:FUH393240 GED393223:GED393240 GNZ393223:GNZ393240 GXV393223:GXV393240 HHR393223:HHR393240 HRN393223:HRN393240 IBJ393223:IBJ393240 ILF393223:ILF393240 IVB393223:IVB393240 JEX393223:JEX393240 JOT393223:JOT393240 JYP393223:JYP393240 KIL393223:KIL393240 KSH393223:KSH393240 LCD393223:LCD393240 LLZ393223:LLZ393240 LVV393223:LVV393240 MFR393223:MFR393240 MPN393223:MPN393240 MZJ393223:MZJ393240 NJF393223:NJF393240 NTB393223:NTB393240 OCX393223:OCX393240 OMT393223:OMT393240 OWP393223:OWP393240 PGL393223:PGL393240 PQH393223:PQH393240 QAD393223:QAD393240 QJZ393223:QJZ393240 QTV393223:QTV393240 RDR393223:RDR393240 RNN393223:RNN393240 RXJ393223:RXJ393240 SHF393223:SHF393240 SRB393223:SRB393240 TAX393223:TAX393240 TKT393223:TKT393240 TUP393223:TUP393240 UEL393223:UEL393240 UOH393223:UOH393240 UYD393223:UYD393240 VHZ393223:VHZ393240 VRV393223:VRV393240 WBR393223:WBR393240 WLN393223:WLN393240 WVJ393223:WVJ393240 B458759:B458776 IX458759:IX458776 ST458759:ST458776 ACP458759:ACP458776 AML458759:AML458776 AWH458759:AWH458776 BGD458759:BGD458776 BPZ458759:BPZ458776 BZV458759:BZV458776 CJR458759:CJR458776 CTN458759:CTN458776 DDJ458759:DDJ458776 DNF458759:DNF458776 DXB458759:DXB458776 EGX458759:EGX458776 EQT458759:EQT458776 FAP458759:FAP458776 FKL458759:FKL458776 FUH458759:FUH458776 GED458759:GED458776 GNZ458759:GNZ458776 GXV458759:GXV458776 HHR458759:HHR458776 HRN458759:HRN458776 IBJ458759:IBJ458776 ILF458759:ILF458776 IVB458759:IVB458776 JEX458759:JEX458776 JOT458759:JOT458776 JYP458759:JYP458776 KIL458759:KIL458776 KSH458759:KSH458776 LCD458759:LCD458776 LLZ458759:LLZ458776 LVV458759:LVV458776 MFR458759:MFR458776 MPN458759:MPN458776 MZJ458759:MZJ458776 NJF458759:NJF458776 NTB458759:NTB458776 OCX458759:OCX458776 OMT458759:OMT458776 OWP458759:OWP458776 PGL458759:PGL458776 PQH458759:PQH458776 QAD458759:QAD458776 QJZ458759:QJZ458776 QTV458759:QTV458776 RDR458759:RDR458776 RNN458759:RNN458776 RXJ458759:RXJ458776 SHF458759:SHF458776 SRB458759:SRB458776 TAX458759:TAX458776 TKT458759:TKT458776 TUP458759:TUP458776 UEL458759:UEL458776 UOH458759:UOH458776 UYD458759:UYD458776 VHZ458759:VHZ458776 VRV458759:VRV458776 WBR458759:WBR458776 WLN458759:WLN458776 WVJ458759:WVJ458776 B524295:B524312 IX524295:IX524312 ST524295:ST524312 ACP524295:ACP524312 AML524295:AML524312 AWH524295:AWH524312 BGD524295:BGD524312 BPZ524295:BPZ524312 BZV524295:BZV524312 CJR524295:CJR524312 CTN524295:CTN524312 DDJ524295:DDJ524312 DNF524295:DNF524312 DXB524295:DXB524312 EGX524295:EGX524312 EQT524295:EQT524312 FAP524295:FAP524312 FKL524295:FKL524312 FUH524295:FUH524312 GED524295:GED524312 GNZ524295:GNZ524312 GXV524295:GXV524312 HHR524295:HHR524312 HRN524295:HRN524312 IBJ524295:IBJ524312 ILF524295:ILF524312 IVB524295:IVB524312 JEX524295:JEX524312 JOT524295:JOT524312 JYP524295:JYP524312 KIL524295:KIL524312 KSH524295:KSH524312 LCD524295:LCD524312 LLZ524295:LLZ524312 LVV524295:LVV524312 MFR524295:MFR524312 MPN524295:MPN524312 MZJ524295:MZJ524312 NJF524295:NJF524312 NTB524295:NTB524312 OCX524295:OCX524312 OMT524295:OMT524312 OWP524295:OWP524312 PGL524295:PGL524312 PQH524295:PQH524312 QAD524295:QAD524312 QJZ524295:QJZ524312 QTV524295:QTV524312 RDR524295:RDR524312 RNN524295:RNN524312 RXJ524295:RXJ524312 SHF524295:SHF524312 SRB524295:SRB524312 TAX524295:TAX524312 TKT524295:TKT524312 TUP524295:TUP524312 UEL524295:UEL524312 UOH524295:UOH524312 UYD524295:UYD524312 VHZ524295:VHZ524312 VRV524295:VRV524312 WBR524295:WBR524312 WLN524295:WLN524312 WVJ524295:WVJ524312 B589831:B589848 IX589831:IX589848 ST589831:ST589848 ACP589831:ACP589848 AML589831:AML589848 AWH589831:AWH589848 BGD589831:BGD589848 BPZ589831:BPZ589848 BZV589831:BZV589848 CJR589831:CJR589848 CTN589831:CTN589848 DDJ589831:DDJ589848 DNF589831:DNF589848 DXB589831:DXB589848 EGX589831:EGX589848 EQT589831:EQT589848 FAP589831:FAP589848 FKL589831:FKL589848 FUH589831:FUH589848 GED589831:GED589848 GNZ589831:GNZ589848 GXV589831:GXV589848 HHR589831:HHR589848 HRN589831:HRN589848 IBJ589831:IBJ589848 ILF589831:ILF589848 IVB589831:IVB589848 JEX589831:JEX589848 JOT589831:JOT589848 JYP589831:JYP589848 KIL589831:KIL589848 KSH589831:KSH589848 LCD589831:LCD589848 LLZ589831:LLZ589848 LVV589831:LVV589848 MFR589831:MFR589848 MPN589831:MPN589848 MZJ589831:MZJ589848 NJF589831:NJF589848 NTB589831:NTB589848 OCX589831:OCX589848 OMT589831:OMT589848 OWP589831:OWP589848 PGL589831:PGL589848 PQH589831:PQH589848 QAD589831:QAD589848 QJZ589831:QJZ589848 QTV589831:QTV589848 RDR589831:RDR589848 RNN589831:RNN589848 RXJ589831:RXJ589848 SHF589831:SHF589848 SRB589831:SRB589848 TAX589831:TAX589848 TKT589831:TKT589848 TUP589831:TUP589848 UEL589831:UEL589848 UOH589831:UOH589848 UYD589831:UYD589848 VHZ589831:VHZ589848 VRV589831:VRV589848 WBR589831:WBR589848 WLN589831:WLN589848 WVJ589831:WVJ589848 B655367:B655384 IX655367:IX655384 ST655367:ST655384 ACP655367:ACP655384 AML655367:AML655384 AWH655367:AWH655384 BGD655367:BGD655384 BPZ655367:BPZ655384 BZV655367:BZV655384 CJR655367:CJR655384 CTN655367:CTN655384 DDJ655367:DDJ655384 DNF655367:DNF655384 DXB655367:DXB655384 EGX655367:EGX655384 EQT655367:EQT655384 FAP655367:FAP655384 FKL655367:FKL655384 FUH655367:FUH655384 GED655367:GED655384 GNZ655367:GNZ655384 GXV655367:GXV655384 HHR655367:HHR655384 HRN655367:HRN655384 IBJ655367:IBJ655384 ILF655367:ILF655384 IVB655367:IVB655384 JEX655367:JEX655384 JOT655367:JOT655384 JYP655367:JYP655384 KIL655367:KIL655384 KSH655367:KSH655384 LCD655367:LCD655384 LLZ655367:LLZ655384 LVV655367:LVV655384 MFR655367:MFR655384 MPN655367:MPN655384 MZJ655367:MZJ655384 NJF655367:NJF655384 NTB655367:NTB655384 OCX655367:OCX655384 OMT655367:OMT655384 OWP655367:OWP655384 PGL655367:PGL655384 PQH655367:PQH655384 QAD655367:QAD655384 QJZ655367:QJZ655384 QTV655367:QTV655384 RDR655367:RDR655384 RNN655367:RNN655384 RXJ655367:RXJ655384 SHF655367:SHF655384 SRB655367:SRB655384 TAX655367:TAX655384 TKT655367:TKT655384 TUP655367:TUP655384 UEL655367:UEL655384 UOH655367:UOH655384 UYD655367:UYD655384 VHZ655367:VHZ655384 VRV655367:VRV655384 WBR655367:WBR655384 WLN655367:WLN655384 WVJ655367:WVJ655384 B720903:B720920 IX720903:IX720920 ST720903:ST720920 ACP720903:ACP720920 AML720903:AML720920 AWH720903:AWH720920 BGD720903:BGD720920 BPZ720903:BPZ720920 BZV720903:BZV720920 CJR720903:CJR720920 CTN720903:CTN720920 DDJ720903:DDJ720920 DNF720903:DNF720920 DXB720903:DXB720920 EGX720903:EGX720920 EQT720903:EQT720920 FAP720903:FAP720920 FKL720903:FKL720920 FUH720903:FUH720920 GED720903:GED720920 GNZ720903:GNZ720920 GXV720903:GXV720920 HHR720903:HHR720920 HRN720903:HRN720920 IBJ720903:IBJ720920 ILF720903:ILF720920 IVB720903:IVB720920 JEX720903:JEX720920 JOT720903:JOT720920 JYP720903:JYP720920 KIL720903:KIL720920 KSH720903:KSH720920 LCD720903:LCD720920 LLZ720903:LLZ720920 LVV720903:LVV720920 MFR720903:MFR720920 MPN720903:MPN720920 MZJ720903:MZJ720920 NJF720903:NJF720920 NTB720903:NTB720920 OCX720903:OCX720920 OMT720903:OMT720920 OWP720903:OWP720920 PGL720903:PGL720920 PQH720903:PQH720920 QAD720903:QAD720920 QJZ720903:QJZ720920 QTV720903:QTV720920 RDR720903:RDR720920 RNN720903:RNN720920 RXJ720903:RXJ720920 SHF720903:SHF720920 SRB720903:SRB720920 TAX720903:TAX720920 TKT720903:TKT720920 TUP720903:TUP720920 UEL720903:UEL720920 UOH720903:UOH720920 UYD720903:UYD720920 VHZ720903:VHZ720920 VRV720903:VRV720920 WBR720903:WBR720920 WLN720903:WLN720920 WVJ720903:WVJ720920 B786439:B786456 IX786439:IX786456 ST786439:ST786456 ACP786439:ACP786456 AML786439:AML786456 AWH786439:AWH786456 BGD786439:BGD786456 BPZ786439:BPZ786456 BZV786439:BZV786456 CJR786439:CJR786456 CTN786439:CTN786456 DDJ786439:DDJ786456 DNF786439:DNF786456 DXB786439:DXB786456 EGX786439:EGX786456 EQT786439:EQT786456 FAP786439:FAP786456 FKL786439:FKL786456 FUH786439:FUH786456 GED786439:GED786456 GNZ786439:GNZ786456 GXV786439:GXV786456 HHR786439:HHR786456 HRN786439:HRN786456 IBJ786439:IBJ786456 ILF786439:ILF786456 IVB786439:IVB786456 JEX786439:JEX786456 JOT786439:JOT786456 JYP786439:JYP786456 KIL786439:KIL786456 KSH786439:KSH786456 LCD786439:LCD786456 LLZ786439:LLZ786456 LVV786439:LVV786456 MFR786439:MFR786456 MPN786439:MPN786456 MZJ786439:MZJ786456 NJF786439:NJF786456 NTB786439:NTB786456 OCX786439:OCX786456 OMT786439:OMT786456 OWP786439:OWP786456 PGL786439:PGL786456 PQH786439:PQH786456 QAD786439:QAD786456 QJZ786439:QJZ786456 QTV786439:QTV786456 RDR786439:RDR786456 RNN786439:RNN786456 RXJ786439:RXJ786456 SHF786439:SHF786456 SRB786439:SRB786456 TAX786439:TAX786456 TKT786439:TKT786456 TUP786439:TUP786456 UEL786439:UEL786456 UOH786439:UOH786456 UYD786439:UYD786456 VHZ786439:VHZ786456 VRV786439:VRV786456 WBR786439:WBR786456 WLN786439:WLN786456 WVJ786439:WVJ786456 B851975:B851992 IX851975:IX851992 ST851975:ST851992 ACP851975:ACP851992 AML851975:AML851992 AWH851975:AWH851992 BGD851975:BGD851992 BPZ851975:BPZ851992 BZV851975:BZV851992 CJR851975:CJR851992 CTN851975:CTN851992 DDJ851975:DDJ851992 DNF851975:DNF851992 DXB851975:DXB851992 EGX851975:EGX851992 EQT851975:EQT851992 FAP851975:FAP851992 FKL851975:FKL851992 FUH851975:FUH851992 GED851975:GED851992 GNZ851975:GNZ851992 GXV851975:GXV851992 HHR851975:HHR851992 HRN851975:HRN851992 IBJ851975:IBJ851992 ILF851975:ILF851992 IVB851975:IVB851992 JEX851975:JEX851992 JOT851975:JOT851992 JYP851975:JYP851992 KIL851975:KIL851992 KSH851975:KSH851992 LCD851975:LCD851992 LLZ851975:LLZ851992 LVV851975:LVV851992 MFR851975:MFR851992 MPN851975:MPN851992 MZJ851975:MZJ851992 NJF851975:NJF851992 NTB851975:NTB851992 OCX851975:OCX851992 OMT851975:OMT851992 OWP851975:OWP851992 PGL851975:PGL851992 PQH851975:PQH851992 QAD851975:QAD851992 QJZ851975:QJZ851992 QTV851975:QTV851992 RDR851975:RDR851992 RNN851975:RNN851992 RXJ851975:RXJ851992 SHF851975:SHF851992 SRB851975:SRB851992 TAX851975:TAX851992 TKT851975:TKT851992 TUP851975:TUP851992 UEL851975:UEL851992 UOH851975:UOH851992 UYD851975:UYD851992 VHZ851975:VHZ851992 VRV851975:VRV851992 WBR851975:WBR851992 WLN851975:WLN851992 WVJ851975:WVJ851992 B917511:B917528 IX917511:IX917528 ST917511:ST917528 ACP917511:ACP917528 AML917511:AML917528 AWH917511:AWH917528 BGD917511:BGD917528 BPZ917511:BPZ917528 BZV917511:BZV917528 CJR917511:CJR917528 CTN917511:CTN917528 DDJ917511:DDJ917528 DNF917511:DNF917528 DXB917511:DXB917528 EGX917511:EGX917528 EQT917511:EQT917528 FAP917511:FAP917528 FKL917511:FKL917528 FUH917511:FUH917528 GED917511:GED917528 GNZ917511:GNZ917528 GXV917511:GXV917528 HHR917511:HHR917528 HRN917511:HRN917528 IBJ917511:IBJ917528 ILF917511:ILF917528 IVB917511:IVB917528 JEX917511:JEX917528 JOT917511:JOT917528 JYP917511:JYP917528 KIL917511:KIL917528 KSH917511:KSH917528 LCD917511:LCD917528 LLZ917511:LLZ917528 LVV917511:LVV917528 MFR917511:MFR917528 MPN917511:MPN917528 MZJ917511:MZJ917528 NJF917511:NJF917528 NTB917511:NTB917528 OCX917511:OCX917528 OMT917511:OMT917528 OWP917511:OWP917528 PGL917511:PGL917528 PQH917511:PQH917528 QAD917511:QAD917528 QJZ917511:QJZ917528 QTV917511:QTV917528 RDR917511:RDR917528 RNN917511:RNN917528 RXJ917511:RXJ917528 SHF917511:SHF917528 SRB917511:SRB917528 TAX917511:TAX917528 TKT917511:TKT917528 TUP917511:TUP917528 UEL917511:UEL917528 UOH917511:UOH917528 UYD917511:UYD917528 VHZ917511:VHZ917528 VRV917511:VRV917528 WBR917511:WBR917528 WLN917511:WLN917528 WVJ917511:WVJ917528" xr:uid="{00000000-0002-0000-1C00-000000000000}">
      <formula1>trung</formula1>
    </dataValidation>
  </dataValidation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ColWidth="8.8984375" defaultRowHeight="1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378"/>
  <sheetViews>
    <sheetView topLeftCell="A13" workbookViewId="0">
      <selection activeCell="A35" sqref="A35:D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57"/>
      <c r="G3" s="102"/>
      <c r="H3" s="103"/>
    </row>
    <row r="4" spans="1:8" s="98" customFormat="1" ht="18" customHeight="1">
      <c r="A4" s="414"/>
      <c r="B4" s="414"/>
      <c r="C4" s="415" t="s">
        <v>1740</v>
      </c>
      <c r="D4" s="416"/>
      <c r="E4" s="416"/>
      <c r="F4" s="416"/>
      <c r="G4" s="416"/>
      <c r="H4" s="416"/>
    </row>
    <row r="5" spans="1:8" s="98" customFormat="1" ht="15.6">
      <c r="A5" s="104"/>
      <c r="B5" s="104"/>
      <c r="C5" s="156"/>
      <c r="D5" s="105"/>
      <c r="E5" s="106"/>
      <c r="F5" s="156"/>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1899</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1900</v>
      </c>
      <c r="C13" s="425"/>
      <c r="D13" s="425"/>
      <c r="E13" s="425"/>
      <c r="F13" s="425"/>
      <c r="G13" s="73">
        <f>G14</f>
        <v>14160000</v>
      </c>
      <c r="H13" s="74"/>
    </row>
    <row r="14" spans="1:8" s="131" customFormat="1" ht="183" customHeight="1">
      <c r="A14" s="123"/>
      <c r="B14" s="124" t="s">
        <v>2054</v>
      </c>
      <c r="C14" s="125" t="s">
        <v>1753</v>
      </c>
      <c r="D14" s="126">
        <v>2.4</v>
      </c>
      <c r="E14" s="127">
        <v>11800000</v>
      </c>
      <c r="F14" s="188">
        <v>0.5</v>
      </c>
      <c r="G14" s="129">
        <f>D14*E14*F14</f>
        <v>14160000</v>
      </c>
      <c r="H14" s="130"/>
    </row>
    <row r="15" spans="1:8" ht="27" customHeight="1">
      <c r="A15" s="75" t="s">
        <v>18</v>
      </c>
      <c r="B15" s="426" t="s">
        <v>1725</v>
      </c>
      <c r="C15" s="426"/>
      <c r="D15" s="426"/>
      <c r="E15" s="426"/>
      <c r="F15" s="426"/>
      <c r="G15" s="76">
        <f>SUM(G17:G19)</f>
        <v>2146518.4952000002</v>
      </c>
      <c r="H15" s="11"/>
    </row>
    <row r="16" spans="1:8" ht="60" customHeight="1">
      <c r="A16" s="75"/>
      <c r="B16" s="433" t="s">
        <v>2039</v>
      </c>
      <c r="C16" s="434"/>
      <c r="D16" s="434"/>
      <c r="E16" s="434"/>
      <c r="F16" s="435"/>
      <c r="G16" s="76"/>
      <c r="H16" s="11"/>
    </row>
    <row r="17" spans="1:8" ht="31.2">
      <c r="A17" s="77">
        <v>1</v>
      </c>
      <c r="B17" s="78" t="s">
        <v>1901</v>
      </c>
      <c r="C17" s="14" t="s">
        <v>1754</v>
      </c>
      <c r="D17" s="132">
        <f>1*0.5*0.11</f>
        <v>5.5E-2</v>
      </c>
      <c r="E17" s="15">
        <v>2126713</v>
      </c>
      <c r="F17" s="187">
        <v>0.8</v>
      </c>
      <c r="G17" s="79">
        <f t="shared" ref="G17:G19" si="0">D17*E17*F17</f>
        <v>93575.372000000003</v>
      </c>
      <c r="H17" s="15"/>
    </row>
    <row r="18" spans="1:8" ht="15.6">
      <c r="A18" s="77"/>
      <c r="B18" s="78" t="s">
        <v>1981</v>
      </c>
      <c r="C18" s="14" t="s">
        <v>66</v>
      </c>
      <c r="D18" s="132">
        <f>1*0.5*2</f>
        <v>1</v>
      </c>
      <c r="E18" s="15">
        <v>141099</v>
      </c>
      <c r="F18" s="187">
        <v>0.8</v>
      </c>
      <c r="G18" s="79">
        <f t="shared" si="0"/>
        <v>112879.20000000001</v>
      </c>
      <c r="H18" s="15"/>
    </row>
    <row r="19" spans="1:8" ht="15.6">
      <c r="A19" s="77">
        <v>2</v>
      </c>
      <c r="B19" s="78" t="s">
        <v>1902</v>
      </c>
      <c r="C19" s="14" t="s">
        <v>1754</v>
      </c>
      <c r="D19" s="132">
        <f>3.1*4.8*0.1</f>
        <v>1.488</v>
      </c>
      <c r="E19" s="15">
        <v>1629758</v>
      </c>
      <c r="F19" s="187">
        <v>0.8</v>
      </c>
      <c r="G19" s="79">
        <f t="shared" si="0"/>
        <v>1940063.9232000001</v>
      </c>
      <c r="H19" s="15"/>
    </row>
    <row r="20" spans="1:8" ht="24" customHeight="1">
      <c r="A20" s="75" t="s">
        <v>19</v>
      </c>
      <c r="B20" s="426" t="s">
        <v>1727</v>
      </c>
      <c r="C20" s="426"/>
      <c r="D20" s="426"/>
      <c r="E20" s="426"/>
      <c r="F20" s="426"/>
      <c r="G20" s="76">
        <f>SUM(G21:G21)</f>
        <v>0</v>
      </c>
      <c r="H20" s="11"/>
    </row>
    <row r="21" spans="1:8" ht="30.6" customHeight="1">
      <c r="A21" s="77"/>
      <c r="B21" s="78" t="s">
        <v>1728</v>
      </c>
      <c r="C21" s="13"/>
      <c r="D21" s="13"/>
      <c r="E21" s="13"/>
      <c r="F21" s="13"/>
      <c r="G21" s="79"/>
      <c r="H21" s="15"/>
    </row>
    <row r="22" spans="1:8" ht="15.6">
      <c r="A22" s="80"/>
      <c r="B22" s="427" t="s">
        <v>62</v>
      </c>
      <c r="C22" s="428"/>
      <c r="D22" s="428"/>
      <c r="E22" s="428"/>
      <c r="F22" s="429"/>
      <c r="G22" s="81">
        <f>G13+G15+G20</f>
        <v>16306518.495200001</v>
      </c>
      <c r="H22" s="82"/>
    </row>
    <row r="23" spans="1:8" ht="15.6">
      <c r="A23" s="80"/>
      <c r="B23" s="427" t="s">
        <v>1726</v>
      </c>
      <c r="C23" s="428"/>
      <c r="D23" s="428"/>
      <c r="E23" s="428"/>
      <c r="F23" s="429"/>
      <c r="G23" s="81">
        <f>ROUND(G22,-3)</f>
        <v>16307000</v>
      </c>
      <c r="H23" s="82"/>
    </row>
    <row r="24" spans="1:8" ht="15.6">
      <c r="A24" s="430" t="e">
        <f ca="1">[19]!vnd(G23)</f>
        <v>#NAME?</v>
      </c>
      <c r="B24" s="431"/>
      <c r="C24" s="431"/>
      <c r="D24" s="431"/>
      <c r="E24" s="431"/>
      <c r="F24" s="431"/>
      <c r="G24" s="431"/>
      <c r="H24" s="432"/>
    </row>
    <row r="25" spans="1:8">
      <c r="A25" s="17"/>
      <c r="B25" s="17"/>
      <c r="C25" s="97"/>
      <c r="D25" s="20"/>
      <c r="E25" s="19"/>
      <c r="F25" s="97"/>
      <c r="G25" s="19"/>
      <c r="H25" s="17"/>
    </row>
    <row r="26" spans="1:8" s="109" customFormat="1" ht="16.5" customHeight="1">
      <c r="A26" s="108"/>
      <c r="B26" s="108"/>
      <c r="C26" s="424" t="s">
        <v>1742</v>
      </c>
      <c r="D26" s="424"/>
      <c r="E26" s="424"/>
      <c r="F26" s="424"/>
      <c r="G26" s="424"/>
      <c r="H26" s="424"/>
    </row>
    <row r="27" spans="1:8" s="109" customFormat="1" ht="16.5" customHeight="1">
      <c r="A27" s="423" t="s">
        <v>63</v>
      </c>
      <c r="B27" s="423"/>
      <c r="C27" s="424" t="s">
        <v>1743</v>
      </c>
      <c r="D27" s="424"/>
      <c r="E27" s="424"/>
      <c r="F27" s="424" t="s">
        <v>1744</v>
      </c>
      <c r="G27" s="424"/>
      <c r="H27" s="424"/>
    </row>
    <row r="28" spans="1:8" s="109" customFormat="1" ht="15.6">
      <c r="A28" s="108"/>
      <c r="B28" s="108"/>
      <c r="C28" s="108"/>
      <c r="D28" s="110"/>
      <c r="E28" s="111"/>
      <c r="F28" s="112"/>
      <c r="G28" s="111"/>
      <c r="H28" s="113"/>
    </row>
    <row r="29" spans="1:8" s="109" customFormat="1" ht="15.6">
      <c r="A29" s="108"/>
      <c r="B29" s="108"/>
      <c r="C29" s="108"/>
      <c r="D29" s="110"/>
      <c r="E29" s="111"/>
      <c r="F29" s="112"/>
      <c r="G29" s="114"/>
      <c r="H29" s="113"/>
    </row>
    <row r="30" spans="1:8" s="109" customFormat="1" ht="15.6">
      <c r="A30" s="108"/>
      <c r="B30" s="108"/>
      <c r="C30" s="108"/>
      <c r="D30" s="110"/>
      <c r="E30" s="111"/>
      <c r="F30" s="112"/>
      <c r="G30" s="111"/>
      <c r="H30" s="113"/>
    </row>
    <row r="31" spans="1:8" s="109" customFormat="1" ht="15.6">
      <c r="A31" s="108"/>
      <c r="B31" s="108"/>
      <c r="C31" s="108"/>
      <c r="D31" s="110"/>
      <c r="E31" s="111"/>
      <c r="F31" s="112"/>
      <c r="G31" s="111"/>
      <c r="H31" s="113"/>
    </row>
    <row r="32" spans="1:8" s="109" customFormat="1" ht="15.6">
      <c r="A32" s="108"/>
      <c r="B32" s="108"/>
      <c r="C32" s="108"/>
      <c r="D32" s="110"/>
      <c r="E32" s="111"/>
      <c r="F32" s="112"/>
      <c r="G32" s="111"/>
      <c r="H32" s="113"/>
    </row>
    <row r="33" spans="1:8" s="109" customFormat="1" ht="16.5" customHeight="1">
      <c r="A33" s="108"/>
      <c r="B33" s="158" t="s">
        <v>64</v>
      </c>
      <c r="C33" s="424"/>
      <c r="D33" s="424"/>
      <c r="E33" s="424"/>
      <c r="F33" s="424" t="s">
        <v>1745</v>
      </c>
      <c r="G33" s="424"/>
      <c r="H33" s="424"/>
    </row>
    <row r="34" spans="1:8" s="109" customFormat="1" ht="15.6">
      <c r="A34" s="108"/>
      <c r="B34" s="158"/>
      <c r="C34" s="155"/>
      <c r="D34" s="155"/>
      <c r="E34" s="155"/>
      <c r="F34" s="155"/>
      <c r="G34" s="155"/>
      <c r="H34" s="155"/>
    </row>
    <row r="35" spans="1:8" s="109" customFormat="1" ht="15" customHeight="1">
      <c r="A35" s="424" t="s">
        <v>1746</v>
      </c>
      <c r="B35" s="424"/>
      <c r="C35" s="424"/>
      <c r="D35" s="424"/>
      <c r="E35" s="424" t="s">
        <v>1747</v>
      </c>
      <c r="F35" s="424"/>
      <c r="G35" s="424"/>
      <c r="H35" s="424"/>
    </row>
    <row r="36" spans="1:8" s="109" customFormat="1" ht="33.6" customHeight="1">
      <c r="A36" s="424" t="s">
        <v>1748</v>
      </c>
      <c r="B36" s="424"/>
      <c r="C36" s="424"/>
      <c r="D36" s="424"/>
      <c r="E36" s="424" t="s">
        <v>65</v>
      </c>
      <c r="F36" s="424"/>
      <c r="G36" s="424"/>
      <c r="H36" s="424"/>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ustomHeight="1">
      <c r="A42" s="108"/>
      <c r="B42" s="108"/>
      <c r="C42" s="108"/>
      <c r="D42" s="115"/>
      <c r="E42" s="439" t="s">
        <v>1749</v>
      </c>
      <c r="F42" s="439"/>
      <c r="G42" s="439"/>
      <c r="H42" s="439"/>
    </row>
    <row r="43" spans="1:8" s="109" customFormat="1" ht="16.5" customHeight="1">
      <c r="A43" s="424" t="s">
        <v>1751</v>
      </c>
      <c r="B43" s="424"/>
      <c r="C43" s="424"/>
      <c r="D43" s="424"/>
      <c r="E43" s="424" t="s">
        <v>1750</v>
      </c>
      <c r="F43" s="424"/>
      <c r="G43" s="424"/>
      <c r="H43" s="424"/>
    </row>
    <row r="44" spans="1:8" s="118" customFormat="1" ht="16.2" customHeight="1">
      <c r="A44" s="440"/>
      <c r="B44" s="440"/>
      <c r="C44" s="116"/>
      <c r="D44" s="117"/>
      <c r="E44" s="440"/>
      <c r="F44" s="440"/>
      <c r="G44" s="440"/>
      <c r="H44" s="440"/>
    </row>
    <row r="45" spans="1:8" s="118" customFormat="1" ht="15.75" customHeight="1">
      <c r="A45" s="440"/>
      <c r="B45" s="440"/>
      <c r="C45" s="440"/>
      <c r="D45" s="440"/>
      <c r="E45" s="440"/>
      <c r="F45" s="440"/>
      <c r="G45" s="440"/>
      <c r="H45" s="440"/>
    </row>
    <row r="46" spans="1:8" s="98" customFormat="1" ht="16.2" customHeight="1">
      <c r="A46" s="436"/>
      <c r="B46" s="436"/>
      <c r="C46" s="436"/>
      <c r="D46" s="436"/>
      <c r="E46" s="119"/>
      <c r="F46" s="120"/>
      <c r="G46" s="119"/>
      <c r="H46" s="121"/>
    </row>
    <row r="47" spans="1:8" s="98" customFormat="1" ht="16.2" customHeight="1">
      <c r="A47" s="436"/>
      <c r="B47" s="436"/>
      <c r="C47" s="436"/>
      <c r="D47" s="436"/>
      <c r="E47" s="119"/>
      <c r="F47" s="120"/>
      <c r="G47" s="119"/>
      <c r="H47" s="121"/>
    </row>
    <row r="48" spans="1:8" s="98" customFormat="1" ht="16.2" customHeight="1">
      <c r="A48" s="121"/>
      <c r="B48" s="121"/>
      <c r="C48" s="121"/>
      <c r="D48" s="122"/>
      <c r="E48" s="119"/>
      <c r="F48" s="120"/>
      <c r="G48" s="119"/>
      <c r="H48" s="121"/>
    </row>
    <row r="49" spans="1:8" ht="16.2" customHeight="1">
      <c r="A49" s="83"/>
      <c r="B49" s="83"/>
      <c r="C49" s="83"/>
      <c r="D49" s="84"/>
      <c r="E49" s="85"/>
      <c r="F49" s="86"/>
      <c r="G49" s="85"/>
      <c r="H49" s="83"/>
    </row>
    <row r="50" spans="1:8" ht="16.2" customHeight="1">
      <c r="A50" s="83"/>
      <c r="B50" s="83"/>
      <c r="C50" s="83"/>
      <c r="D50" s="84"/>
      <c r="E50" s="85"/>
      <c r="F50" s="86"/>
      <c r="G50" s="85"/>
      <c r="H50" s="83"/>
    </row>
    <row r="51" spans="1:8" ht="16.2" customHeight="1">
      <c r="A51" s="83"/>
      <c r="B51" s="83"/>
      <c r="C51" s="83"/>
      <c r="D51" s="84"/>
      <c r="E51" s="85"/>
      <c r="F51" s="86"/>
      <c r="G51" s="85"/>
      <c r="H51" s="83"/>
    </row>
    <row r="52" spans="1:8" ht="16.2" customHeight="1">
      <c r="A52" s="83"/>
      <c r="B52" s="83"/>
      <c r="C52" s="83"/>
      <c r="D52" s="84"/>
      <c r="E52" s="437"/>
      <c r="F52" s="437"/>
      <c r="G52" s="437"/>
      <c r="H52" s="437"/>
    </row>
    <row r="53" spans="1:8" ht="20.25" customHeight="1">
      <c r="A53" s="438"/>
      <c r="B53" s="438"/>
      <c r="C53" s="438"/>
      <c r="D53" s="438"/>
      <c r="E53" s="438"/>
      <c r="F53" s="438"/>
      <c r="G53" s="438"/>
      <c r="H53" s="438"/>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ht="16.2" customHeight="1"/>
    <row r="83" spans="3:7" ht="16.2" customHeight="1"/>
    <row r="84" spans="3:7" ht="16.2" customHeight="1"/>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row r="229"/>
    <row r="230"/>
    <row r="231"/>
    <row r="232"/>
    <row r="233"/>
    <row r="234"/>
    <row r="235"/>
    <row r="236"/>
    <row r="237"/>
    <row r="238"/>
    <row r="239"/>
    <row r="240"/>
    <row r="241"/>
    <row r="242"/>
    <row r="243"/>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sheetData>
  <mergeCells count="41">
    <mergeCell ref="E52:H52"/>
    <mergeCell ref="A53:H53"/>
    <mergeCell ref="A44:B44"/>
    <mergeCell ref="E44:H44"/>
    <mergeCell ref="A45:D45"/>
    <mergeCell ref="E45:H45"/>
    <mergeCell ref="A46:D46"/>
    <mergeCell ref="A47:D47"/>
    <mergeCell ref="A43:D43"/>
    <mergeCell ref="E43:H43"/>
    <mergeCell ref="C26:H26"/>
    <mergeCell ref="A27:B27"/>
    <mergeCell ref="C27:E27"/>
    <mergeCell ref="F27:H27"/>
    <mergeCell ref="C33:E33"/>
    <mergeCell ref="F33:H33"/>
    <mergeCell ref="A35:D35"/>
    <mergeCell ref="E35:H35"/>
    <mergeCell ref="A36:D36"/>
    <mergeCell ref="E36:H36"/>
    <mergeCell ref="E42:H42"/>
    <mergeCell ref="A24:H24"/>
    <mergeCell ref="A6:H6"/>
    <mergeCell ref="A7:H7"/>
    <mergeCell ref="A8:H8"/>
    <mergeCell ref="A9:H9"/>
    <mergeCell ref="A10:H10"/>
    <mergeCell ref="A11:H11"/>
    <mergeCell ref="B13:F13"/>
    <mergeCell ref="B15:F15"/>
    <mergeCell ref="B20:F20"/>
    <mergeCell ref="B22:F22"/>
    <mergeCell ref="B23:F23"/>
    <mergeCell ref="B16:F16"/>
    <mergeCell ref="A4:B4"/>
    <mergeCell ref="C4:H4"/>
    <mergeCell ref="A1:B1"/>
    <mergeCell ref="C1:H1"/>
    <mergeCell ref="A2:B2"/>
    <mergeCell ref="C2:H2"/>
    <mergeCell ref="A3:B3"/>
  </mergeCells>
  <dataValidations count="1">
    <dataValidation type="list" allowBlank="1" showInputMessage="1" showErrorMessage="1" sqref="WVJ983045:WVJ983062 B983045:B983062 IX983045:IX983062 ST983045:ST983062 ACP983045:ACP983062 AML983045:AML983062 AWH983045:AWH983062 BGD983045:BGD983062 BPZ983045:BPZ983062 BZV983045:BZV983062 CJR983045:CJR983062 CTN983045:CTN983062 DDJ983045:DDJ983062 DNF983045:DNF983062 DXB983045:DXB983062 EGX983045:EGX983062 EQT983045:EQT983062 FAP983045:FAP983062 FKL983045:FKL983062 FUH983045:FUH983062 GED983045:GED983062 GNZ983045:GNZ983062 GXV983045:GXV983062 HHR983045:HHR983062 HRN983045:HRN983062 IBJ983045:IBJ983062 ILF983045:ILF983062 IVB983045:IVB983062 JEX983045:JEX983062 JOT983045:JOT983062 JYP983045:JYP983062 KIL983045:KIL983062 KSH983045:KSH983062 LCD983045:LCD983062 LLZ983045:LLZ983062 LVV983045:LVV983062 MFR983045:MFR983062 MPN983045:MPN983062 MZJ983045:MZJ983062 NJF983045:NJF983062 NTB983045:NTB983062 OCX983045:OCX983062 OMT983045:OMT983062 OWP983045:OWP983062 PGL983045:PGL983062 PQH983045:PQH983062 QAD983045:QAD983062 QJZ983045:QJZ983062 QTV983045:QTV983062 RDR983045:RDR983062 RNN983045:RNN983062 RXJ983045:RXJ983062 SHF983045:SHF983062 SRB983045:SRB983062 TAX983045:TAX983062 TKT983045:TKT983062 TUP983045:TUP983062 UEL983045:UEL983062 UOH983045:UOH983062 UYD983045:UYD983062 VHZ983045:VHZ983062 VRV983045:VRV983062 WBR983045:WBR983062 WLN983045:WLN983062 B65541:B65558 IX65541:IX65558 ST65541:ST65558 ACP65541:ACP65558 AML65541:AML65558 AWH65541:AWH65558 BGD65541:BGD65558 BPZ65541:BPZ65558 BZV65541:BZV65558 CJR65541:CJR65558 CTN65541:CTN65558 DDJ65541:DDJ65558 DNF65541:DNF65558 DXB65541:DXB65558 EGX65541:EGX65558 EQT65541:EQT65558 FAP65541:FAP65558 FKL65541:FKL65558 FUH65541:FUH65558 GED65541:GED65558 GNZ65541:GNZ65558 GXV65541:GXV65558 HHR65541:HHR65558 HRN65541:HRN65558 IBJ65541:IBJ65558 ILF65541:ILF65558 IVB65541:IVB65558 JEX65541:JEX65558 JOT65541:JOT65558 JYP65541:JYP65558 KIL65541:KIL65558 KSH65541:KSH65558 LCD65541:LCD65558 LLZ65541:LLZ65558 LVV65541:LVV65558 MFR65541:MFR65558 MPN65541:MPN65558 MZJ65541:MZJ65558 NJF65541:NJF65558 NTB65541:NTB65558 OCX65541:OCX65558 OMT65541:OMT65558 OWP65541:OWP65558 PGL65541:PGL65558 PQH65541:PQH65558 QAD65541:QAD65558 QJZ65541:QJZ65558 QTV65541:QTV65558 RDR65541:RDR65558 RNN65541:RNN65558 RXJ65541:RXJ65558 SHF65541:SHF65558 SRB65541:SRB65558 TAX65541:TAX65558 TKT65541:TKT65558 TUP65541:TUP65558 UEL65541:UEL65558 UOH65541:UOH65558 UYD65541:UYD65558 VHZ65541:VHZ65558 VRV65541:VRV65558 WBR65541:WBR65558 WLN65541:WLN65558 WVJ65541:WVJ65558 B131077:B131094 IX131077:IX131094 ST131077:ST131094 ACP131077:ACP131094 AML131077:AML131094 AWH131077:AWH131094 BGD131077:BGD131094 BPZ131077:BPZ131094 BZV131077:BZV131094 CJR131077:CJR131094 CTN131077:CTN131094 DDJ131077:DDJ131094 DNF131077:DNF131094 DXB131077:DXB131094 EGX131077:EGX131094 EQT131077:EQT131094 FAP131077:FAP131094 FKL131077:FKL131094 FUH131077:FUH131094 GED131077:GED131094 GNZ131077:GNZ131094 GXV131077:GXV131094 HHR131077:HHR131094 HRN131077:HRN131094 IBJ131077:IBJ131094 ILF131077:ILF131094 IVB131077:IVB131094 JEX131077:JEX131094 JOT131077:JOT131094 JYP131077:JYP131094 KIL131077:KIL131094 KSH131077:KSH131094 LCD131077:LCD131094 LLZ131077:LLZ131094 LVV131077:LVV131094 MFR131077:MFR131094 MPN131077:MPN131094 MZJ131077:MZJ131094 NJF131077:NJF131094 NTB131077:NTB131094 OCX131077:OCX131094 OMT131077:OMT131094 OWP131077:OWP131094 PGL131077:PGL131094 PQH131077:PQH131094 QAD131077:QAD131094 QJZ131077:QJZ131094 QTV131077:QTV131094 RDR131077:RDR131094 RNN131077:RNN131094 RXJ131077:RXJ131094 SHF131077:SHF131094 SRB131077:SRB131094 TAX131077:TAX131094 TKT131077:TKT131094 TUP131077:TUP131094 UEL131077:UEL131094 UOH131077:UOH131094 UYD131077:UYD131094 VHZ131077:VHZ131094 VRV131077:VRV131094 WBR131077:WBR131094 WLN131077:WLN131094 WVJ131077:WVJ131094 B196613:B196630 IX196613:IX196630 ST196613:ST196630 ACP196613:ACP196630 AML196613:AML196630 AWH196613:AWH196630 BGD196613:BGD196630 BPZ196613:BPZ196630 BZV196613:BZV196630 CJR196613:CJR196630 CTN196613:CTN196630 DDJ196613:DDJ196630 DNF196613:DNF196630 DXB196613:DXB196630 EGX196613:EGX196630 EQT196613:EQT196630 FAP196613:FAP196630 FKL196613:FKL196630 FUH196613:FUH196630 GED196613:GED196630 GNZ196613:GNZ196630 GXV196613:GXV196630 HHR196613:HHR196630 HRN196613:HRN196630 IBJ196613:IBJ196630 ILF196613:ILF196630 IVB196613:IVB196630 JEX196613:JEX196630 JOT196613:JOT196630 JYP196613:JYP196630 KIL196613:KIL196630 KSH196613:KSH196630 LCD196613:LCD196630 LLZ196613:LLZ196630 LVV196613:LVV196630 MFR196613:MFR196630 MPN196613:MPN196630 MZJ196613:MZJ196630 NJF196613:NJF196630 NTB196613:NTB196630 OCX196613:OCX196630 OMT196613:OMT196630 OWP196613:OWP196630 PGL196613:PGL196630 PQH196613:PQH196630 QAD196613:QAD196630 QJZ196613:QJZ196630 QTV196613:QTV196630 RDR196613:RDR196630 RNN196613:RNN196630 RXJ196613:RXJ196630 SHF196613:SHF196630 SRB196613:SRB196630 TAX196613:TAX196630 TKT196613:TKT196630 TUP196613:TUP196630 UEL196613:UEL196630 UOH196613:UOH196630 UYD196613:UYD196630 VHZ196613:VHZ196630 VRV196613:VRV196630 WBR196613:WBR196630 WLN196613:WLN196630 WVJ196613:WVJ196630 B262149:B262166 IX262149:IX262166 ST262149:ST262166 ACP262149:ACP262166 AML262149:AML262166 AWH262149:AWH262166 BGD262149:BGD262166 BPZ262149:BPZ262166 BZV262149:BZV262166 CJR262149:CJR262166 CTN262149:CTN262166 DDJ262149:DDJ262166 DNF262149:DNF262166 DXB262149:DXB262166 EGX262149:EGX262166 EQT262149:EQT262166 FAP262149:FAP262166 FKL262149:FKL262166 FUH262149:FUH262166 GED262149:GED262166 GNZ262149:GNZ262166 GXV262149:GXV262166 HHR262149:HHR262166 HRN262149:HRN262166 IBJ262149:IBJ262166 ILF262149:ILF262166 IVB262149:IVB262166 JEX262149:JEX262166 JOT262149:JOT262166 JYP262149:JYP262166 KIL262149:KIL262166 KSH262149:KSH262166 LCD262149:LCD262166 LLZ262149:LLZ262166 LVV262149:LVV262166 MFR262149:MFR262166 MPN262149:MPN262166 MZJ262149:MZJ262166 NJF262149:NJF262166 NTB262149:NTB262166 OCX262149:OCX262166 OMT262149:OMT262166 OWP262149:OWP262166 PGL262149:PGL262166 PQH262149:PQH262166 QAD262149:QAD262166 QJZ262149:QJZ262166 QTV262149:QTV262166 RDR262149:RDR262166 RNN262149:RNN262166 RXJ262149:RXJ262166 SHF262149:SHF262166 SRB262149:SRB262166 TAX262149:TAX262166 TKT262149:TKT262166 TUP262149:TUP262166 UEL262149:UEL262166 UOH262149:UOH262166 UYD262149:UYD262166 VHZ262149:VHZ262166 VRV262149:VRV262166 WBR262149:WBR262166 WLN262149:WLN262166 WVJ262149:WVJ262166 B327685:B327702 IX327685:IX327702 ST327685:ST327702 ACP327685:ACP327702 AML327685:AML327702 AWH327685:AWH327702 BGD327685:BGD327702 BPZ327685:BPZ327702 BZV327685:BZV327702 CJR327685:CJR327702 CTN327685:CTN327702 DDJ327685:DDJ327702 DNF327685:DNF327702 DXB327685:DXB327702 EGX327685:EGX327702 EQT327685:EQT327702 FAP327685:FAP327702 FKL327685:FKL327702 FUH327685:FUH327702 GED327685:GED327702 GNZ327685:GNZ327702 GXV327685:GXV327702 HHR327685:HHR327702 HRN327685:HRN327702 IBJ327685:IBJ327702 ILF327685:ILF327702 IVB327685:IVB327702 JEX327685:JEX327702 JOT327685:JOT327702 JYP327685:JYP327702 KIL327685:KIL327702 KSH327685:KSH327702 LCD327685:LCD327702 LLZ327685:LLZ327702 LVV327685:LVV327702 MFR327685:MFR327702 MPN327685:MPN327702 MZJ327685:MZJ327702 NJF327685:NJF327702 NTB327685:NTB327702 OCX327685:OCX327702 OMT327685:OMT327702 OWP327685:OWP327702 PGL327685:PGL327702 PQH327685:PQH327702 QAD327685:QAD327702 QJZ327685:QJZ327702 QTV327685:QTV327702 RDR327685:RDR327702 RNN327685:RNN327702 RXJ327685:RXJ327702 SHF327685:SHF327702 SRB327685:SRB327702 TAX327685:TAX327702 TKT327685:TKT327702 TUP327685:TUP327702 UEL327685:UEL327702 UOH327685:UOH327702 UYD327685:UYD327702 VHZ327685:VHZ327702 VRV327685:VRV327702 WBR327685:WBR327702 WLN327685:WLN327702 WVJ327685:WVJ327702 B393221:B393238 IX393221:IX393238 ST393221:ST393238 ACP393221:ACP393238 AML393221:AML393238 AWH393221:AWH393238 BGD393221:BGD393238 BPZ393221:BPZ393238 BZV393221:BZV393238 CJR393221:CJR393238 CTN393221:CTN393238 DDJ393221:DDJ393238 DNF393221:DNF393238 DXB393221:DXB393238 EGX393221:EGX393238 EQT393221:EQT393238 FAP393221:FAP393238 FKL393221:FKL393238 FUH393221:FUH393238 GED393221:GED393238 GNZ393221:GNZ393238 GXV393221:GXV393238 HHR393221:HHR393238 HRN393221:HRN393238 IBJ393221:IBJ393238 ILF393221:ILF393238 IVB393221:IVB393238 JEX393221:JEX393238 JOT393221:JOT393238 JYP393221:JYP393238 KIL393221:KIL393238 KSH393221:KSH393238 LCD393221:LCD393238 LLZ393221:LLZ393238 LVV393221:LVV393238 MFR393221:MFR393238 MPN393221:MPN393238 MZJ393221:MZJ393238 NJF393221:NJF393238 NTB393221:NTB393238 OCX393221:OCX393238 OMT393221:OMT393238 OWP393221:OWP393238 PGL393221:PGL393238 PQH393221:PQH393238 QAD393221:QAD393238 QJZ393221:QJZ393238 QTV393221:QTV393238 RDR393221:RDR393238 RNN393221:RNN393238 RXJ393221:RXJ393238 SHF393221:SHF393238 SRB393221:SRB393238 TAX393221:TAX393238 TKT393221:TKT393238 TUP393221:TUP393238 UEL393221:UEL393238 UOH393221:UOH393238 UYD393221:UYD393238 VHZ393221:VHZ393238 VRV393221:VRV393238 WBR393221:WBR393238 WLN393221:WLN393238 WVJ393221:WVJ393238 B458757:B458774 IX458757:IX458774 ST458757:ST458774 ACP458757:ACP458774 AML458757:AML458774 AWH458757:AWH458774 BGD458757:BGD458774 BPZ458757:BPZ458774 BZV458757:BZV458774 CJR458757:CJR458774 CTN458757:CTN458774 DDJ458757:DDJ458774 DNF458757:DNF458774 DXB458757:DXB458774 EGX458757:EGX458774 EQT458757:EQT458774 FAP458757:FAP458774 FKL458757:FKL458774 FUH458757:FUH458774 GED458757:GED458774 GNZ458757:GNZ458774 GXV458757:GXV458774 HHR458757:HHR458774 HRN458757:HRN458774 IBJ458757:IBJ458774 ILF458757:ILF458774 IVB458757:IVB458774 JEX458757:JEX458774 JOT458757:JOT458774 JYP458757:JYP458774 KIL458757:KIL458774 KSH458757:KSH458774 LCD458757:LCD458774 LLZ458757:LLZ458774 LVV458757:LVV458774 MFR458757:MFR458774 MPN458757:MPN458774 MZJ458757:MZJ458774 NJF458757:NJF458774 NTB458757:NTB458774 OCX458757:OCX458774 OMT458757:OMT458774 OWP458757:OWP458774 PGL458757:PGL458774 PQH458757:PQH458774 QAD458757:QAD458774 QJZ458757:QJZ458774 QTV458757:QTV458774 RDR458757:RDR458774 RNN458757:RNN458774 RXJ458757:RXJ458774 SHF458757:SHF458774 SRB458757:SRB458774 TAX458757:TAX458774 TKT458757:TKT458774 TUP458757:TUP458774 UEL458757:UEL458774 UOH458757:UOH458774 UYD458757:UYD458774 VHZ458757:VHZ458774 VRV458757:VRV458774 WBR458757:WBR458774 WLN458757:WLN458774 WVJ458757:WVJ458774 B524293:B524310 IX524293:IX524310 ST524293:ST524310 ACP524293:ACP524310 AML524293:AML524310 AWH524293:AWH524310 BGD524293:BGD524310 BPZ524293:BPZ524310 BZV524293:BZV524310 CJR524293:CJR524310 CTN524293:CTN524310 DDJ524293:DDJ524310 DNF524293:DNF524310 DXB524293:DXB524310 EGX524293:EGX524310 EQT524293:EQT524310 FAP524293:FAP524310 FKL524293:FKL524310 FUH524293:FUH524310 GED524293:GED524310 GNZ524293:GNZ524310 GXV524293:GXV524310 HHR524293:HHR524310 HRN524293:HRN524310 IBJ524293:IBJ524310 ILF524293:ILF524310 IVB524293:IVB524310 JEX524293:JEX524310 JOT524293:JOT524310 JYP524293:JYP524310 KIL524293:KIL524310 KSH524293:KSH524310 LCD524293:LCD524310 LLZ524293:LLZ524310 LVV524293:LVV524310 MFR524293:MFR524310 MPN524293:MPN524310 MZJ524293:MZJ524310 NJF524293:NJF524310 NTB524293:NTB524310 OCX524293:OCX524310 OMT524293:OMT524310 OWP524293:OWP524310 PGL524293:PGL524310 PQH524293:PQH524310 QAD524293:QAD524310 QJZ524293:QJZ524310 QTV524293:QTV524310 RDR524293:RDR524310 RNN524293:RNN524310 RXJ524293:RXJ524310 SHF524293:SHF524310 SRB524293:SRB524310 TAX524293:TAX524310 TKT524293:TKT524310 TUP524293:TUP524310 UEL524293:UEL524310 UOH524293:UOH524310 UYD524293:UYD524310 VHZ524293:VHZ524310 VRV524293:VRV524310 WBR524293:WBR524310 WLN524293:WLN524310 WVJ524293:WVJ524310 B589829:B589846 IX589829:IX589846 ST589829:ST589846 ACP589829:ACP589846 AML589829:AML589846 AWH589829:AWH589846 BGD589829:BGD589846 BPZ589829:BPZ589846 BZV589829:BZV589846 CJR589829:CJR589846 CTN589829:CTN589846 DDJ589829:DDJ589846 DNF589829:DNF589846 DXB589829:DXB589846 EGX589829:EGX589846 EQT589829:EQT589846 FAP589829:FAP589846 FKL589829:FKL589846 FUH589829:FUH589846 GED589829:GED589846 GNZ589829:GNZ589846 GXV589829:GXV589846 HHR589829:HHR589846 HRN589829:HRN589846 IBJ589829:IBJ589846 ILF589829:ILF589846 IVB589829:IVB589846 JEX589829:JEX589846 JOT589829:JOT589846 JYP589829:JYP589846 KIL589829:KIL589846 KSH589829:KSH589846 LCD589829:LCD589846 LLZ589829:LLZ589846 LVV589829:LVV589846 MFR589829:MFR589846 MPN589829:MPN589846 MZJ589829:MZJ589846 NJF589829:NJF589846 NTB589829:NTB589846 OCX589829:OCX589846 OMT589829:OMT589846 OWP589829:OWP589846 PGL589829:PGL589846 PQH589829:PQH589846 QAD589829:QAD589846 QJZ589829:QJZ589846 QTV589829:QTV589846 RDR589829:RDR589846 RNN589829:RNN589846 RXJ589829:RXJ589846 SHF589829:SHF589846 SRB589829:SRB589846 TAX589829:TAX589846 TKT589829:TKT589846 TUP589829:TUP589846 UEL589829:UEL589846 UOH589829:UOH589846 UYD589829:UYD589846 VHZ589829:VHZ589846 VRV589829:VRV589846 WBR589829:WBR589846 WLN589829:WLN589846 WVJ589829:WVJ589846 B655365:B655382 IX655365:IX655382 ST655365:ST655382 ACP655365:ACP655382 AML655365:AML655382 AWH655365:AWH655382 BGD655365:BGD655382 BPZ655365:BPZ655382 BZV655365:BZV655382 CJR655365:CJR655382 CTN655365:CTN655382 DDJ655365:DDJ655382 DNF655365:DNF655382 DXB655365:DXB655382 EGX655365:EGX655382 EQT655365:EQT655382 FAP655365:FAP655382 FKL655365:FKL655382 FUH655365:FUH655382 GED655365:GED655382 GNZ655365:GNZ655382 GXV655365:GXV655382 HHR655365:HHR655382 HRN655365:HRN655382 IBJ655365:IBJ655382 ILF655365:ILF655382 IVB655365:IVB655382 JEX655365:JEX655382 JOT655365:JOT655382 JYP655365:JYP655382 KIL655365:KIL655382 KSH655365:KSH655382 LCD655365:LCD655382 LLZ655365:LLZ655382 LVV655365:LVV655382 MFR655365:MFR655382 MPN655365:MPN655382 MZJ655365:MZJ655382 NJF655365:NJF655382 NTB655365:NTB655382 OCX655365:OCX655382 OMT655365:OMT655382 OWP655365:OWP655382 PGL655365:PGL655382 PQH655365:PQH655382 QAD655365:QAD655382 QJZ655365:QJZ655382 QTV655365:QTV655382 RDR655365:RDR655382 RNN655365:RNN655382 RXJ655365:RXJ655382 SHF655365:SHF655382 SRB655365:SRB655382 TAX655365:TAX655382 TKT655365:TKT655382 TUP655365:TUP655382 UEL655365:UEL655382 UOH655365:UOH655382 UYD655365:UYD655382 VHZ655365:VHZ655382 VRV655365:VRV655382 WBR655365:WBR655382 WLN655365:WLN655382 WVJ655365:WVJ655382 B720901:B720918 IX720901:IX720918 ST720901:ST720918 ACP720901:ACP720918 AML720901:AML720918 AWH720901:AWH720918 BGD720901:BGD720918 BPZ720901:BPZ720918 BZV720901:BZV720918 CJR720901:CJR720918 CTN720901:CTN720918 DDJ720901:DDJ720918 DNF720901:DNF720918 DXB720901:DXB720918 EGX720901:EGX720918 EQT720901:EQT720918 FAP720901:FAP720918 FKL720901:FKL720918 FUH720901:FUH720918 GED720901:GED720918 GNZ720901:GNZ720918 GXV720901:GXV720918 HHR720901:HHR720918 HRN720901:HRN720918 IBJ720901:IBJ720918 ILF720901:ILF720918 IVB720901:IVB720918 JEX720901:JEX720918 JOT720901:JOT720918 JYP720901:JYP720918 KIL720901:KIL720918 KSH720901:KSH720918 LCD720901:LCD720918 LLZ720901:LLZ720918 LVV720901:LVV720918 MFR720901:MFR720918 MPN720901:MPN720918 MZJ720901:MZJ720918 NJF720901:NJF720918 NTB720901:NTB720918 OCX720901:OCX720918 OMT720901:OMT720918 OWP720901:OWP720918 PGL720901:PGL720918 PQH720901:PQH720918 QAD720901:QAD720918 QJZ720901:QJZ720918 QTV720901:QTV720918 RDR720901:RDR720918 RNN720901:RNN720918 RXJ720901:RXJ720918 SHF720901:SHF720918 SRB720901:SRB720918 TAX720901:TAX720918 TKT720901:TKT720918 TUP720901:TUP720918 UEL720901:UEL720918 UOH720901:UOH720918 UYD720901:UYD720918 VHZ720901:VHZ720918 VRV720901:VRV720918 WBR720901:WBR720918 WLN720901:WLN720918 WVJ720901:WVJ720918 B786437:B786454 IX786437:IX786454 ST786437:ST786454 ACP786437:ACP786454 AML786437:AML786454 AWH786437:AWH786454 BGD786437:BGD786454 BPZ786437:BPZ786454 BZV786437:BZV786454 CJR786437:CJR786454 CTN786437:CTN786454 DDJ786437:DDJ786454 DNF786437:DNF786454 DXB786437:DXB786454 EGX786437:EGX786454 EQT786437:EQT786454 FAP786437:FAP786454 FKL786437:FKL786454 FUH786437:FUH786454 GED786437:GED786454 GNZ786437:GNZ786454 GXV786437:GXV786454 HHR786437:HHR786454 HRN786437:HRN786454 IBJ786437:IBJ786454 ILF786437:ILF786454 IVB786437:IVB786454 JEX786437:JEX786454 JOT786437:JOT786454 JYP786437:JYP786454 KIL786437:KIL786454 KSH786437:KSH786454 LCD786437:LCD786454 LLZ786437:LLZ786454 LVV786437:LVV786454 MFR786437:MFR786454 MPN786437:MPN786454 MZJ786437:MZJ786454 NJF786437:NJF786454 NTB786437:NTB786454 OCX786437:OCX786454 OMT786437:OMT786454 OWP786437:OWP786454 PGL786437:PGL786454 PQH786437:PQH786454 QAD786437:QAD786454 QJZ786437:QJZ786454 QTV786437:QTV786454 RDR786437:RDR786454 RNN786437:RNN786454 RXJ786437:RXJ786454 SHF786437:SHF786454 SRB786437:SRB786454 TAX786437:TAX786454 TKT786437:TKT786454 TUP786437:TUP786454 UEL786437:UEL786454 UOH786437:UOH786454 UYD786437:UYD786454 VHZ786437:VHZ786454 VRV786437:VRV786454 WBR786437:WBR786454 WLN786437:WLN786454 WVJ786437:WVJ786454 B851973:B851990 IX851973:IX851990 ST851973:ST851990 ACP851973:ACP851990 AML851973:AML851990 AWH851973:AWH851990 BGD851973:BGD851990 BPZ851973:BPZ851990 BZV851973:BZV851990 CJR851973:CJR851990 CTN851973:CTN851990 DDJ851973:DDJ851990 DNF851973:DNF851990 DXB851973:DXB851990 EGX851973:EGX851990 EQT851973:EQT851990 FAP851973:FAP851990 FKL851973:FKL851990 FUH851973:FUH851990 GED851973:GED851990 GNZ851973:GNZ851990 GXV851973:GXV851990 HHR851973:HHR851990 HRN851973:HRN851990 IBJ851973:IBJ851990 ILF851973:ILF851990 IVB851973:IVB851990 JEX851973:JEX851990 JOT851973:JOT851990 JYP851973:JYP851990 KIL851973:KIL851990 KSH851973:KSH851990 LCD851973:LCD851990 LLZ851973:LLZ851990 LVV851973:LVV851990 MFR851973:MFR851990 MPN851973:MPN851990 MZJ851973:MZJ851990 NJF851973:NJF851990 NTB851973:NTB851990 OCX851973:OCX851990 OMT851973:OMT851990 OWP851973:OWP851990 PGL851973:PGL851990 PQH851973:PQH851990 QAD851973:QAD851990 QJZ851973:QJZ851990 QTV851973:QTV851990 RDR851973:RDR851990 RNN851973:RNN851990 RXJ851973:RXJ851990 SHF851973:SHF851990 SRB851973:SRB851990 TAX851973:TAX851990 TKT851973:TKT851990 TUP851973:TUP851990 UEL851973:UEL851990 UOH851973:UOH851990 UYD851973:UYD851990 VHZ851973:VHZ851990 VRV851973:VRV851990 WBR851973:WBR851990 WLN851973:WLN851990 WVJ851973:WVJ851990 B917509:B917526 IX917509:IX917526 ST917509:ST917526 ACP917509:ACP917526 AML917509:AML917526 AWH917509:AWH917526 BGD917509:BGD917526 BPZ917509:BPZ917526 BZV917509:BZV917526 CJR917509:CJR917526 CTN917509:CTN917526 DDJ917509:DDJ917526 DNF917509:DNF917526 DXB917509:DXB917526 EGX917509:EGX917526 EQT917509:EQT917526 FAP917509:FAP917526 FKL917509:FKL917526 FUH917509:FUH917526 GED917509:GED917526 GNZ917509:GNZ917526 GXV917509:GXV917526 HHR917509:HHR917526 HRN917509:HRN917526 IBJ917509:IBJ917526 ILF917509:ILF917526 IVB917509:IVB917526 JEX917509:JEX917526 JOT917509:JOT917526 JYP917509:JYP917526 KIL917509:KIL917526 KSH917509:KSH917526 LCD917509:LCD917526 LLZ917509:LLZ917526 LVV917509:LVV917526 MFR917509:MFR917526 MPN917509:MPN917526 MZJ917509:MZJ917526 NJF917509:NJF917526 NTB917509:NTB917526 OCX917509:OCX917526 OMT917509:OMT917526 OWP917509:OWP917526 PGL917509:PGL917526 PQH917509:PQH917526 QAD917509:QAD917526 QJZ917509:QJZ917526 QTV917509:QTV917526 RDR917509:RDR917526 RNN917509:RNN917526 RXJ917509:RXJ917526 SHF917509:SHF917526 SRB917509:SRB917526 TAX917509:TAX917526 TKT917509:TKT917526 TUP917509:TUP917526 UEL917509:UEL917526 UOH917509:UOH917526 UYD917509:UYD917526 VHZ917509:VHZ917526 VRV917509:VRV917526 WBR917509:WBR917526 WLN917509:WLN917526 WVJ917509:WVJ917526" xr:uid="{00000000-0002-0000-1D00-000000000000}">
      <formula1>trung</formula1>
    </dataValidation>
  </dataValidation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360"/>
  <sheetViews>
    <sheetView topLeftCell="A5" workbookViewId="0">
      <selection activeCell="A35" sqref="A35:D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57"/>
      <c r="G3" s="102"/>
      <c r="H3" s="103"/>
    </row>
    <row r="4" spans="1:8" s="98" customFormat="1" ht="18" customHeight="1">
      <c r="A4" s="414"/>
      <c r="B4" s="414"/>
      <c r="C4" s="415" t="s">
        <v>1740</v>
      </c>
      <c r="D4" s="416"/>
      <c r="E4" s="416"/>
      <c r="F4" s="416"/>
      <c r="G4" s="416"/>
      <c r="H4" s="416"/>
    </row>
    <row r="5" spans="1:8" s="98" customFormat="1" ht="15.6">
      <c r="A5" s="104"/>
      <c r="B5" s="104"/>
      <c r="C5" s="156"/>
      <c r="D5" s="105"/>
      <c r="E5" s="106"/>
      <c r="F5" s="156"/>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1908</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1909</v>
      </c>
      <c r="C13" s="425"/>
      <c r="D13" s="425"/>
      <c r="E13" s="425"/>
      <c r="F13" s="425"/>
      <c r="G13" s="73">
        <f>G14</f>
        <v>48379999.999999993</v>
      </c>
      <c r="H13" s="74"/>
    </row>
    <row r="14" spans="1:8" s="131" customFormat="1" ht="40.5" customHeight="1">
      <c r="A14" s="123"/>
      <c r="B14" s="124" t="s">
        <v>1757</v>
      </c>
      <c r="C14" s="125" t="s">
        <v>1753</v>
      </c>
      <c r="D14" s="126">
        <v>4.0999999999999996</v>
      </c>
      <c r="E14" s="127">
        <v>11800000</v>
      </c>
      <c r="F14" s="128">
        <v>1</v>
      </c>
      <c r="G14" s="129">
        <f>D14*E14*F14</f>
        <v>48379999.999999993</v>
      </c>
      <c r="H14" s="130"/>
    </row>
    <row r="15" spans="1:8" ht="27" customHeight="1">
      <c r="A15" s="75" t="s">
        <v>18</v>
      </c>
      <c r="B15" s="426" t="s">
        <v>1725</v>
      </c>
      <c r="C15" s="426"/>
      <c r="D15" s="426"/>
      <c r="E15" s="426"/>
      <c r="F15" s="426"/>
      <c r="G15" s="76">
        <f>SUM(G16:G16)</f>
        <v>11965950.694499999</v>
      </c>
      <c r="H15" s="11"/>
    </row>
    <row r="16" spans="1:8" ht="31.2">
      <c r="A16" s="77">
        <v>1</v>
      </c>
      <c r="B16" s="78" t="s">
        <v>1910</v>
      </c>
      <c r="C16" s="14" t="s">
        <v>1754</v>
      </c>
      <c r="D16" s="132">
        <f>33*1.55*0.11</f>
        <v>5.6265000000000001</v>
      </c>
      <c r="E16" s="15">
        <v>2126713</v>
      </c>
      <c r="F16" s="14">
        <v>1</v>
      </c>
      <c r="G16" s="79">
        <f t="shared" ref="G16" si="0">D16*E16*F16</f>
        <v>11965950.694499999</v>
      </c>
      <c r="H16" s="15"/>
    </row>
    <row r="17" spans="1:8" ht="24" customHeight="1">
      <c r="A17" s="75" t="s">
        <v>19</v>
      </c>
      <c r="B17" s="426" t="s">
        <v>1727</v>
      </c>
      <c r="C17" s="426"/>
      <c r="D17" s="426"/>
      <c r="E17" s="426"/>
      <c r="F17" s="426"/>
      <c r="G17" s="76">
        <f>SUM(G18:G20)</f>
        <v>1195000</v>
      </c>
      <c r="H17" s="11"/>
    </row>
    <row r="18" spans="1:8" s="12" customFormat="1" ht="31.2">
      <c r="A18" s="94">
        <v>1</v>
      </c>
      <c r="B18" s="154" t="s">
        <v>819</v>
      </c>
      <c r="C18" s="14" t="s">
        <v>1724</v>
      </c>
      <c r="D18" s="14">
        <v>1</v>
      </c>
      <c r="E18" s="79" t="str">
        <f>VLOOKUP(B18,'[20]Đơn giá cây cối'!$A$2:$C$1361,3,0)</f>
        <v>933.000</v>
      </c>
      <c r="F18" s="137">
        <v>1</v>
      </c>
      <c r="G18" s="79">
        <f>D18*E18*F18</f>
        <v>933000</v>
      </c>
      <c r="H18" s="95"/>
    </row>
    <row r="19" spans="1:8" s="12" customFormat="1" ht="31.2">
      <c r="A19" s="94">
        <v>2</v>
      </c>
      <c r="B19" s="154" t="s">
        <v>350</v>
      </c>
      <c r="C19" s="14" t="s">
        <v>1724</v>
      </c>
      <c r="D19" s="14">
        <v>1</v>
      </c>
      <c r="E19" s="79" t="str">
        <f>VLOOKUP(B19,'[20]Đơn giá cây cối'!$A$2:$C$1361,3,0)</f>
        <v>162.000</v>
      </c>
      <c r="F19" s="137">
        <v>1</v>
      </c>
      <c r="G19" s="79">
        <f t="shared" ref="G19:G20" si="1">D19*E19*F19</f>
        <v>162000</v>
      </c>
      <c r="H19" s="95"/>
    </row>
    <row r="20" spans="1:8" s="12" customFormat="1" ht="31.2">
      <c r="A20" s="94">
        <v>3</v>
      </c>
      <c r="B20" s="154" t="s">
        <v>262</v>
      </c>
      <c r="C20" s="14" t="s">
        <v>1724</v>
      </c>
      <c r="D20" s="14">
        <v>1</v>
      </c>
      <c r="E20" s="79">
        <f>VLOOKUP(B20,'[20]Đơn giá cây cối'!$A$2:$C$1361,3,0)</f>
        <v>100000</v>
      </c>
      <c r="F20" s="137">
        <v>1</v>
      </c>
      <c r="G20" s="79">
        <f t="shared" si="1"/>
        <v>100000</v>
      </c>
      <c r="H20" s="95"/>
    </row>
    <row r="21" spans="1:8" ht="15.6">
      <c r="A21" s="80"/>
      <c r="B21" s="427" t="s">
        <v>62</v>
      </c>
      <c r="C21" s="428"/>
      <c r="D21" s="428"/>
      <c r="E21" s="428"/>
      <c r="F21" s="429"/>
      <c r="G21" s="81">
        <f>G13+G15+G17</f>
        <v>61540950.694499992</v>
      </c>
      <c r="H21" s="82"/>
    </row>
    <row r="22" spans="1:8" ht="15.6">
      <c r="A22" s="80"/>
      <c r="B22" s="427" t="s">
        <v>1726</v>
      </c>
      <c r="C22" s="428"/>
      <c r="D22" s="428"/>
      <c r="E22" s="428"/>
      <c r="F22" s="429"/>
      <c r="G22" s="81">
        <f>ROUND(G21,-3)</f>
        <v>61541000</v>
      </c>
      <c r="H22" s="82"/>
    </row>
    <row r="23" spans="1:8" ht="15.6">
      <c r="A23" s="430" t="e">
        <f ca="1">[19]!vnd(G22)</f>
        <v>#NAME?</v>
      </c>
      <c r="B23" s="431"/>
      <c r="C23" s="431"/>
      <c r="D23" s="431"/>
      <c r="E23" s="431"/>
      <c r="F23" s="431"/>
      <c r="G23" s="431"/>
      <c r="H23" s="432"/>
    </row>
    <row r="24" spans="1:8">
      <c r="A24" s="17"/>
      <c r="B24" s="17"/>
      <c r="C24" s="97"/>
      <c r="D24" s="20"/>
      <c r="E24" s="19"/>
      <c r="F24" s="97"/>
      <c r="G24" s="19"/>
      <c r="H24" s="17"/>
    </row>
    <row r="25" spans="1:8" s="109" customFormat="1" ht="16.5" customHeight="1">
      <c r="A25" s="108"/>
      <c r="B25" s="108"/>
      <c r="C25" s="424" t="s">
        <v>1742</v>
      </c>
      <c r="D25" s="424"/>
      <c r="E25" s="424"/>
      <c r="F25" s="424"/>
      <c r="G25" s="424"/>
      <c r="H25" s="424"/>
    </row>
    <row r="26" spans="1:8" s="109" customFormat="1" ht="16.5" customHeight="1">
      <c r="A26" s="423" t="s">
        <v>63</v>
      </c>
      <c r="B26" s="423"/>
      <c r="C26" s="424" t="s">
        <v>1743</v>
      </c>
      <c r="D26" s="424"/>
      <c r="E26" s="424"/>
      <c r="F26" s="424" t="s">
        <v>1744</v>
      </c>
      <c r="G26" s="424"/>
      <c r="H26" s="424"/>
    </row>
    <row r="27" spans="1:8" s="109" customFormat="1" ht="15.6">
      <c r="A27" s="108"/>
      <c r="B27" s="108"/>
      <c r="C27" s="108"/>
      <c r="D27" s="110"/>
      <c r="E27" s="111"/>
      <c r="F27" s="112"/>
      <c r="G27" s="111"/>
      <c r="H27" s="113"/>
    </row>
    <row r="28" spans="1:8" s="109" customFormat="1" ht="15.6">
      <c r="A28" s="108"/>
      <c r="B28" s="108"/>
      <c r="C28" s="108"/>
      <c r="D28" s="110"/>
      <c r="E28" s="111"/>
      <c r="F28" s="112"/>
      <c r="G28" s="114"/>
      <c r="H28" s="113"/>
    </row>
    <row r="29" spans="1:8" s="109" customFormat="1" ht="15.6">
      <c r="A29" s="108"/>
      <c r="B29" s="108"/>
      <c r="C29" s="108"/>
      <c r="D29" s="110"/>
      <c r="E29" s="111"/>
      <c r="F29" s="112"/>
      <c r="G29" s="111"/>
      <c r="H29" s="113"/>
    </row>
    <row r="30" spans="1:8" s="109" customFormat="1" ht="15.6">
      <c r="A30" s="108"/>
      <c r="B30" s="108"/>
      <c r="C30" s="108"/>
      <c r="D30" s="110"/>
      <c r="E30" s="111"/>
      <c r="F30" s="112"/>
      <c r="G30" s="111"/>
      <c r="H30" s="113"/>
    </row>
    <row r="31" spans="1:8" s="109" customFormat="1" ht="15.6">
      <c r="A31" s="108"/>
      <c r="B31" s="108"/>
      <c r="C31" s="108"/>
      <c r="D31" s="110"/>
      <c r="E31" s="111"/>
      <c r="F31" s="112"/>
      <c r="G31" s="111"/>
      <c r="H31" s="113"/>
    </row>
    <row r="32" spans="1:8" s="109" customFormat="1" ht="16.5" customHeight="1">
      <c r="A32" s="108"/>
      <c r="B32" s="158" t="s">
        <v>64</v>
      </c>
      <c r="C32" s="424"/>
      <c r="D32" s="424"/>
      <c r="E32" s="424"/>
      <c r="F32" s="424" t="s">
        <v>1745</v>
      </c>
      <c r="G32" s="424"/>
      <c r="H32" s="424"/>
    </row>
    <row r="33" spans="1:8" s="109" customFormat="1" ht="15.6">
      <c r="A33" s="108"/>
      <c r="B33" s="158"/>
      <c r="C33" s="155"/>
      <c r="D33" s="155"/>
      <c r="E33" s="155"/>
      <c r="F33" s="155"/>
      <c r="G33" s="155"/>
      <c r="H33" s="155"/>
    </row>
    <row r="34" spans="1:8" s="109" customFormat="1" ht="15" customHeight="1">
      <c r="A34" s="424" t="s">
        <v>1746</v>
      </c>
      <c r="B34" s="424"/>
      <c r="C34" s="424"/>
      <c r="D34" s="424"/>
      <c r="E34" s="424" t="s">
        <v>1747</v>
      </c>
      <c r="F34" s="424"/>
      <c r="G34" s="424"/>
      <c r="H34" s="424"/>
    </row>
    <row r="35" spans="1:8" s="109" customFormat="1" ht="33.6" customHeight="1">
      <c r="A35" s="424" t="s">
        <v>1748</v>
      </c>
      <c r="B35" s="424"/>
      <c r="C35" s="424"/>
      <c r="D35" s="424"/>
      <c r="E35" s="424" t="s">
        <v>65</v>
      </c>
      <c r="F35" s="424"/>
      <c r="G35" s="424"/>
      <c r="H35" s="424"/>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5.6" customHeight="1">
      <c r="A41" s="108"/>
      <c r="B41" s="108"/>
      <c r="C41" s="108"/>
      <c r="D41" s="115"/>
      <c r="E41" s="439" t="s">
        <v>1749</v>
      </c>
      <c r="F41" s="439"/>
      <c r="G41" s="439"/>
      <c r="H41" s="439"/>
    </row>
    <row r="42" spans="1:8" s="109" customFormat="1" ht="16.5" customHeight="1">
      <c r="A42" s="424" t="s">
        <v>1751</v>
      </c>
      <c r="B42" s="424"/>
      <c r="C42" s="424"/>
      <c r="D42" s="424"/>
      <c r="E42" s="424" t="s">
        <v>1750</v>
      </c>
      <c r="F42" s="424"/>
      <c r="G42" s="424"/>
      <c r="H42" s="424"/>
    </row>
    <row r="43" spans="1:8" s="118" customFormat="1" ht="16.2" customHeight="1">
      <c r="A43" s="440"/>
      <c r="B43" s="440"/>
      <c r="C43" s="116"/>
      <c r="D43" s="117"/>
      <c r="E43" s="440"/>
      <c r="F43" s="440"/>
      <c r="G43" s="440"/>
      <c r="H43" s="440"/>
    </row>
    <row r="44" spans="1:8" s="118" customFormat="1" ht="15.75" customHeight="1">
      <c r="A44" s="440"/>
      <c r="B44" s="440"/>
      <c r="C44" s="440"/>
      <c r="D44" s="440"/>
      <c r="E44" s="440"/>
      <c r="F44" s="440"/>
      <c r="G44" s="440"/>
      <c r="H44" s="440"/>
    </row>
    <row r="45" spans="1:8" s="98" customFormat="1" ht="16.2" customHeight="1">
      <c r="A45" s="436"/>
      <c r="B45" s="436"/>
      <c r="C45" s="436"/>
      <c r="D45" s="436"/>
      <c r="E45" s="119"/>
      <c r="F45" s="120"/>
      <c r="G45" s="119"/>
      <c r="H45" s="121"/>
    </row>
    <row r="46" spans="1:8" s="98" customFormat="1" ht="16.2" customHeight="1">
      <c r="A46" s="436"/>
      <c r="B46" s="436"/>
      <c r="C46" s="436"/>
      <c r="D46" s="436"/>
      <c r="E46" s="119"/>
      <c r="F46" s="120"/>
      <c r="G46" s="119"/>
      <c r="H46" s="121"/>
    </row>
    <row r="47" spans="1:8" s="98" customFormat="1" ht="16.2" customHeight="1">
      <c r="A47" s="121"/>
      <c r="B47" s="121"/>
      <c r="C47" s="121"/>
      <c r="D47" s="122"/>
      <c r="E47" s="119"/>
      <c r="F47" s="120"/>
      <c r="G47" s="119"/>
      <c r="H47" s="121"/>
    </row>
    <row r="48" spans="1:8" ht="16.2" customHeight="1">
      <c r="A48" s="83"/>
      <c r="B48" s="83"/>
      <c r="C48" s="83"/>
      <c r="D48" s="84"/>
      <c r="E48" s="85"/>
      <c r="F48" s="86"/>
      <c r="G48" s="85"/>
      <c r="H48" s="83"/>
    </row>
    <row r="49" spans="1:8" ht="16.2" customHeight="1">
      <c r="A49" s="83"/>
      <c r="B49" s="83"/>
      <c r="C49" s="83"/>
      <c r="D49" s="84"/>
      <c r="E49" s="85"/>
      <c r="F49" s="86"/>
      <c r="G49" s="85"/>
      <c r="H49" s="83"/>
    </row>
    <row r="50" spans="1:8" ht="16.2" customHeight="1">
      <c r="A50" s="83"/>
      <c r="B50" s="83"/>
      <c r="C50" s="83"/>
      <c r="D50" s="84"/>
      <c r="E50" s="85"/>
      <c r="F50" s="86"/>
      <c r="G50" s="85"/>
      <c r="H50" s="83"/>
    </row>
    <row r="51" spans="1:8" ht="16.2" customHeight="1">
      <c r="A51" s="83"/>
      <c r="B51" s="83"/>
      <c r="C51" s="83"/>
      <c r="D51" s="84"/>
      <c r="E51" s="437"/>
      <c r="F51" s="437"/>
      <c r="G51" s="437"/>
      <c r="H51" s="437"/>
    </row>
    <row r="52" spans="1:8" ht="20.25" customHeight="1">
      <c r="A52" s="438"/>
      <c r="B52" s="438"/>
      <c r="C52" s="438"/>
      <c r="D52" s="438"/>
      <c r="E52" s="438"/>
      <c r="F52" s="438"/>
      <c r="G52" s="438"/>
      <c r="H52" s="438"/>
    </row>
    <row r="53" spans="1:8" s="17" customFormat="1" ht="16.2" customHeight="1">
      <c r="D53" s="18"/>
      <c r="E53" s="19"/>
      <c r="F53" s="97"/>
      <c r="G53" s="19"/>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C69" s="97"/>
      <c r="D69" s="20"/>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ht="16.2" customHeight="1"/>
    <row r="82" ht="16.2" customHeight="1"/>
    <row r="83" ht="16.2" customHeight="1"/>
    <row r="84" ht="16.2" customHeight="1"/>
    <row r="85" ht="16.2" customHeight="1"/>
    <row r="86" ht="16.2" customHeight="1"/>
    <row r="87" ht="16.2" customHeight="1"/>
    <row r="88" ht="16.2" customHeight="1"/>
    <row r="89" ht="16.2" customHeight="1"/>
    <row r="90" ht="16.2" customHeight="1"/>
    <row r="91" ht="16.2" customHeight="1"/>
    <row r="92" ht="16.2" customHeight="1"/>
    <row r="93" ht="16.2" customHeight="1"/>
    <row r="94" ht="16.2" customHeight="1"/>
    <row r="95" ht="16.2" customHeight="1"/>
    <row r="96"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row r="228"/>
    <row r="229"/>
    <row r="230"/>
    <row r="231"/>
    <row r="232"/>
    <row r="233"/>
    <row r="234"/>
    <row r="235"/>
    <row r="236"/>
    <row r="237"/>
    <row r="238"/>
    <row r="239"/>
    <row r="240"/>
    <row r="241"/>
    <row r="242"/>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sheetData>
  <mergeCells count="40">
    <mergeCell ref="E51:H51"/>
    <mergeCell ref="A52:H52"/>
    <mergeCell ref="A43:B43"/>
    <mergeCell ref="E43:H43"/>
    <mergeCell ref="A44:D44"/>
    <mergeCell ref="E44:H44"/>
    <mergeCell ref="A45:D45"/>
    <mergeCell ref="A46:D46"/>
    <mergeCell ref="A42:D42"/>
    <mergeCell ref="E42:H42"/>
    <mergeCell ref="C25:H25"/>
    <mergeCell ref="A26:B26"/>
    <mergeCell ref="C26:E26"/>
    <mergeCell ref="F26:H26"/>
    <mergeCell ref="C32:E32"/>
    <mergeCell ref="F32:H32"/>
    <mergeCell ref="A34:D34"/>
    <mergeCell ref="E34:H34"/>
    <mergeCell ref="A35:D35"/>
    <mergeCell ref="E35:H35"/>
    <mergeCell ref="E41:H41"/>
    <mergeCell ref="A23:H23"/>
    <mergeCell ref="A6:H6"/>
    <mergeCell ref="A7:H7"/>
    <mergeCell ref="A8:H8"/>
    <mergeCell ref="A9:H9"/>
    <mergeCell ref="A10:H10"/>
    <mergeCell ref="A11:H11"/>
    <mergeCell ref="B13:F13"/>
    <mergeCell ref="B15:F15"/>
    <mergeCell ref="B17:F17"/>
    <mergeCell ref="B21:F21"/>
    <mergeCell ref="B22:F22"/>
    <mergeCell ref="A4:B4"/>
    <mergeCell ref="C4:H4"/>
    <mergeCell ref="A1:B1"/>
    <mergeCell ref="C1:H1"/>
    <mergeCell ref="A2:B2"/>
    <mergeCell ref="C2:H2"/>
    <mergeCell ref="A3:B3"/>
  </mergeCells>
  <dataValidations count="2">
    <dataValidation type="list" allowBlank="1" showInputMessage="1" showErrorMessage="1" sqref="WVJ983044:WVJ983061 B983044:B983061 IX983044:IX983061 ST983044:ST983061 ACP983044:ACP983061 AML983044:AML983061 AWH983044:AWH983061 BGD983044:BGD983061 BPZ983044:BPZ983061 BZV983044:BZV983061 CJR983044:CJR983061 CTN983044:CTN983061 DDJ983044:DDJ983061 DNF983044:DNF983061 DXB983044:DXB983061 EGX983044:EGX983061 EQT983044:EQT983061 FAP983044:FAP983061 FKL983044:FKL983061 FUH983044:FUH983061 GED983044:GED983061 GNZ983044:GNZ983061 GXV983044:GXV983061 HHR983044:HHR983061 HRN983044:HRN983061 IBJ983044:IBJ983061 ILF983044:ILF983061 IVB983044:IVB983061 JEX983044:JEX983061 JOT983044:JOT983061 JYP983044:JYP983061 KIL983044:KIL983061 KSH983044:KSH983061 LCD983044:LCD983061 LLZ983044:LLZ983061 LVV983044:LVV983061 MFR983044:MFR983061 MPN983044:MPN983061 MZJ983044:MZJ983061 NJF983044:NJF983061 NTB983044:NTB983061 OCX983044:OCX983061 OMT983044:OMT983061 OWP983044:OWP983061 PGL983044:PGL983061 PQH983044:PQH983061 QAD983044:QAD983061 QJZ983044:QJZ983061 QTV983044:QTV983061 RDR983044:RDR983061 RNN983044:RNN983061 RXJ983044:RXJ983061 SHF983044:SHF983061 SRB983044:SRB983061 TAX983044:TAX983061 TKT983044:TKT983061 TUP983044:TUP983061 UEL983044:UEL983061 UOH983044:UOH983061 UYD983044:UYD983061 VHZ983044:VHZ983061 VRV983044:VRV983061 WBR983044:WBR983061 WLN983044:WLN983061 B65540:B65557 IX65540:IX65557 ST65540:ST65557 ACP65540:ACP65557 AML65540:AML65557 AWH65540:AWH65557 BGD65540:BGD65557 BPZ65540:BPZ65557 BZV65540:BZV65557 CJR65540:CJR65557 CTN65540:CTN65557 DDJ65540:DDJ65557 DNF65540:DNF65557 DXB65540:DXB65557 EGX65540:EGX65557 EQT65540:EQT65557 FAP65540:FAP65557 FKL65540:FKL65557 FUH65540:FUH65557 GED65540:GED65557 GNZ65540:GNZ65557 GXV65540:GXV65557 HHR65540:HHR65557 HRN65540:HRN65557 IBJ65540:IBJ65557 ILF65540:ILF65557 IVB65540:IVB65557 JEX65540:JEX65557 JOT65540:JOT65557 JYP65540:JYP65557 KIL65540:KIL65557 KSH65540:KSH65557 LCD65540:LCD65557 LLZ65540:LLZ65557 LVV65540:LVV65557 MFR65540:MFR65557 MPN65540:MPN65557 MZJ65540:MZJ65557 NJF65540:NJF65557 NTB65540:NTB65557 OCX65540:OCX65557 OMT65540:OMT65557 OWP65540:OWP65557 PGL65540:PGL65557 PQH65540:PQH65557 QAD65540:QAD65557 QJZ65540:QJZ65557 QTV65540:QTV65557 RDR65540:RDR65557 RNN65540:RNN65557 RXJ65540:RXJ65557 SHF65540:SHF65557 SRB65540:SRB65557 TAX65540:TAX65557 TKT65540:TKT65557 TUP65540:TUP65557 UEL65540:UEL65557 UOH65540:UOH65557 UYD65540:UYD65557 VHZ65540:VHZ65557 VRV65540:VRV65557 WBR65540:WBR65557 WLN65540:WLN65557 WVJ65540:WVJ65557 B131076:B131093 IX131076:IX131093 ST131076:ST131093 ACP131076:ACP131093 AML131076:AML131093 AWH131076:AWH131093 BGD131076:BGD131093 BPZ131076:BPZ131093 BZV131076:BZV131093 CJR131076:CJR131093 CTN131076:CTN131093 DDJ131076:DDJ131093 DNF131076:DNF131093 DXB131076:DXB131093 EGX131076:EGX131093 EQT131076:EQT131093 FAP131076:FAP131093 FKL131076:FKL131093 FUH131076:FUH131093 GED131076:GED131093 GNZ131076:GNZ131093 GXV131076:GXV131093 HHR131076:HHR131093 HRN131076:HRN131093 IBJ131076:IBJ131093 ILF131076:ILF131093 IVB131076:IVB131093 JEX131076:JEX131093 JOT131076:JOT131093 JYP131076:JYP131093 KIL131076:KIL131093 KSH131076:KSH131093 LCD131076:LCD131093 LLZ131076:LLZ131093 LVV131076:LVV131093 MFR131076:MFR131093 MPN131076:MPN131093 MZJ131076:MZJ131093 NJF131076:NJF131093 NTB131076:NTB131093 OCX131076:OCX131093 OMT131076:OMT131093 OWP131076:OWP131093 PGL131076:PGL131093 PQH131076:PQH131093 QAD131076:QAD131093 QJZ131076:QJZ131093 QTV131076:QTV131093 RDR131076:RDR131093 RNN131076:RNN131093 RXJ131076:RXJ131093 SHF131076:SHF131093 SRB131076:SRB131093 TAX131076:TAX131093 TKT131076:TKT131093 TUP131076:TUP131093 UEL131076:UEL131093 UOH131076:UOH131093 UYD131076:UYD131093 VHZ131076:VHZ131093 VRV131076:VRV131093 WBR131076:WBR131093 WLN131076:WLN131093 WVJ131076:WVJ131093 B196612:B196629 IX196612:IX196629 ST196612:ST196629 ACP196612:ACP196629 AML196612:AML196629 AWH196612:AWH196629 BGD196612:BGD196629 BPZ196612:BPZ196629 BZV196612:BZV196629 CJR196612:CJR196629 CTN196612:CTN196629 DDJ196612:DDJ196629 DNF196612:DNF196629 DXB196612:DXB196629 EGX196612:EGX196629 EQT196612:EQT196629 FAP196612:FAP196629 FKL196612:FKL196629 FUH196612:FUH196629 GED196612:GED196629 GNZ196612:GNZ196629 GXV196612:GXV196629 HHR196612:HHR196629 HRN196612:HRN196629 IBJ196612:IBJ196629 ILF196612:ILF196629 IVB196612:IVB196629 JEX196612:JEX196629 JOT196612:JOT196629 JYP196612:JYP196629 KIL196612:KIL196629 KSH196612:KSH196629 LCD196612:LCD196629 LLZ196612:LLZ196629 LVV196612:LVV196629 MFR196612:MFR196629 MPN196612:MPN196629 MZJ196612:MZJ196629 NJF196612:NJF196629 NTB196612:NTB196629 OCX196612:OCX196629 OMT196612:OMT196629 OWP196612:OWP196629 PGL196612:PGL196629 PQH196612:PQH196629 QAD196612:QAD196629 QJZ196612:QJZ196629 QTV196612:QTV196629 RDR196612:RDR196629 RNN196612:RNN196629 RXJ196612:RXJ196629 SHF196612:SHF196629 SRB196612:SRB196629 TAX196612:TAX196629 TKT196612:TKT196629 TUP196612:TUP196629 UEL196612:UEL196629 UOH196612:UOH196629 UYD196612:UYD196629 VHZ196612:VHZ196629 VRV196612:VRV196629 WBR196612:WBR196629 WLN196612:WLN196629 WVJ196612:WVJ196629 B262148:B262165 IX262148:IX262165 ST262148:ST262165 ACP262148:ACP262165 AML262148:AML262165 AWH262148:AWH262165 BGD262148:BGD262165 BPZ262148:BPZ262165 BZV262148:BZV262165 CJR262148:CJR262165 CTN262148:CTN262165 DDJ262148:DDJ262165 DNF262148:DNF262165 DXB262148:DXB262165 EGX262148:EGX262165 EQT262148:EQT262165 FAP262148:FAP262165 FKL262148:FKL262165 FUH262148:FUH262165 GED262148:GED262165 GNZ262148:GNZ262165 GXV262148:GXV262165 HHR262148:HHR262165 HRN262148:HRN262165 IBJ262148:IBJ262165 ILF262148:ILF262165 IVB262148:IVB262165 JEX262148:JEX262165 JOT262148:JOT262165 JYP262148:JYP262165 KIL262148:KIL262165 KSH262148:KSH262165 LCD262148:LCD262165 LLZ262148:LLZ262165 LVV262148:LVV262165 MFR262148:MFR262165 MPN262148:MPN262165 MZJ262148:MZJ262165 NJF262148:NJF262165 NTB262148:NTB262165 OCX262148:OCX262165 OMT262148:OMT262165 OWP262148:OWP262165 PGL262148:PGL262165 PQH262148:PQH262165 QAD262148:QAD262165 QJZ262148:QJZ262165 QTV262148:QTV262165 RDR262148:RDR262165 RNN262148:RNN262165 RXJ262148:RXJ262165 SHF262148:SHF262165 SRB262148:SRB262165 TAX262148:TAX262165 TKT262148:TKT262165 TUP262148:TUP262165 UEL262148:UEL262165 UOH262148:UOH262165 UYD262148:UYD262165 VHZ262148:VHZ262165 VRV262148:VRV262165 WBR262148:WBR262165 WLN262148:WLN262165 WVJ262148:WVJ262165 B327684:B327701 IX327684:IX327701 ST327684:ST327701 ACP327684:ACP327701 AML327684:AML327701 AWH327684:AWH327701 BGD327684:BGD327701 BPZ327684:BPZ327701 BZV327684:BZV327701 CJR327684:CJR327701 CTN327684:CTN327701 DDJ327684:DDJ327701 DNF327684:DNF327701 DXB327684:DXB327701 EGX327684:EGX327701 EQT327684:EQT327701 FAP327684:FAP327701 FKL327684:FKL327701 FUH327684:FUH327701 GED327684:GED327701 GNZ327684:GNZ327701 GXV327684:GXV327701 HHR327684:HHR327701 HRN327684:HRN327701 IBJ327684:IBJ327701 ILF327684:ILF327701 IVB327684:IVB327701 JEX327684:JEX327701 JOT327684:JOT327701 JYP327684:JYP327701 KIL327684:KIL327701 KSH327684:KSH327701 LCD327684:LCD327701 LLZ327684:LLZ327701 LVV327684:LVV327701 MFR327684:MFR327701 MPN327684:MPN327701 MZJ327684:MZJ327701 NJF327684:NJF327701 NTB327684:NTB327701 OCX327684:OCX327701 OMT327684:OMT327701 OWP327684:OWP327701 PGL327684:PGL327701 PQH327684:PQH327701 QAD327684:QAD327701 QJZ327684:QJZ327701 QTV327684:QTV327701 RDR327684:RDR327701 RNN327684:RNN327701 RXJ327684:RXJ327701 SHF327684:SHF327701 SRB327684:SRB327701 TAX327684:TAX327701 TKT327684:TKT327701 TUP327684:TUP327701 UEL327684:UEL327701 UOH327684:UOH327701 UYD327684:UYD327701 VHZ327684:VHZ327701 VRV327684:VRV327701 WBR327684:WBR327701 WLN327684:WLN327701 WVJ327684:WVJ327701 B393220:B393237 IX393220:IX393237 ST393220:ST393237 ACP393220:ACP393237 AML393220:AML393237 AWH393220:AWH393237 BGD393220:BGD393237 BPZ393220:BPZ393237 BZV393220:BZV393237 CJR393220:CJR393237 CTN393220:CTN393237 DDJ393220:DDJ393237 DNF393220:DNF393237 DXB393220:DXB393237 EGX393220:EGX393237 EQT393220:EQT393237 FAP393220:FAP393237 FKL393220:FKL393237 FUH393220:FUH393237 GED393220:GED393237 GNZ393220:GNZ393237 GXV393220:GXV393237 HHR393220:HHR393237 HRN393220:HRN393237 IBJ393220:IBJ393237 ILF393220:ILF393237 IVB393220:IVB393237 JEX393220:JEX393237 JOT393220:JOT393237 JYP393220:JYP393237 KIL393220:KIL393237 KSH393220:KSH393237 LCD393220:LCD393237 LLZ393220:LLZ393237 LVV393220:LVV393237 MFR393220:MFR393237 MPN393220:MPN393237 MZJ393220:MZJ393237 NJF393220:NJF393237 NTB393220:NTB393237 OCX393220:OCX393237 OMT393220:OMT393237 OWP393220:OWP393237 PGL393220:PGL393237 PQH393220:PQH393237 QAD393220:QAD393237 QJZ393220:QJZ393237 QTV393220:QTV393237 RDR393220:RDR393237 RNN393220:RNN393237 RXJ393220:RXJ393237 SHF393220:SHF393237 SRB393220:SRB393237 TAX393220:TAX393237 TKT393220:TKT393237 TUP393220:TUP393237 UEL393220:UEL393237 UOH393220:UOH393237 UYD393220:UYD393237 VHZ393220:VHZ393237 VRV393220:VRV393237 WBR393220:WBR393237 WLN393220:WLN393237 WVJ393220:WVJ393237 B458756:B458773 IX458756:IX458773 ST458756:ST458773 ACP458756:ACP458773 AML458756:AML458773 AWH458756:AWH458773 BGD458756:BGD458773 BPZ458756:BPZ458773 BZV458756:BZV458773 CJR458756:CJR458773 CTN458756:CTN458773 DDJ458756:DDJ458773 DNF458756:DNF458773 DXB458756:DXB458773 EGX458756:EGX458773 EQT458756:EQT458773 FAP458756:FAP458773 FKL458756:FKL458773 FUH458756:FUH458773 GED458756:GED458773 GNZ458756:GNZ458773 GXV458756:GXV458773 HHR458756:HHR458773 HRN458756:HRN458773 IBJ458756:IBJ458773 ILF458756:ILF458773 IVB458756:IVB458773 JEX458756:JEX458773 JOT458756:JOT458773 JYP458756:JYP458773 KIL458756:KIL458773 KSH458756:KSH458773 LCD458756:LCD458773 LLZ458756:LLZ458773 LVV458756:LVV458773 MFR458756:MFR458773 MPN458756:MPN458773 MZJ458756:MZJ458773 NJF458756:NJF458773 NTB458756:NTB458773 OCX458756:OCX458773 OMT458756:OMT458773 OWP458756:OWP458773 PGL458756:PGL458773 PQH458756:PQH458773 QAD458756:QAD458773 QJZ458756:QJZ458773 QTV458756:QTV458773 RDR458756:RDR458773 RNN458756:RNN458773 RXJ458756:RXJ458773 SHF458756:SHF458773 SRB458756:SRB458773 TAX458756:TAX458773 TKT458756:TKT458773 TUP458756:TUP458773 UEL458756:UEL458773 UOH458756:UOH458773 UYD458756:UYD458773 VHZ458756:VHZ458773 VRV458756:VRV458773 WBR458756:WBR458773 WLN458756:WLN458773 WVJ458756:WVJ458773 B524292:B524309 IX524292:IX524309 ST524292:ST524309 ACP524292:ACP524309 AML524292:AML524309 AWH524292:AWH524309 BGD524292:BGD524309 BPZ524292:BPZ524309 BZV524292:BZV524309 CJR524292:CJR524309 CTN524292:CTN524309 DDJ524292:DDJ524309 DNF524292:DNF524309 DXB524292:DXB524309 EGX524292:EGX524309 EQT524292:EQT524309 FAP524292:FAP524309 FKL524292:FKL524309 FUH524292:FUH524309 GED524292:GED524309 GNZ524292:GNZ524309 GXV524292:GXV524309 HHR524292:HHR524309 HRN524292:HRN524309 IBJ524292:IBJ524309 ILF524292:ILF524309 IVB524292:IVB524309 JEX524292:JEX524309 JOT524292:JOT524309 JYP524292:JYP524309 KIL524292:KIL524309 KSH524292:KSH524309 LCD524292:LCD524309 LLZ524292:LLZ524309 LVV524292:LVV524309 MFR524292:MFR524309 MPN524292:MPN524309 MZJ524292:MZJ524309 NJF524292:NJF524309 NTB524292:NTB524309 OCX524292:OCX524309 OMT524292:OMT524309 OWP524292:OWP524309 PGL524292:PGL524309 PQH524292:PQH524309 QAD524292:QAD524309 QJZ524292:QJZ524309 QTV524292:QTV524309 RDR524292:RDR524309 RNN524292:RNN524309 RXJ524292:RXJ524309 SHF524292:SHF524309 SRB524292:SRB524309 TAX524292:TAX524309 TKT524292:TKT524309 TUP524292:TUP524309 UEL524292:UEL524309 UOH524292:UOH524309 UYD524292:UYD524309 VHZ524292:VHZ524309 VRV524292:VRV524309 WBR524292:WBR524309 WLN524292:WLN524309 WVJ524292:WVJ524309 B589828:B589845 IX589828:IX589845 ST589828:ST589845 ACP589828:ACP589845 AML589828:AML589845 AWH589828:AWH589845 BGD589828:BGD589845 BPZ589828:BPZ589845 BZV589828:BZV589845 CJR589828:CJR589845 CTN589828:CTN589845 DDJ589828:DDJ589845 DNF589828:DNF589845 DXB589828:DXB589845 EGX589828:EGX589845 EQT589828:EQT589845 FAP589828:FAP589845 FKL589828:FKL589845 FUH589828:FUH589845 GED589828:GED589845 GNZ589828:GNZ589845 GXV589828:GXV589845 HHR589828:HHR589845 HRN589828:HRN589845 IBJ589828:IBJ589845 ILF589828:ILF589845 IVB589828:IVB589845 JEX589828:JEX589845 JOT589828:JOT589845 JYP589828:JYP589845 KIL589828:KIL589845 KSH589828:KSH589845 LCD589828:LCD589845 LLZ589828:LLZ589845 LVV589828:LVV589845 MFR589828:MFR589845 MPN589828:MPN589845 MZJ589828:MZJ589845 NJF589828:NJF589845 NTB589828:NTB589845 OCX589828:OCX589845 OMT589828:OMT589845 OWP589828:OWP589845 PGL589828:PGL589845 PQH589828:PQH589845 QAD589828:QAD589845 QJZ589828:QJZ589845 QTV589828:QTV589845 RDR589828:RDR589845 RNN589828:RNN589845 RXJ589828:RXJ589845 SHF589828:SHF589845 SRB589828:SRB589845 TAX589828:TAX589845 TKT589828:TKT589845 TUP589828:TUP589845 UEL589828:UEL589845 UOH589828:UOH589845 UYD589828:UYD589845 VHZ589828:VHZ589845 VRV589828:VRV589845 WBR589828:WBR589845 WLN589828:WLN589845 WVJ589828:WVJ589845 B655364:B655381 IX655364:IX655381 ST655364:ST655381 ACP655364:ACP655381 AML655364:AML655381 AWH655364:AWH655381 BGD655364:BGD655381 BPZ655364:BPZ655381 BZV655364:BZV655381 CJR655364:CJR655381 CTN655364:CTN655381 DDJ655364:DDJ655381 DNF655364:DNF655381 DXB655364:DXB655381 EGX655364:EGX655381 EQT655364:EQT655381 FAP655364:FAP655381 FKL655364:FKL655381 FUH655364:FUH655381 GED655364:GED655381 GNZ655364:GNZ655381 GXV655364:GXV655381 HHR655364:HHR655381 HRN655364:HRN655381 IBJ655364:IBJ655381 ILF655364:ILF655381 IVB655364:IVB655381 JEX655364:JEX655381 JOT655364:JOT655381 JYP655364:JYP655381 KIL655364:KIL655381 KSH655364:KSH655381 LCD655364:LCD655381 LLZ655364:LLZ655381 LVV655364:LVV655381 MFR655364:MFR655381 MPN655364:MPN655381 MZJ655364:MZJ655381 NJF655364:NJF655381 NTB655364:NTB655381 OCX655364:OCX655381 OMT655364:OMT655381 OWP655364:OWP655381 PGL655364:PGL655381 PQH655364:PQH655381 QAD655364:QAD655381 QJZ655364:QJZ655381 QTV655364:QTV655381 RDR655364:RDR655381 RNN655364:RNN655381 RXJ655364:RXJ655381 SHF655364:SHF655381 SRB655364:SRB655381 TAX655364:TAX655381 TKT655364:TKT655381 TUP655364:TUP655381 UEL655364:UEL655381 UOH655364:UOH655381 UYD655364:UYD655381 VHZ655364:VHZ655381 VRV655364:VRV655381 WBR655364:WBR655381 WLN655364:WLN655381 WVJ655364:WVJ655381 B720900:B720917 IX720900:IX720917 ST720900:ST720917 ACP720900:ACP720917 AML720900:AML720917 AWH720900:AWH720917 BGD720900:BGD720917 BPZ720900:BPZ720917 BZV720900:BZV720917 CJR720900:CJR720917 CTN720900:CTN720917 DDJ720900:DDJ720917 DNF720900:DNF720917 DXB720900:DXB720917 EGX720900:EGX720917 EQT720900:EQT720917 FAP720900:FAP720917 FKL720900:FKL720917 FUH720900:FUH720917 GED720900:GED720917 GNZ720900:GNZ720917 GXV720900:GXV720917 HHR720900:HHR720917 HRN720900:HRN720917 IBJ720900:IBJ720917 ILF720900:ILF720917 IVB720900:IVB720917 JEX720900:JEX720917 JOT720900:JOT720917 JYP720900:JYP720917 KIL720900:KIL720917 KSH720900:KSH720917 LCD720900:LCD720917 LLZ720900:LLZ720917 LVV720900:LVV720917 MFR720900:MFR720917 MPN720900:MPN720917 MZJ720900:MZJ720917 NJF720900:NJF720917 NTB720900:NTB720917 OCX720900:OCX720917 OMT720900:OMT720917 OWP720900:OWP720917 PGL720900:PGL720917 PQH720900:PQH720917 QAD720900:QAD720917 QJZ720900:QJZ720917 QTV720900:QTV720917 RDR720900:RDR720917 RNN720900:RNN720917 RXJ720900:RXJ720917 SHF720900:SHF720917 SRB720900:SRB720917 TAX720900:TAX720917 TKT720900:TKT720917 TUP720900:TUP720917 UEL720900:UEL720917 UOH720900:UOH720917 UYD720900:UYD720917 VHZ720900:VHZ720917 VRV720900:VRV720917 WBR720900:WBR720917 WLN720900:WLN720917 WVJ720900:WVJ720917 B786436:B786453 IX786436:IX786453 ST786436:ST786453 ACP786436:ACP786453 AML786436:AML786453 AWH786436:AWH786453 BGD786436:BGD786453 BPZ786436:BPZ786453 BZV786436:BZV786453 CJR786436:CJR786453 CTN786436:CTN786453 DDJ786436:DDJ786453 DNF786436:DNF786453 DXB786436:DXB786453 EGX786436:EGX786453 EQT786436:EQT786453 FAP786436:FAP786453 FKL786436:FKL786453 FUH786436:FUH786453 GED786436:GED786453 GNZ786436:GNZ786453 GXV786436:GXV786453 HHR786436:HHR786453 HRN786436:HRN786453 IBJ786436:IBJ786453 ILF786436:ILF786453 IVB786436:IVB786453 JEX786436:JEX786453 JOT786436:JOT786453 JYP786436:JYP786453 KIL786436:KIL786453 KSH786436:KSH786453 LCD786436:LCD786453 LLZ786436:LLZ786453 LVV786436:LVV786453 MFR786436:MFR786453 MPN786436:MPN786453 MZJ786436:MZJ786453 NJF786436:NJF786453 NTB786436:NTB786453 OCX786436:OCX786453 OMT786436:OMT786453 OWP786436:OWP786453 PGL786436:PGL786453 PQH786436:PQH786453 QAD786436:QAD786453 QJZ786436:QJZ786453 QTV786436:QTV786453 RDR786436:RDR786453 RNN786436:RNN786453 RXJ786436:RXJ786453 SHF786436:SHF786453 SRB786436:SRB786453 TAX786436:TAX786453 TKT786436:TKT786453 TUP786436:TUP786453 UEL786436:UEL786453 UOH786436:UOH786453 UYD786436:UYD786453 VHZ786436:VHZ786453 VRV786436:VRV786453 WBR786436:WBR786453 WLN786436:WLN786453 WVJ786436:WVJ786453 B851972:B851989 IX851972:IX851989 ST851972:ST851989 ACP851972:ACP851989 AML851972:AML851989 AWH851972:AWH851989 BGD851972:BGD851989 BPZ851972:BPZ851989 BZV851972:BZV851989 CJR851972:CJR851989 CTN851972:CTN851989 DDJ851972:DDJ851989 DNF851972:DNF851989 DXB851972:DXB851989 EGX851972:EGX851989 EQT851972:EQT851989 FAP851972:FAP851989 FKL851972:FKL851989 FUH851972:FUH851989 GED851972:GED851989 GNZ851972:GNZ851989 GXV851972:GXV851989 HHR851972:HHR851989 HRN851972:HRN851989 IBJ851972:IBJ851989 ILF851972:ILF851989 IVB851972:IVB851989 JEX851972:JEX851989 JOT851972:JOT851989 JYP851972:JYP851989 KIL851972:KIL851989 KSH851972:KSH851989 LCD851972:LCD851989 LLZ851972:LLZ851989 LVV851972:LVV851989 MFR851972:MFR851989 MPN851972:MPN851989 MZJ851972:MZJ851989 NJF851972:NJF851989 NTB851972:NTB851989 OCX851972:OCX851989 OMT851972:OMT851989 OWP851972:OWP851989 PGL851972:PGL851989 PQH851972:PQH851989 QAD851972:QAD851989 QJZ851972:QJZ851989 QTV851972:QTV851989 RDR851972:RDR851989 RNN851972:RNN851989 RXJ851972:RXJ851989 SHF851972:SHF851989 SRB851972:SRB851989 TAX851972:TAX851989 TKT851972:TKT851989 TUP851972:TUP851989 UEL851972:UEL851989 UOH851972:UOH851989 UYD851972:UYD851989 VHZ851972:VHZ851989 VRV851972:VRV851989 WBR851972:WBR851989 WLN851972:WLN851989 WVJ851972:WVJ851989 B917508:B917525 IX917508:IX917525 ST917508:ST917525 ACP917508:ACP917525 AML917508:AML917525 AWH917508:AWH917525 BGD917508:BGD917525 BPZ917508:BPZ917525 BZV917508:BZV917525 CJR917508:CJR917525 CTN917508:CTN917525 DDJ917508:DDJ917525 DNF917508:DNF917525 DXB917508:DXB917525 EGX917508:EGX917525 EQT917508:EQT917525 FAP917508:FAP917525 FKL917508:FKL917525 FUH917508:FUH917525 GED917508:GED917525 GNZ917508:GNZ917525 GXV917508:GXV917525 HHR917508:HHR917525 HRN917508:HRN917525 IBJ917508:IBJ917525 ILF917508:ILF917525 IVB917508:IVB917525 JEX917508:JEX917525 JOT917508:JOT917525 JYP917508:JYP917525 KIL917508:KIL917525 KSH917508:KSH917525 LCD917508:LCD917525 LLZ917508:LLZ917525 LVV917508:LVV917525 MFR917508:MFR917525 MPN917508:MPN917525 MZJ917508:MZJ917525 NJF917508:NJF917525 NTB917508:NTB917525 OCX917508:OCX917525 OMT917508:OMT917525 OWP917508:OWP917525 PGL917508:PGL917525 PQH917508:PQH917525 QAD917508:QAD917525 QJZ917508:QJZ917525 QTV917508:QTV917525 RDR917508:RDR917525 RNN917508:RNN917525 RXJ917508:RXJ917525 SHF917508:SHF917525 SRB917508:SRB917525 TAX917508:TAX917525 TKT917508:TKT917525 TUP917508:TUP917525 UEL917508:UEL917525 UOH917508:UOH917525 UYD917508:UYD917525 VHZ917508:VHZ917525 VRV917508:VRV917525 WBR917508:WBR917525 WLN917508:WLN917525 WVJ917508:WVJ917525" xr:uid="{00000000-0002-0000-1E00-000000000000}">
      <formula1>trung</formula1>
    </dataValidation>
    <dataValidation type="list" allowBlank="1" showInputMessage="1" showErrorMessage="1" sqref="B18:B20" xr:uid="{00000000-0002-0000-1E00-000001000000}">
      <formula1>bichphuong</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334"/>
  <sheetViews>
    <sheetView topLeftCell="A14"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57"/>
      <c r="G3" s="102"/>
      <c r="H3" s="103"/>
    </row>
    <row r="4" spans="1:8" s="98" customFormat="1" ht="18" customHeight="1">
      <c r="A4" s="414"/>
      <c r="B4" s="414"/>
      <c r="C4" s="415" t="s">
        <v>1740</v>
      </c>
      <c r="D4" s="416"/>
      <c r="E4" s="416"/>
      <c r="F4" s="416"/>
      <c r="G4" s="416"/>
      <c r="H4" s="416"/>
    </row>
    <row r="5" spans="1:8" s="98" customFormat="1" ht="15.6">
      <c r="A5" s="104"/>
      <c r="B5" s="104"/>
      <c r="C5" s="156"/>
      <c r="D5" s="105"/>
      <c r="E5" s="106"/>
      <c r="F5" s="156"/>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30" customHeight="1">
      <c r="A8" s="420" t="s">
        <v>1911</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1912</v>
      </c>
      <c r="C13" s="425"/>
      <c r="D13" s="425"/>
      <c r="E13" s="425"/>
      <c r="F13" s="425"/>
      <c r="G13" s="73">
        <f>G14</f>
        <v>41890000</v>
      </c>
      <c r="H13" s="74"/>
    </row>
    <row r="14" spans="1:8" s="131" customFormat="1" ht="183" customHeight="1">
      <c r="A14" s="123"/>
      <c r="B14" s="124" t="s">
        <v>2054</v>
      </c>
      <c r="C14" s="125" t="s">
        <v>1753</v>
      </c>
      <c r="D14" s="126">
        <v>7.1</v>
      </c>
      <c r="E14" s="127">
        <v>11800000</v>
      </c>
      <c r="F14" s="188">
        <v>0.5</v>
      </c>
      <c r="G14" s="129">
        <f>D14*E14*F14</f>
        <v>41890000</v>
      </c>
      <c r="H14" s="130"/>
    </row>
    <row r="15" spans="1:8" ht="27" customHeight="1">
      <c r="A15" s="75" t="s">
        <v>18</v>
      </c>
      <c r="B15" s="426" t="s">
        <v>1725</v>
      </c>
      <c r="C15" s="426"/>
      <c r="D15" s="426"/>
      <c r="E15" s="426"/>
      <c r="F15" s="426"/>
      <c r="G15" s="76">
        <f>SUM(G16)</f>
        <v>0</v>
      </c>
      <c r="H15" s="11"/>
    </row>
    <row r="16" spans="1:8" ht="30.6" customHeight="1">
      <c r="A16" s="77"/>
      <c r="B16" s="78" t="s">
        <v>1728</v>
      </c>
      <c r="C16" s="13"/>
      <c r="D16" s="13"/>
      <c r="E16" s="13"/>
      <c r="F16" s="13"/>
      <c r="G16" s="79"/>
      <c r="H16" s="15"/>
    </row>
    <row r="17" spans="1:8" ht="24" customHeight="1">
      <c r="A17" s="75" t="s">
        <v>19</v>
      </c>
      <c r="B17" s="426" t="s">
        <v>1727</v>
      </c>
      <c r="C17" s="426"/>
      <c r="D17" s="426"/>
      <c r="E17" s="426"/>
      <c r="F17" s="426"/>
      <c r="G17" s="76">
        <f>SUM(G18:G18)</f>
        <v>0</v>
      </c>
      <c r="H17" s="11"/>
    </row>
    <row r="18" spans="1:8" ht="30.6" customHeight="1">
      <c r="A18" s="77"/>
      <c r="B18" s="78" t="s">
        <v>1728</v>
      </c>
      <c r="C18" s="13"/>
      <c r="D18" s="13"/>
      <c r="E18" s="13"/>
      <c r="F18" s="13"/>
      <c r="G18" s="79"/>
      <c r="H18" s="15"/>
    </row>
    <row r="19" spans="1:8" ht="15.6">
      <c r="A19" s="80"/>
      <c r="B19" s="427" t="s">
        <v>62</v>
      </c>
      <c r="C19" s="428"/>
      <c r="D19" s="428"/>
      <c r="E19" s="428"/>
      <c r="F19" s="429"/>
      <c r="G19" s="81">
        <f>G13+G15+G17</f>
        <v>41890000</v>
      </c>
      <c r="H19" s="82"/>
    </row>
    <row r="20" spans="1:8" ht="15.6">
      <c r="A20" s="80"/>
      <c r="B20" s="427" t="s">
        <v>1726</v>
      </c>
      <c r="C20" s="428"/>
      <c r="D20" s="428"/>
      <c r="E20" s="428"/>
      <c r="F20" s="429"/>
      <c r="G20" s="81">
        <f>ROUND(G19,-3)</f>
        <v>41890000</v>
      </c>
      <c r="H20" s="82"/>
    </row>
    <row r="21" spans="1:8" ht="15.6">
      <c r="A21" s="430" t="e">
        <f ca="1">[19]!vnd(G20)</f>
        <v>#NAME?</v>
      </c>
      <c r="B21" s="431"/>
      <c r="C21" s="431"/>
      <c r="D21" s="431"/>
      <c r="E21" s="431"/>
      <c r="F21" s="431"/>
      <c r="G21" s="431"/>
      <c r="H21" s="432"/>
    </row>
    <row r="22" spans="1:8">
      <c r="A22" s="17"/>
      <c r="B22" s="17"/>
      <c r="C22" s="97"/>
      <c r="D22" s="20"/>
      <c r="E22" s="19"/>
      <c r="F22" s="97"/>
      <c r="G22" s="19"/>
      <c r="H22" s="17"/>
    </row>
    <row r="23" spans="1:8" s="109" customFormat="1" ht="16.5" customHeight="1">
      <c r="A23" s="108"/>
      <c r="B23" s="108"/>
      <c r="C23" s="424" t="s">
        <v>1742</v>
      </c>
      <c r="D23" s="424"/>
      <c r="E23" s="424"/>
      <c r="F23" s="424"/>
      <c r="G23" s="424"/>
      <c r="H23" s="424"/>
    </row>
    <row r="24" spans="1:8" s="109" customFormat="1" ht="16.5" customHeight="1">
      <c r="A24" s="423" t="s">
        <v>63</v>
      </c>
      <c r="B24" s="423"/>
      <c r="C24" s="424" t="s">
        <v>1743</v>
      </c>
      <c r="D24" s="424"/>
      <c r="E24" s="424"/>
      <c r="F24" s="424" t="s">
        <v>1744</v>
      </c>
      <c r="G24" s="424"/>
      <c r="H24" s="424"/>
    </row>
    <row r="25" spans="1:8" s="109" customFormat="1" ht="15.6">
      <c r="A25" s="108"/>
      <c r="B25" s="108"/>
      <c r="C25" s="108"/>
      <c r="D25" s="110"/>
      <c r="E25" s="111"/>
      <c r="F25" s="112"/>
      <c r="G25" s="111"/>
      <c r="H25" s="113"/>
    </row>
    <row r="26" spans="1:8" s="109" customFormat="1" ht="15.6">
      <c r="A26" s="108"/>
      <c r="B26" s="108"/>
      <c r="C26" s="108"/>
      <c r="D26" s="110"/>
      <c r="E26" s="111"/>
      <c r="F26" s="112"/>
      <c r="G26" s="114"/>
      <c r="H26" s="113"/>
    </row>
    <row r="27" spans="1:8" s="109" customFormat="1" ht="15.6">
      <c r="A27" s="108"/>
      <c r="B27" s="108"/>
      <c r="C27" s="108"/>
      <c r="D27" s="110"/>
      <c r="E27" s="111"/>
      <c r="F27" s="112"/>
      <c r="G27" s="111"/>
      <c r="H27" s="113"/>
    </row>
    <row r="28" spans="1:8" s="109" customFormat="1" ht="15.6">
      <c r="A28" s="108"/>
      <c r="B28" s="108"/>
      <c r="C28" s="108"/>
      <c r="D28" s="110"/>
      <c r="E28" s="111"/>
      <c r="F28" s="112"/>
      <c r="G28" s="111"/>
      <c r="H28" s="113"/>
    </row>
    <row r="29" spans="1:8" s="109" customFormat="1" ht="15.6">
      <c r="A29" s="108"/>
      <c r="B29" s="108"/>
      <c r="C29" s="108"/>
      <c r="D29" s="110"/>
      <c r="E29" s="111"/>
      <c r="F29" s="112"/>
      <c r="G29" s="111"/>
      <c r="H29" s="113"/>
    </row>
    <row r="30" spans="1:8" s="109" customFormat="1" ht="16.5" customHeight="1">
      <c r="A30" s="108"/>
      <c r="B30" s="158" t="s">
        <v>64</v>
      </c>
      <c r="C30" s="424"/>
      <c r="D30" s="424"/>
      <c r="E30" s="424"/>
      <c r="F30" s="424" t="s">
        <v>1745</v>
      </c>
      <c r="G30" s="424"/>
      <c r="H30" s="424"/>
    </row>
    <row r="31" spans="1:8" s="109" customFormat="1" ht="15.6">
      <c r="A31" s="108"/>
      <c r="B31" s="158"/>
      <c r="C31" s="155"/>
      <c r="D31" s="155"/>
      <c r="E31" s="155"/>
      <c r="F31" s="155"/>
      <c r="G31" s="155"/>
      <c r="H31" s="155"/>
    </row>
    <row r="32" spans="1:8" s="109" customFormat="1" ht="15" customHeight="1">
      <c r="A32" s="424" t="s">
        <v>1746</v>
      </c>
      <c r="B32" s="424"/>
      <c r="C32" s="424"/>
      <c r="D32" s="424"/>
      <c r="E32" s="424" t="s">
        <v>1747</v>
      </c>
      <c r="F32" s="424"/>
      <c r="G32" s="424"/>
      <c r="H32" s="424"/>
    </row>
    <row r="33" spans="1:8" s="109" customFormat="1" ht="33.6" customHeight="1">
      <c r="A33" s="424" t="s">
        <v>1748</v>
      </c>
      <c r="B33" s="424"/>
      <c r="C33" s="424"/>
      <c r="D33" s="424"/>
      <c r="E33" s="424" t="s">
        <v>65</v>
      </c>
      <c r="F33" s="424"/>
      <c r="G33" s="424"/>
      <c r="H33" s="424"/>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ustomHeight="1">
      <c r="A39" s="108"/>
      <c r="B39" s="108"/>
      <c r="C39" s="108"/>
      <c r="D39" s="115"/>
      <c r="E39" s="439" t="s">
        <v>1749</v>
      </c>
      <c r="F39" s="439"/>
      <c r="G39" s="439"/>
      <c r="H39" s="439"/>
    </row>
    <row r="40" spans="1:8" s="109" customFormat="1" ht="16.5" customHeight="1">
      <c r="A40" s="424" t="s">
        <v>1751</v>
      </c>
      <c r="B40" s="424"/>
      <c r="C40" s="424"/>
      <c r="D40" s="424"/>
      <c r="E40" s="424" t="s">
        <v>1750</v>
      </c>
      <c r="F40" s="424"/>
      <c r="G40" s="424"/>
      <c r="H40" s="424"/>
    </row>
    <row r="41" spans="1:8" s="118" customFormat="1" ht="16.2" customHeight="1">
      <c r="A41" s="440"/>
      <c r="B41" s="440"/>
      <c r="C41" s="116"/>
      <c r="D41" s="117"/>
      <c r="E41" s="440"/>
      <c r="F41" s="440"/>
      <c r="G41" s="440"/>
      <c r="H41" s="440"/>
    </row>
    <row r="42" spans="1:8" s="118" customFormat="1" ht="15.75" customHeight="1">
      <c r="A42" s="440"/>
      <c r="B42" s="440"/>
      <c r="C42" s="440"/>
      <c r="D42" s="440"/>
      <c r="E42" s="440"/>
      <c r="F42" s="440"/>
      <c r="G42" s="440"/>
      <c r="H42" s="440"/>
    </row>
    <row r="43" spans="1:8" s="98" customFormat="1" ht="16.2" customHeight="1">
      <c r="A43" s="436"/>
      <c r="B43" s="436"/>
      <c r="C43" s="436"/>
      <c r="D43" s="436"/>
      <c r="E43" s="119"/>
      <c r="F43" s="120"/>
      <c r="G43" s="119"/>
      <c r="H43" s="121"/>
    </row>
    <row r="44" spans="1:8" s="98" customFormat="1" ht="16.2" customHeight="1">
      <c r="A44" s="436"/>
      <c r="B44" s="436"/>
      <c r="C44" s="436"/>
      <c r="D44" s="436"/>
      <c r="E44" s="119"/>
      <c r="F44" s="120"/>
      <c r="G44" s="119"/>
      <c r="H44" s="121"/>
    </row>
    <row r="45" spans="1:8" s="98" customFormat="1" ht="16.2" customHeight="1">
      <c r="A45" s="121"/>
      <c r="B45" s="121"/>
      <c r="C45" s="121"/>
      <c r="D45" s="122"/>
      <c r="E45" s="119"/>
      <c r="F45" s="120"/>
      <c r="G45" s="119"/>
      <c r="H45" s="121"/>
    </row>
    <row r="46" spans="1:8" ht="16.2" customHeight="1">
      <c r="A46" s="83"/>
      <c r="B46" s="83"/>
      <c r="C46" s="83"/>
      <c r="D46" s="84"/>
      <c r="E46" s="85"/>
      <c r="F46" s="86"/>
      <c r="G46" s="85"/>
      <c r="H46" s="83"/>
    </row>
    <row r="47" spans="1:8" ht="16.2" customHeight="1">
      <c r="A47" s="83"/>
      <c r="B47" s="83"/>
      <c r="C47" s="83"/>
      <c r="D47" s="84"/>
      <c r="E47" s="85"/>
      <c r="F47" s="86"/>
      <c r="G47" s="85"/>
      <c r="H47" s="83"/>
    </row>
    <row r="48" spans="1:8" ht="16.2" customHeight="1">
      <c r="A48" s="83"/>
      <c r="B48" s="83"/>
      <c r="C48" s="83"/>
      <c r="D48" s="84"/>
      <c r="E48" s="85"/>
      <c r="F48" s="86"/>
      <c r="G48" s="85"/>
      <c r="H48" s="83"/>
    </row>
    <row r="49" spans="1:8" ht="16.2" customHeight="1">
      <c r="A49" s="83"/>
      <c r="B49" s="83"/>
      <c r="C49" s="83"/>
      <c r="D49" s="84"/>
      <c r="E49" s="437"/>
      <c r="F49" s="437"/>
      <c r="G49" s="437"/>
      <c r="H49" s="437"/>
    </row>
    <row r="50" spans="1:8" ht="20.25" customHeight="1">
      <c r="A50" s="438"/>
      <c r="B50" s="438"/>
      <c r="C50" s="438"/>
      <c r="D50" s="438"/>
      <c r="E50" s="438"/>
      <c r="F50" s="438"/>
      <c r="G50" s="438"/>
      <c r="H50" s="438"/>
    </row>
    <row r="51" spans="1:8" s="17" customFormat="1" ht="16.2" customHeight="1">
      <c r="D51" s="18"/>
      <c r="E51" s="19"/>
      <c r="F51" s="97"/>
      <c r="G51" s="19"/>
    </row>
    <row r="52" spans="1:8" s="17" customFormat="1" ht="16.2" customHeight="1">
      <c r="D52" s="18"/>
      <c r="E52" s="19"/>
      <c r="F52" s="97"/>
      <c r="G52" s="19"/>
    </row>
    <row r="53" spans="1:8" s="17" customFormat="1" ht="16.2" customHeight="1">
      <c r="D53" s="18"/>
      <c r="E53" s="19"/>
      <c r="F53" s="97"/>
      <c r="G53" s="19"/>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C67" s="97"/>
      <c r="D67" s="20"/>
      <c r="E67" s="19"/>
      <c r="F67" s="97"/>
      <c r="G67" s="19"/>
    </row>
    <row r="68" spans="3:7" s="17" customFormat="1" ht="16.2" customHeight="1">
      <c r="C68" s="97"/>
      <c r="D68" s="20"/>
      <c r="E68" s="19"/>
      <c r="F68" s="97"/>
      <c r="G68" s="19"/>
    </row>
    <row r="69" spans="3:7" s="17" customFormat="1" ht="16.2" customHeight="1">
      <c r="C69" s="97"/>
      <c r="D69" s="20"/>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ht="16.2" customHeight="1"/>
    <row r="80" spans="3:7" ht="16.2" customHeight="1"/>
    <row r="81" ht="16.2" customHeight="1"/>
    <row r="82" ht="16.2" customHeight="1"/>
    <row r="83" ht="16.2" customHeight="1"/>
    <row r="84" ht="16.2" customHeight="1"/>
    <row r="85" ht="16.2" customHeight="1"/>
    <row r="86" ht="16.2" customHeight="1"/>
    <row r="87" ht="16.2" customHeight="1"/>
    <row r="88" ht="16.2" customHeight="1"/>
    <row r="89" ht="16.2" customHeight="1"/>
    <row r="90" ht="16.2" customHeight="1"/>
    <row r="91" ht="16.2" customHeight="1"/>
    <row r="92" ht="16.2" customHeight="1"/>
    <row r="93" ht="16.2" customHeight="1"/>
    <row r="94" ht="16.2" customHeight="1"/>
    <row r="95" ht="16.2" customHeight="1"/>
    <row r="96"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row r="226"/>
    <row r="227"/>
    <row r="228"/>
    <row r="229"/>
    <row r="230"/>
    <row r="231"/>
    <row r="232"/>
    <row r="233"/>
    <row r="234"/>
    <row r="235"/>
    <row r="236"/>
    <row r="237"/>
    <row r="238"/>
    <row r="239"/>
    <row r="240"/>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sheetData>
  <mergeCells count="40">
    <mergeCell ref="E49:H49"/>
    <mergeCell ref="A50:H50"/>
    <mergeCell ref="A41:B41"/>
    <mergeCell ref="E41:H41"/>
    <mergeCell ref="A42:D42"/>
    <mergeCell ref="E42:H42"/>
    <mergeCell ref="A43:D43"/>
    <mergeCell ref="A44:D44"/>
    <mergeCell ref="A40:D40"/>
    <mergeCell ref="E40:H40"/>
    <mergeCell ref="C23:H23"/>
    <mergeCell ref="A24:B24"/>
    <mergeCell ref="C24:E24"/>
    <mergeCell ref="F24:H24"/>
    <mergeCell ref="C30:E30"/>
    <mergeCell ref="F30:H30"/>
    <mergeCell ref="A32:D32"/>
    <mergeCell ref="E32:H32"/>
    <mergeCell ref="A33:D33"/>
    <mergeCell ref="E33:H33"/>
    <mergeCell ref="E39:H39"/>
    <mergeCell ref="A21:H21"/>
    <mergeCell ref="A6:H6"/>
    <mergeCell ref="A7:H7"/>
    <mergeCell ref="A8:H8"/>
    <mergeCell ref="A9:H9"/>
    <mergeCell ref="A10:H10"/>
    <mergeCell ref="A11:H11"/>
    <mergeCell ref="B13:F13"/>
    <mergeCell ref="B15:F15"/>
    <mergeCell ref="B17:F17"/>
    <mergeCell ref="B19:F19"/>
    <mergeCell ref="B20:F20"/>
    <mergeCell ref="A4:B4"/>
    <mergeCell ref="C4:H4"/>
    <mergeCell ref="A1:B1"/>
    <mergeCell ref="C1:H1"/>
    <mergeCell ref="A2:B2"/>
    <mergeCell ref="C2:H2"/>
    <mergeCell ref="A3:B3"/>
  </mergeCells>
  <dataValidations count="1">
    <dataValidation type="list" allowBlank="1" showInputMessage="1" showErrorMessage="1" sqref="WVJ983042:WVJ983059 B983042:B983059 IX983042:IX983059 ST983042:ST983059 ACP983042:ACP983059 AML983042:AML983059 AWH983042:AWH983059 BGD983042:BGD983059 BPZ983042:BPZ983059 BZV983042:BZV983059 CJR983042:CJR983059 CTN983042:CTN983059 DDJ983042:DDJ983059 DNF983042:DNF983059 DXB983042:DXB983059 EGX983042:EGX983059 EQT983042:EQT983059 FAP983042:FAP983059 FKL983042:FKL983059 FUH983042:FUH983059 GED983042:GED983059 GNZ983042:GNZ983059 GXV983042:GXV983059 HHR983042:HHR983059 HRN983042:HRN983059 IBJ983042:IBJ983059 ILF983042:ILF983059 IVB983042:IVB983059 JEX983042:JEX983059 JOT983042:JOT983059 JYP983042:JYP983059 KIL983042:KIL983059 KSH983042:KSH983059 LCD983042:LCD983059 LLZ983042:LLZ983059 LVV983042:LVV983059 MFR983042:MFR983059 MPN983042:MPN983059 MZJ983042:MZJ983059 NJF983042:NJF983059 NTB983042:NTB983059 OCX983042:OCX983059 OMT983042:OMT983059 OWP983042:OWP983059 PGL983042:PGL983059 PQH983042:PQH983059 QAD983042:QAD983059 QJZ983042:QJZ983059 QTV983042:QTV983059 RDR983042:RDR983059 RNN983042:RNN983059 RXJ983042:RXJ983059 SHF983042:SHF983059 SRB983042:SRB983059 TAX983042:TAX983059 TKT983042:TKT983059 TUP983042:TUP983059 UEL983042:UEL983059 UOH983042:UOH983059 UYD983042:UYD983059 VHZ983042:VHZ983059 VRV983042:VRV983059 WBR983042:WBR983059 WLN983042:WLN983059 B65538:B65555 IX65538:IX65555 ST65538:ST65555 ACP65538:ACP65555 AML65538:AML65555 AWH65538:AWH65555 BGD65538:BGD65555 BPZ65538:BPZ65555 BZV65538:BZV65555 CJR65538:CJR65555 CTN65538:CTN65555 DDJ65538:DDJ65555 DNF65538:DNF65555 DXB65538:DXB65555 EGX65538:EGX65555 EQT65538:EQT65555 FAP65538:FAP65555 FKL65538:FKL65555 FUH65538:FUH65555 GED65538:GED65555 GNZ65538:GNZ65555 GXV65538:GXV65555 HHR65538:HHR65555 HRN65538:HRN65555 IBJ65538:IBJ65555 ILF65538:ILF65555 IVB65538:IVB65555 JEX65538:JEX65555 JOT65538:JOT65555 JYP65538:JYP65555 KIL65538:KIL65555 KSH65538:KSH65555 LCD65538:LCD65555 LLZ65538:LLZ65555 LVV65538:LVV65555 MFR65538:MFR65555 MPN65538:MPN65555 MZJ65538:MZJ65555 NJF65538:NJF65555 NTB65538:NTB65555 OCX65538:OCX65555 OMT65538:OMT65555 OWP65538:OWP65555 PGL65538:PGL65555 PQH65538:PQH65555 QAD65538:QAD65555 QJZ65538:QJZ65555 QTV65538:QTV65555 RDR65538:RDR65555 RNN65538:RNN65555 RXJ65538:RXJ65555 SHF65538:SHF65555 SRB65538:SRB65555 TAX65538:TAX65555 TKT65538:TKT65555 TUP65538:TUP65555 UEL65538:UEL65555 UOH65538:UOH65555 UYD65538:UYD65555 VHZ65538:VHZ65555 VRV65538:VRV65555 WBR65538:WBR65555 WLN65538:WLN65555 WVJ65538:WVJ65555 B131074:B131091 IX131074:IX131091 ST131074:ST131091 ACP131074:ACP131091 AML131074:AML131091 AWH131074:AWH131091 BGD131074:BGD131091 BPZ131074:BPZ131091 BZV131074:BZV131091 CJR131074:CJR131091 CTN131074:CTN131091 DDJ131074:DDJ131091 DNF131074:DNF131091 DXB131074:DXB131091 EGX131074:EGX131091 EQT131074:EQT131091 FAP131074:FAP131091 FKL131074:FKL131091 FUH131074:FUH131091 GED131074:GED131091 GNZ131074:GNZ131091 GXV131074:GXV131091 HHR131074:HHR131091 HRN131074:HRN131091 IBJ131074:IBJ131091 ILF131074:ILF131091 IVB131074:IVB131091 JEX131074:JEX131091 JOT131074:JOT131091 JYP131074:JYP131091 KIL131074:KIL131091 KSH131074:KSH131091 LCD131074:LCD131091 LLZ131074:LLZ131091 LVV131074:LVV131091 MFR131074:MFR131091 MPN131074:MPN131091 MZJ131074:MZJ131091 NJF131074:NJF131091 NTB131074:NTB131091 OCX131074:OCX131091 OMT131074:OMT131091 OWP131074:OWP131091 PGL131074:PGL131091 PQH131074:PQH131091 QAD131074:QAD131091 QJZ131074:QJZ131091 QTV131074:QTV131091 RDR131074:RDR131091 RNN131074:RNN131091 RXJ131074:RXJ131091 SHF131074:SHF131091 SRB131074:SRB131091 TAX131074:TAX131091 TKT131074:TKT131091 TUP131074:TUP131091 UEL131074:UEL131091 UOH131074:UOH131091 UYD131074:UYD131091 VHZ131074:VHZ131091 VRV131074:VRV131091 WBR131074:WBR131091 WLN131074:WLN131091 WVJ131074:WVJ131091 B196610:B196627 IX196610:IX196627 ST196610:ST196627 ACP196610:ACP196627 AML196610:AML196627 AWH196610:AWH196627 BGD196610:BGD196627 BPZ196610:BPZ196627 BZV196610:BZV196627 CJR196610:CJR196627 CTN196610:CTN196627 DDJ196610:DDJ196627 DNF196610:DNF196627 DXB196610:DXB196627 EGX196610:EGX196627 EQT196610:EQT196627 FAP196610:FAP196627 FKL196610:FKL196627 FUH196610:FUH196627 GED196610:GED196627 GNZ196610:GNZ196627 GXV196610:GXV196627 HHR196610:HHR196627 HRN196610:HRN196627 IBJ196610:IBJ196627 ILF196610:ILF196627 IVB196610:IVB196627 JEX196610:JEX196627 JOT196610:JOT196627 JYP196610:JYP196627 KIL196610:KIL196627 KSH196610:KSH196627 LCD196610:LCD196627 LLZ196610:LLZ196627 LVV196610:LVV196627 MFR196610:MFR196627 MPN196610:MPN196627 MZJ196610:MZJ196627 NJF196610:NJF196627 NTB196610:NTB196627 OCX196610:OCX196627 OMT196610:OMT196627 OWP196610:OWP196627 PGL196610:PGL196627 PQH196610:PQH196627 QAD196610:QAD196627 QJZ196610:QJZ196627 QTV196610:QTV196627 RDR196610:RDR196627 RNN196610:RNN196627 RXJ196610:RXJ196627 SHF196610:SHF196627 SRB196610:SRB196627 TAX196610:TAX196627 TKT196610:TKT196627 TUP196610:TUP196627 UEL196610:UEL196627 UOH196610:UOH196627 UYD196610:UYD196627 VHZ196610:VHZ196627 VRV196610:VRV196627 WBR196610:WBR196627 WLN196610:WLN196627 WVJ196610:WVJ196627 B262146:B262163 IX262146:IX262163 ST262146:ST262163 ACP262146:ACP262163 AML262146:AML262163 AWH262146:AWH262163 BGD262146:BGD262163 BPZ262146:BPZ262163 BZV262146:BZV262163 CJR262146:CJR262163 CTN262146:CTN262163 DDJ262146:DDJ262163 DNF262146:DNF262163 DXB262146:DXB262163 EGX262146:EGX262163 EQT262146:EQT262163 FAP262146:FAP262163 FKL262146:FKL262163 FUH262146:FUH262163 GED262146:GED262163 GNZ262146:GNZ262163 GXV262146:GXV262163 HHR262146:HHR262163 HRN262146:HRN262163 IBJ262146:IBJ262163 ILF262146:ILF262163 IVB262146:IVB262163 JEX262146:JEX262163 JOT262146:JOT262163 JYP262146:JYP262163 KIL262146:KIL262163 KSH262146:KSH262163 LCD262146:LCD262163 LLZ262146:LLZ262163 LVV262146:LVV262163 MFR262146:MFR262163 MPN262146:MPN262163 MZJ262146:MZJ262163 NJF262146:NJF262163 NTB262146:NTB262163 OCX262146:OCX262163 OMT262146:OMT262163 OWP262146:OWP262163 PGL262146:PGL262163 PQH262146:PQH262163 QAD262146:QAD262163 QJZ262146:QJZ262163 QTV262146:QTV262163 RDR262146:RDR262163 RNN262146:RNN262163 RXJ262146:RXJ262163 SHF262146:SHF262163 SRB262146:SRB262163 TAX262146:TAX262163 TKT262146:TKT262163 TUP262146:TUP262163 UEL262146:UEL262163 UOH262146:UOH262163 UYD262146:UYD262163 VHZ262146:VHZ262163 VRV262146:VRV262163 WBR262146:WBR262163 WLN262146:WLN262163 WVJ262146:WVJ262163 B327682:B327699 IX327682:IX327699 ST327682:ST327699 ACP327682:ACP327699 AML327682:AML327699 AWH327682:AWH327699 BGD327682:BGD327699 BPZ327682:BPZ327699 BZV327682:BZV327699 CJR327682:CJR327699 CTN327682:CTN327699 DDJ327682:DDJ327699 DNF327682:DNF327699 DXB327682:DXB327699 EGX327682:EGX327699 EQT327682:EQT327699 FAP327682:FAP327699 FKL327682:FKL327699 FUH327682:FUH327699 GED327682:GED327699 GNZ327682:GNZ327699 GXV327682:GXV327699 HHR327682:HHR327699 HRN327682:HRN327699 IBJ327682:IBJ327699 ILF327682:ILF327699 IVB327682:IVB327699 JEX327682:JEX327699 JOT327682:JOT327699 JYP327682:JYP327699 KIL327682:KIL327699 KSH327682:KSH327699 LCD327682:LCD327699 LLZ327682:LLZ327699 LVV327682:LVV327699 MFR327682:MFR327699 MPN327682:MPN327699 MZJ327682:MZJ327699 NJF327682:NJF327699 NTB327682:NTB327699 OCX327682:OCX327699 OMT327682:OMT327699 OWP327682:OWP327699 PGL327682:PGL327699 PQH327682:PQH327699 QAD327682:QAD327699 QJZ327682:QJZ327699 QTV327682:QTV327699 RDR327682:RDR327699 RNN327682:RNN327699 RXJ327682:RXJ327699 SHF327682:SHF327699 SRB327682:SRB327699 TAX327682:TAX327699 TKT327682:TKT327699 TUP327682:TUP327699 UEL327682:UEL327699 UOH327682:UOH327699 UYD327682:UYD327699 VHZ327682:VHZ327699 VRV327682:VRV327699 WBR327682:WBR327699 WLN327682:WLN327699 WVJ327682:WVJ327699 B393218:B393235 IX393218:IX393235 ST393218:ST393235 ACP393218:ACP393235 AML393218:AML393235 AWH393218:AWH393235 BGD393218:BGD393235 BPZ393218:BPZ393235 BZV393218:BZV393235 CJR393218:CJR393235 CTN393218:CTN393235 DDJ393218:DDJ393235 DNF393218:DNF393235 DXB393218:DXB393235 EGX393218:EGX393235 EQT393218:EQT393235 FAP393218:FAP393235 FKL393218:FKL393235 FUH393218:FUH393235 GED393218:GED393235 GNZ393218:GNZ393235 GXV393218:GXV393235 HHR393218:HHR393235 HRN393218:HRN393235 IBJ393218:IBJ393235 ILF393218:ILF393235 IVB393218:IVB393235 JEX393218:JEX393235 JOT393218:JOT393235 JYP393218:JYP393235 KIL393218:KIL393235 KSH393218:KSH393235 LCD393218:LCD393235 LLZ393218:LLZ393235 LVV393218:LVV393235 MFR393218:MFR393235 MPN393218:MPN393235 MZJ393218:MZJ393235 NJF393218:NJF393235 NTB393218:NTB393235 OCX393218:OCX393235 OMT393218:OMT393235 OWP393218:OWP393235 PGL393218:PGL393235 PQH393218:PQH393235 QAD393218:QAD393235 QJZ393218:QJZ393235 QTV393218:QTV393235 RDR393218:RDR393235 RNN393218:RNN393235 RXJ393218:RXJ393235 SHF393218:SHF393235 SRB393218:SRB393235 TAX393218:TAX393235 TKT393218:TKT393235 TUP393218:TUP393235 UEL393218:UEL393235 UOH393218:UOH393235 UYD393218:UYD393235 VHZ393218:VHZ393235 VRV393218:VRV393235 WBR393218:WBR393235 WLN393218:WLN393235 WVJ393218:WVJ393235 B458754:B458771 IX458754:IX458771 ST458754:ST458771 ACP458754:ACP458771 AML458754:AML458771 AWH458754:AWH458771 BGD458754:BGD458771 BPZ458754:BPZ458771 BZV458754:BZV458771 CJR458754:CJR458771 CTN458754:CTN458771 DDJ458754:DDJ458771 DNF458754:DNF458771 DXB458754:DXB458771 EGX458754:EGX458771 EQT458754:EQT458771 FAP458754:FAP458771 FKL458754:FKL458771 FUH458754:FUH458771 GED458754:GED458771 GNZ458754:GNZ458771 GXV458754:GXV458771 HHR458754:HHR458771 HRN458754:HRN458771 IBJ458754:IBJ458771 ILF458754:ILF458771 IVB458754:IVB458771 JEX458754:JEX458771 JOT458754:JOT458771 JYP458754:JYP458771 KIL458754:KIL458771 KSH458754:KSH458771 LCD458754:LCD458771 LLZ458754:LLZ458771 LVV458754:LVV458771 MFR458754:MFR458771 MPN458754:MPN458771 MZJ458754:MZJ458771 NJF458754:NJF458771 NTB458754:NTB458771 OCX458754:OCX458771 OMT458754:OMT458771 OWP458754:OWP458771 PGL458754:PGL458771 PQH458754:PQH458771 QAD458754:QAD458771 QJZ458754:QJZ458771 QTV458754:QTV458771 RDR458754:RDR458771 RNN458754:RNN458771 RXJ458754:RXJ458771 SHF458754:SHF458771 SRB458754:SRB458771 TAX458754:TAX458771 TKT458754:TKT458771 TUP458754:TUP458771 UEL458754:UEL458771 UOH458754:UOH458771 UYD458754:UYD458771 VHZ458754:VHZ458771 VRV458754:VRV458771 WBR458754:WBR458771 WLN458754:WLN458771 WVJ458754:WVJ458771 B524290:B524307 IX524290:IX524307 ST524290:ST524307 ACP524290:ACP524307 AML524290:AML524307 AWH524290:AWH524307 BGD524290:BGD524307 BPZ524290:BPZ524307 BZV524290:BZV524307 CJR524290:CJR524307 CTN524290:CTN524307 DDJ524290:DDJ524307 DNF524290:DNF524307 DXB524290:DXB524307 EGX524290:EGX524307 EQT524290:EQT524307 FAP524290:FAP524307 FKL524290:FKL524307 FUH524290:FUH524307 GED524290:GED524307 GNZ524290:GNZ524307 GXV524290:GXV524307 HHR524290:HHR524307 HRN524290:HRN524307 IBJ524290:IBJ524307 ILF524290:ILF524307 IVB524290:IVB524307 JEX524290:JEX524307 JOT524290:JOT524307 JYP524290:JYP524307 KIL524290:KIL524307 KSH524290:KSH524307 LCD524290:LCD524307 LLZ524290:LLZ524307 LVV524290:LVV524307 MFR524290:MFR524307 MPN524290:MPN524307 MZJ524290:MZJ524307 NJF524290:NJF524307 NTB524290:NTB524307 OCX524290:OCX524307 OMT524290:OMT524307 OWP524290:OWP524307 PGL524290:PGL524307 PQH524290:PQH524307 QAD524290:QAD524307 QJZ524290:QJZ524307 QTV524290:QTV524307 RDR524290:RDR524307 RNN524290:RNN524307 RXJ524290:RXJ524307 SHF524290:SHF524307 SRB524290:SRB524307 TAX524290:TAX524307 TKT524290:TKT524307 TUP524290:TUP524307 UEL524290:UEL524307 UOH524290:UOH524307 UYD524290:UYD524307 VHZ524290:VHZ524307 VRV524290:VRV524307 WBR524290:WBR524307 WLN524290:WLN524307 WVJ524290:WVJ524307 B589826:B589843 IX589826:IX589843 ST589826:ST589843 ACP589826:ACP589843 AML589826:AML589843 AWH589826:AWH589843 BGD589826:BGD589843 BPZ589826:BPZ589843 BZV589826:BZV589843 CJR589826:CJR589843 CTN589826:CTN589843 DDJ589826:DDJ589843 DNF589826:DNF589843 DXB589826:DXB589843 EGX589826:EGX589843 EQT589826:EQT589843 FAP589826:FAP589843 FKL589826:FKL589843 FUH589826:FUH589843 GED589826:GED589843 GNZ589826:GNZ589843 GXV589826:GXV589843 HHR589826:HHR589843 HRN589826:HRN589843 IBJ589826:IBJ589843 ILF589826:ILF589843 IVB589826:IVB589843 JEX589826:JEX589843 JOT589826:JOT589843 JYP589826:JYP589843 KIL589826:KIL589843 KSH589826:KSH589843 LCD589826:LCD589843 LLZ589826:LLZ589843 LVV589826:LVV589843 MFR589826:MFR589843 MPN589826:MPN589843 MZJ589826:MZJ589843 NJF589826:NJF589843 NTB589826:NTB589843 OCX589826:OCX589843 OMT589826:OMT589843 OWP589826:OWP589843 PGL589826:PGL589843 PQH589826:PQH589843 QAD589826:QAD589843 QJZ589826:QJZ589843 QTV589826:QTV589843 RDR589826:RDR589843 RNN589826:RNN589843 RXJ589826:RXJ589843 SHF589826:SHF589843 SRB589826:SRB589843 TAX589826:TAX589843 TKT589826:TKT589843 TUP589826:TUP589843 UEL589826:UEL589843 UOH589826:UOH589843 UYD589826:UYD589843 VHZ589826:VHZ589843 VRV589826:VRV589843 WBR589826:WBR589843 WLN589826:WLN589843 WVJ589826:WVJ589843 B655362:B655379 IX655362:IX655379 ST655362:ST655379 ACP655362:ACP655379 AML655362:AML655379 AWH655362:AWH655379 BGD655362:BGD655379 BPZ655362:BPZ655379 BZV655362:BZV655379 CJR655362:CJR655379 CTN655362:CTN655379 DDJ655362:DDJ655379 DNF655362:DNF655379 DXB655362:DXB655379 EGX655362:EGX655379 EQT655362:EQT655379 FAP655362:FAP655379 FKL655362:FKL655379 FUH655362:FUH655379 GED655362:GED655379 GNZ655362:GNZ655379 GXV655362:GXV655379 HHR655362:HHR655379 HRN655362:HRN655379 IBJ655362:IBJ655379 ILF655362:ILF655379 IVB655362:IVB655379 JEX655362:JEX655379 JOT655362:JOT655379 JYP655362:JYP655379 KIL655362:KIL655379 KSH655362:KSH655379 LCD655362:LCD655379 LLZ655362:LLZ655379 LVV655362:LVV655379 MFR655362:MFR655379 MPN655362:MPN655379 MZJ655362:MZJ655379 NJF655362:NJF655379 NTB655362:NTB655379 OCX655362:OCX655379 OMT655362:OMT655379 OWP655362:OWP655379 PGL655362:PGL655379 PQH655362:PQH655379 QAD655362:QAD655379 QJZ655362:QJZ655379 QTV655362:QTV655379 RDR655362:RDR655379 RNN655362:RNN655379 RXJ655362:RXJ655379 SHF655362:SHF655379 SRB655362:SRB655379 TAX655362:TAX655379 TKT655362:TKT655379 TUP655362:TUP655379 UEL655362:UEL655379 UOH655362:UOH655379 UYD655362:UYD655379 VHZ655362:VHZ655379 VRV655362:VRV655379 WBR655362:WBR655379 WLN655362:WLN655379 WVJ655362:WVJ655379 B720898:B720915 IX720898:IX720915 ST720898:ST720915 ACP720898:ACP720915 AML720898:AML720915 AWH720898:AWH720915 BGD720898:BGD720915 BPZ720898:BPZ720915 BZV720898:BZV720915 CJR720898:CJR720915 CTN720898:CTN720915 DDJ720898:DDJ720915 DNF720898:DNF720915 DXB720898:DXB720915 EGX720898:EGX720915 EQT720898:EQT720915 FAP720898:FAP720915 FKL720898:FKL720915 FUH720898:FUH720915 GED720898:GED720915 GNZ720898:GNZ720915 GXV720898:GXV720915 HHR720898:HHR720915 HRN720898:HRN720915 IBJ720898:IBJ720915 ILF720898:ILF720915 IVB720898:IVB720915 JEX720898:JEX720915 JOT720898:JOT720915 JYP720898:JYP720915 KIL720898:KIL720915 KSH720898:KSH720915 LCD720898:LCD720915 LLZ720898:LLZ720915 LVV720898:LVV720915 MFR720898:MFR720915 MPN720898:MPN720915 MZJ720898:MZJ720915 NJF720898:NJF720915 NTB720898:NTB720915 OCX720898:OCX720915 OMT720898:OMT720915 OWP720898:OWP720915 PGL720898:PGL720915 PQH720898:PQH720915 QAD720898:QAD720915 QJZ720898:QJZ720915 QTV720898:QTV720915 RDR720898:RDR720915 RNN720898:RNN720915 RXJ720898:RXJ720915 SHF720898:SHF720915 SRB720898:SRB720915 TAX720898:TAX720915 TKT720898:TKT720915 TUP720898:TUP720915 UEL720898:UEL720915 UOH720898:UOH720915 UYD720898:UYD720915 VHZ720898:VHZ720915 VRV720898:VRV720915 WBR720898:WBR720915 WLN720898:WLN720915 WVJ720898:WVJ720915 B786434:B786451 IX786434:IX786451 ST786434:ST786451 ACP786434:ACP786451 AML786434:AML786451 AWH786434:AWH786451 BGD786434:BGD786451 BPZ786434:BPZ786451 BZV786434:BZV786451 CJR786434:CJR786451 CTN786434:CTN786451 DDJ786434:DDJ786451 DNF786434:DNF786451 DXB786434:DXB786451 EGX786434:EGX786451 EQT786434:EQT786451 FAP786434:FAP786451 FKL786434:FKL786451 FUH786434:FUH786451 GED786434:GED786451 GNZ786434:GNZ786451 GXV786434:GXV786451 HHR786434:HHR786451 HRN786434:HRN786451 IBJ786434:IBJ786451 ILF786434:ILF786451 IVB786434:IVB786451 JEX786434:JEX786451 JOT786434:JOT786451 JYP786434:JYP786451 KIL786434:KIL786451 KSH786434:KSH786451 LCD786434:LCD786451 LLZ786434:LLZ786451 LVV786434:LVV786451 MFR786434:MFR786451 MPN786434:MPN786451 MZJ786434:MZJ786451 NJF786434:NJF786451 NTB786434:NTB786451 OCX786434:OCX786451 OMT786434:OMT786451 OWP786434:OWP786451 PGL786434:PGL786451 PQH786434:PQH786451 QAD786434:QAD786451 QJZ786434:QJZ786451 QTV786434:QTV786451 RDR786434:RDR786451 RNN786434:RNN786451 RXJ786434:RXJ786451 SHF786434:SHF786451 SRB786434:SRB786451 TAX786434:TAX786451 TKT786434:TKT786451 TUP786434:TUP786451 UEL786434:UEL786451 UOH786434:UOH786451 UYD786434:UYD786451 VHZ786434:VHZ786451 VRV786434:VRV786451 WBR786434:WBR786451 WLN786434:WLN786451 WVJ786434:WVJ786451 B851970:B851987 IX851970:IX851987 ST851970:ST851987 ACP851970:ACP851987 AML851970:AML851987 AWH851970:AWH851987 BGD851970:BGD851987 BPZ851970:BPZ851987 BZV851970:BZV851987 CJR851970:CJR851987 CTN851970:CTN851987 DDJ851970:DDJ851987 DNF851970:DNF851987 DXB851970:DXB851987 EGX851970:EGX851987 EQT851970:EQT851987 FAP851970:FAP851987 FKL851970:FKL851987 FUH851970:FUH851987 GED851970:GED851987 GNZ851970:GNZ851987 GXV851970:GXV851987 HHR851970:HHR851987 HRN851970:HRN851987 IBJ851970:IBJ851987 ILF851970:ILF851987 IVB851970:IVB851987 JEX851970:JEX851987 JOT851970:JOT851987 JYP851970:JYP851987 KIL851970:KIL851987 KSH851970:KSH851987 LCD851970:LCD851987 LLZ851970:LLZ851987 LVV851970:LVV851987 MFR851970:MFR851987 MPN851970:MPN851987 MZJ851970:MZJ851987 NJF851970:NJF851987 NTB851970:NTB851987 OCX851970:OCX851987 OMT851970:OMT851987 OWP851970:OWP851987 PGL851970:PGL851987 PQH851970:PQH851987 QAD851970:QAD851987 QJZ851970:QJZ851987 QTV851970:QTV851987 RDR851970:RDR851987 RNN851970:RNN851987 RXJ851970:RXJ851987 SHF851970:SHF851987 SRB851970:SRB851987 TAX851970:TAX851987 TKT851970:TKT851987 TUP851970:TUP851987 UEL851970:UEL851987 UOH851970:UOH851987 UYD851970:UYD851987 VHZ851970:VHZ851987 VRV851970:VRV851987 WBR851970:WBR851987 WLN851970:WLN851987 WVJ851970:WVJ851987 B917506:B917523 IX917506:IX917523 ST917506:ST917523 ACP917506:ACP917523 AML917506:AML917523 AWH917506:AWH917523 BGD917506:BGD917523 BPZ917506:BPZ917523 BZV917506:BZV917523 CJR917506:CJR917523 CTN917506:CTN917523 DDJ917506:DDJ917523 DNF917506:DNF917523 DXB917506:DXB917523 EGX917506:EGX917523 EQT917506:EQT917523 FAP917506:FAP917523 FKL917506:FKL917523 FUH917506:FUH917523 GED917506:GED917523 GNZ917506:GNZ917523 GXV917506:GXV917523 HHR917506:HHR917523 HRN917506:HRN917523 IBJ917506:IBJ917523 ILF917506:ILF917523 IVB917506:IVB917523 JEX917506:JEX917523 JOT917506:JOT917523 JYP917506:JYP917523 KIL917506:KIL917523 KSH917506:KSH917523 LCD917506:LCD917523 LLZ917506:LLZ917523 LVV917506:LVV917523 MFR917506:MFR917523 MPN917506:MPN917523 MZJ917506:MZJ917523 NJF917506:NJF917523 NTB917506:NTB917523 OCX917506:OCX917523 OMT917506:OMT917523 OWP917506:OWP917523 PGL917506:PGL917523 PQH917506:PQH917523 QAD917506:QAD917523 QJZ917506:QJZ917523 QTV917506:QTV917523 RDR917506:RDR917523 RNN917506:RNN917523 RXJ917506:RXJ917523 SHF917506:SHF917523 SRB917506:SRB917523 TAX917506:TAX917523 TKT917506:TKT917523 TUP917506:TUP917523 UEL917506:UEL917523 UOH917506:UOH917523 UYD917506:UYD917523 VHZ917506:VHZ917523 VRV917506:VRV917523 WBR917506:WBR917523 WLN917506:WLN917523 WVJ917506:WVJ917523" xr:uid="{00000000-0002-0000-1F00-000000000000}">
      <formula1>trung</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334"/>
  <sheetViews>
    <sheetView topLeftCell="A14"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57"/>
      <c r="G3" s="102"/>
      <c r="H3" s="103"/>
    </row>
    <row r="4" spans="1:8" s="98" customFormat="1" ht="18" customHeight="1">
      <c r="A4" s="414"/>
      <c r="B4" s="414"/>
      <c r="C4" s="415" t="s">
        <v>1740</v>
      </c>
      <c r="D4" s="416"/>
      <c r="E4" s="416"/>
      <c r="F4" s="416"/>
      <c r="G4" s="416"/>
      <c r="H4" s="416"/>
    </row>
    <row r="5" spans="1:8" s="98" customFormat="1" ht="15.6">
      <c r="A5" s="104"/>
      <c r="B5" s="104"/>
      <c r="C5" s="156"/>
      <c r="D5" s="105"/>
      <c r="E5" s="106"/>
      <c r="F5" s="156"/>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30" customHeight="1">
      <c r="A8" s="420" t="s">
        <v>1913</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1914</v>
      </c>
      <c r="C13" s="425"/>
      <c r="D13" s="425"/>
      <c r="E13" s="425"/>
      <c r="F13" s="425"/>
      <c r="G13" s="73">
        <f>G14</f>
        <v>132159999.99999999</v>
      </c>
      <c r="H13" s="74"/>
    </row>
    <row r="14" spans="1:8" s="131" customFormat="1" ht="40.5" customHeight="1">
      <c r="A14" s="123"/>
      <c r="B14" s="124" t="s">
        <v>1757</v>
      </c>
      <c r="C14" s="125" t="s">
        <v>1753</v>
      </c>
      <c r="D14" s="126">
        <v>11.2</v>
      </c>
      <c r="E14" s="127">
        <v>11800000</v>
      </c>
      <c r="F14" s="128">
        <v>1</v>
      </c>
      <c r="G14" s="129">
        <f>D14*E14*F14</f>
        <v>132159999.99999999</v>
      </c>
      <c r="H14" s="130"/>
    </row>
    <row r="15" spans="1:8" ht="27" customHeight="1">
      <c r="A15" s="75" t="s">
        <v>18</v>
      </c>
      <c r="B15" s="426" t="s">
        <v>1725</v>
      </c>
      <c r="C15" s="426"/>
      <c r="D15" s="426"/>
      <c r="E15" s="426"/>
      <c r="F15" s="426"/>
      <c r="G15" s="76">
        <f>SUM(G16)</f>
        <v>0</v>
      </c>
      <c r="H15" s="11"/>
    </row>
    <row r="16" spans="1:8" ht="30.6" customHeight="1">
      <c r="A16" s="77"/>
      <c r="B16" s="78" t="s">
        <v>1728</v>
      </c>
      <c r="C16" s="13"/>
      <c r="D16" s="13"/>
      <c r="E16" s="13"/>
      <c r="F16" s="13"/>
      <c r="G16" s="79"/>
      <c r="H16" s="15"/>
    </row>
    <row r="17" spans="1:8" ht="24" customHeight="1">
      <c r="A17" s="75" t="s">
        <v>19</v>
      </c>
      <c r="B17" s="426" t="s">
        <v>1727</v>
      </c>
      <c r="C17" s="426"/>
      <c r="D17" s="426"/>
      <c r="E17" s="426"/>
      <c r="F17" s="426"/>
      <c r="G17" s="76">
        <f>SUM(G18:G18)</f>
        <v>0</v>
      </c>
      <c r="H17" s="11"/>
    </row>
    <row r="18" spans="1:8" ht="30.6" customHeight="1">
      <c r="A18" s="77"/>
      <c r="B18" s="78" t="s">
        <v>1728</v>
      </c>
      <c r="C18" s="13"/>
      <c r="D18" s="13"/>
      <c r="E18" s="13"/>
      <c r="F18" s="13"/>
      <c r="G18" s="79"/>
      <c r="H18" s="15"/>
    </row>
    <row r="19" spans="1:8" ht="15.6">
      <c r="A19" s="80"/>
      <c r="B19" s="427" t="s">
        <v>62</v>
      </c>
      <c r="C19" s="428"/>
      <c r="D19" s="428"/>
      <c r="E19" s="428"/>
      <c r="F19" s="429"/>
      <c r="G19" s="81">
        <f>G13+G15+G17</f>
        <v>132159999.99999999</v>
      </c>
      <c r="H19" s="82"/>
    </row>
    <row r="20" spans="1:8" ht="15.6">
      <c r="A20" s="80"/>
      <c r="B20" s="427" t="s">
        <v>1726</v>
      </c>
      <c r="C20" s="428"/>
      <c r="D20" s="428"/>
      <c r="E20" s="428"/>
      <c r="F20" s="429"/>
      <c r="G20" s="81">
        <f>ROUND(G19,-3)</f>
        <v>132160000</v>
      </c>
      <c r="H20" s="82"/>
    </row>
    <row r="21" spans="1:8" ht="15.6">
      <c r="A21" s="430" t="e">
        <f ca="1">[19]!vnd(G20)</f>
        <v>#NAME?</v>
      </c>
      <c r="B21" s="431"/>
      <c r="C21" s="431"/>
      <c r="D21" s="431"/>
      <c r="E21" s="431"/>
      <c r="F21" s="431"/>
      <c r="G21" s="431"/>
      <c r="H21" s="432"/>
    </row>
    <row r="22" spans="1:8">
      <c r="A22" s="17"/>
      <c r="B22" s="17"/>
      <c r="C22" s="97"/>
      <c r="D22" s="20"/>
      <c r="E22" s="19"/>
      <c r="F22" s="97"/>
      <c r="G22" s="19"/>
      <c r="H22" s="17"/>
    </row>
    <row r="23" spans="1:8" s="109" customFormat="1" ht="16.5" customHeight="1">
      <c r="A23" s="108"/>
      <c r="B23" s="108"/>
      <c r="C23" s="424" t="s">
        <v>1742</v>
      </c>
      <c r="D23" s="424"/>
      <c r="E23" s="424"/>
      <c r="F23" s="424"/>
      <c r="G23" s="424"/>
      <c r="H23" s="424"/>
    </row>
    <row r="24" spans="1:8" s="109" customFormat="1" ht="16.5" customHeight="1">
      <c r="A24" s="423" t="s">
        <v>63</v>
      </c>
      <c r="B24" s="423"/>
      <c r="C24" s="424" t="s">
        <v>1743</v>
      </c>
      <c r="D24" s="424"/>
      <c r="E24" s="424"/>
      <c r="F24" s="424" t="s">
        <v>1744</v>
      </c>
      <c r="G24" s="424"/>
      <c r="H24" s="424"/>
    </row>
    <row r="25" spans="1:8" s="109" customFormat="1" ht="15.6">
      <c r="A25" s="108"/>
      <c r="B25" s="108"/>
      <c r="C25" s="108"/>
      <c r="D25" s="110"/>
      <c r="E25" s="111"/>
      <c r="F25" s="112"/>
      <c r="G25" s="111"/>
      <c r="H25" s="113"/>
    </row>
    <row r="26" spans="1:8" s="109" customFormat="1" ht="15.6">
      <c r="A26" s="108"/>
      <c r="B26" s="108"/>
      <c r="C26" s="108"/>
      <c r="D26" s="110"/>
      <c r="E26" s="111"/>
      <c r="F26" s="112"/>
      <c r="G26" s="114"/>
      <c r="H26" s="113"/>
    </row>
    <row r="27" spans="1:8" s="109" customFormat="1" ht="15.6">
      <c r="A27" s="108"/>
      <c r="B27" s="108"/>
      <c r="C27" s="108"/>
      <c r="D27" s="110"/>
      <c r="E27" s="111"/>
      <c r="F27" s="112"/>
      <c r="G27" s="111"/>
      <c r="H27" s="113"/>
    </row>
    <row r="28" spans="1:8" s="109" customFormat="1" ht="15.6">
      <c r="A28" s="108"/>
      <c r="B28" s="108"/>
      <c r="C28" s="108"/>
      <c r="D28" s="110"/>
      <c r="E28" s="111"/>
      <c r="F28" s="112"/>
      <c r="G28" s="111"/>
      <c r="H28" s="113"/>
    </row>
    <row r="29" spans="1:8" s="109" customFormat="1" ht="15.6">
      <c r="A29" s="108"/>
      <c r="B29" s="108"/>
      <c r="C29" s="108"/>
      <c r="D29" s="110"/>
      <c r="E29" s="111"/>
      <c r="F29" s="112"/>
      <c r="G29" s="111"/>
      <c r="H29" s="113"/>
    </row>
    <row r="30" spans="1:8" s="109" customFormat="1" ht="16.5" customHeight="1">
      <c r="A30" s="108"/>
      <c r="B30" s="158" t="s">
        <v>64</v>
      </c>
      <c r="C30" s="424"/>
      <c r="D30" s="424"/>
      <c r="E30" s="424"/>
      <c r="F30" s="424" t="s">
        <v>1745</v>
      </c>
      <c r="G30" s="424"/>
      <c r="H30" s="424"/>
    </row>
    <row r="31" spans="1:8" s="109" customFormat="1" ht="15.6">
      <c r="A31" s="108"/>
      <c r="B31" s="158"/>
      <c r="C31" s="155"/>
      <c r="D31" s="155"/>
      <c r="E31" s="155"/>
      <c r="F31" s="155"/>
      <c r="G31" s="155"/>
      <c r="H31" s="155"/>
    </row>
    <row r="32" spans="1:8" s="109" customFormat="1" ht="15" customHeight="1">
      <c r="A32" s="424" t="s">
        <v>1746</v>
      </c>
      <c r="B32" s="424"/>
      <c r="C32" s="424"/>
      <c r="D32" s="424"/>
      <c r="E32" s="424" t="s">
        <v>1747</v>
      </c>
      <c r="F32" s="424"/>
      <c r="G32" s="424"/>
      <c r="H32" s="424"/>
    </row>
    <row r="33" spans="1:8" s="109" customFormat="1" ht="33.6" customHeight="1">
      <c r="A33" s="424" t="s">
        <v>1748</v>
      </c>
      <c r="B33" s="424"/>
      <c r="C33" s="424"/>
      <c r="D33" s="424"/>
      <c r="E33" s="424" t="s">
        <v>65</v>
      </c>
      <c r="F33" s="424"/>
      <c r="G33" s="424"/>
      <c r="H33" s="424"/>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ustomHeight="1">
      <c r="A39" s="108"/>
      <c r="B39" s="108"/>
      <c r="C39" s="108"/>
      <c r="D39" s="115"/>
      <c r="E39" s="439" t="s">
        <v>1749</v>
      </c>
      <c r="F39" s="439"/>
      <c r="G39" s="439"/>
      <c r="H39" s="439"/>
    </row>
    <row r="40" spans="1:8" s="109" customFormat="1" ht="16.5" customHeight="1">
      <c r="A40" s="424" t="s">
        <v>1751</v>
      </c>
      <c r="B40" s="424"/>
      <c r="C40" s="424"/>
      <c r="D40" s="424"/>
      <c r="E40" s="424" t="s">
        <v>1750</v>
      </c>
      <c r="F40" s="424"/>
      <c r="G40" s="424"/>
      <c r="H40" s="424"/>
    </row>
    <row r="41" spans="1:8" s="118" customFormat="1" ht="16.2" customHeight="1">
      <c r="A41" s="440"/>
      <c r="B41" s="440"/>
      <c r="C41" s="116"/>
      <c r="D41" s="117"/>
      <c r="E41" s="440"/>
      <c r="F41" s="440"/>
      <c r="G41" s="440"/>
      <c r="H41" s="440"/>
    </row>
    <row r="42" spans="1:8" s="118" customFormat="1" ht="15.75" customHeight="1">
      <c r="A42" s="440"/>
      <c r="B42" s="440"/>
      <c r="C42" s="440"/>
      <c r="D42" s="440"/>
      <c r="E42" s="440"/>
      <c r="F42" s="440"/>
      <c r="G42" s="440"/>
      <c r="H42" s="440"/>
    </row>
    <row r="43" spans="1:8" s="98" customFormat="1" ht="16.2" customHeight="1">
      <c r="A43" s="436"/>
      <c r="B43" s="436"/>
      <c r="C43" s="436"/>
      <c r="D43" s="436"/>
      <c r="E43" s="119"/>
      <c r="F43" s="120"/>
      <c r="G43" s="119"/>
      <c r="H43" s="121"/>
    </row>
    <row r="44" spans="1:8" s="98" customFormat="1" ht="16.2" customHeight="1">
      <c r="A44" s="436"/>
      <c r="B44" s="436"/>
      <c r="C44" s="436"/>
      <c r="D44" s="436"/>
      <c r="E44" s="119"/>
      <c r="F44" s="120"/>
      <c r="G44" s="119"/>
      <c r="H44" s="121"/>
    </row>
    <row r="45" spans="1:8" s="98" customFormat="1" ht="16.2" customHeight="1">
      <c r="A45" s="121"/>
      <c r="B45" s="121"/>
      <c r="C45" s="121"/>
      <c r="D45" s="122"/>
      <c r="E45" s="119"/>
      <c r="F45" s="120"/>
      <c r="G45" s="119"/>
      <c r="H45" s="121"/>
    </row>
    <row r="46" spans="1:8" ht="16.2" customHeight="1">
      <c r="A46" s="83"/>
      <c r="B46" s="83"/>
      <c r="C46" s="83"/>
      <c r="D46" s="84"/>
      <c r="E46" s="85"/>
      <c r="F46" s="86"/>
      <c r="G46" s="85"/>
      <c r="H46" s="83"/>
    </row>
    <row r="47" spans="1:8" ht="16.2" customHeight="1">
      <c r="A47" s="83"/>
      <c r="B47" s="83"/>
      <c r="C47" s="83"/>
      <c r="D47" s="84"/>
      <c r="E47" s="85"/>
      <c r="F47" s="86"/>
      <c r="G47" s="85"/>
      <c r="H47" s="83"/>
    </row>
    <row r="48" spans="1:8" ht="16.2" customHeight="1">
      <c r="A48" s="83"/>
      <c r="B48" s="83"/>
      <c r="C48" s="83"/>
      <c r="D48" s="84"/>
      <c r="E48" s="85"/>
      <c r="F48" s="86"/>
      <c r="G48" s="85"/>
      <c r="H48" s="83"/>
    </row>
    <row r="49" spans="1:8" ht="16.2" customHeight="1">
      <c r="A49" s="83"/>
      <c r="B49" s="83"/>
      <c r="C49" s="83"/>
      <c r="D49" s="84"/>
      <c r="E49" s="437"/>
      <c r="F49" s="437"/>
      <c r="G49" s="437"/>
      <c r="H49" s="437"/>
    </row>
    <row r="50" spans="1:8" ht="20.25" customHeight="1">
      <c r="A50" s="438"/>
      <c r="B50" s="438"/>
      <c r="C50" s="438"/>
      <c r="D50" s="438"/>
      <c r="E50" s="438"/>
      <c r="F50" s="438"/>
      <c r="G50" s="438"/>
      <c r="H50" s="438"/>
    </row>
    <row r="51" spans="1:8" s="17" customFormat="1" ht="16.2" customHeight="1">
      <c r="D51" s="18"/>
      <c r="E51" s="19"/>
      <c r="F51" s="97"/>
      <c r="G51" s="19"/>
    </row>
    <row r="52" spans="1:8" s="17" customFormat="1" ht="16.2" customHeight="1">
      <c r="D52" s="18"/>
      <c r="E52" s="19"/>
      <c r="F52" s="97"/>
      <c r="G52" s="19"/>
    </row>
    <row r="53" spans="1:8" s="17" customFormat="1" ht="16.2" customHeight="1">
      <c r="D53" s="18"/>
      <c r="E53" s="19"/>
      <c r="F53" s="97"/>
      <c r="G53" s="19"/>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C67" s="97"/>
      <c r="D67" s="20"/>
      <c r="E67" s="19"/>
      <c r="F67" s="97"/>
      <c r="G67" s="19"/>
    </row>
    <row r="68" spans="3:7" s="17" customFormat="1" ht="16.2" customHeight="1">
      <c r="C68" s="97"/>
      <c r="D68" s="20"/>
      <c r="E68" s="19"/>
      <c r="F68" s="97"/>
      <c r="G68" s="19"/>
    </row>
    <row r="69" spans="3:7" s="17" customFormat="1" ht="16.2" customHeight="1">
      <c r="C69" s="97"/>
      <c r="D69" s="20"/>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ht="16.2" customHeight="1"/>
    <row r="80" spans="3:7" ht="16.2" customHeight="1"/>
    <row r="81" ht="16.2" customHeight="1"/>
    <row r="82" ht="16.2" customHeight="1"/>
    <row r="83" ht="16.2" customHeight="1"/>
    <row r="84" ht="16.2" customHeight="1"/>
    <row r="85" ht="16.2" customHeight="1"/>
    <row r="86" ht="16.2" customHeight="1"/>
    <row r="87" ht="16.2" customHeight="1"/>
    <row r="88" ht="16.2" customHeight="1"/>
    <row r="89" ht="16.2" customHeight="1"/>
    <row r="90" ht="16.2" customHeight="1"/>
    <row r="91" ht="16.2" customHeight="1"/>
    <row r="92" ht="16.2" customHeight="1"/>
    <row r="93" ht="16.2" customHeight="1"/>
    <row r="94" ht="16.2" customHeight="1"/>
    <row r="95" ht="16.2" customHeight="1"/>
    <row r="96"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row r="226"/>
    <row r="227"/>
    <row r="228"/>
    <row r="229"/>
    <row r="230"/>
    <row r="231"/>
    <row r="232"/>
    <row r="233"/>
    <row r="234"/>
    <row r="235"/>
    <row r="236"/>
    <row r="237"/>
    <row r="238"/>
    <row r="239"/>
    <row r="240"/>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sheetData>
  <mergeCells count="40">
    <mergeCell ref="E49:H49"/>
    <mergeCell ref="A50:H50"/>
    <mergeCell ref="A41:B41"/>
    <mergeCell ref="E41:H41"/>
    <mergeCell ref="A42:D42"/>
    <mergeCell ref="E42:H42"/>
    <mergeCell ref="A43:D43"/>
    <mergeCell ref="A44:D44"/>
    <mergeCell ref="A40:D40"/>
    <mergeCell ref="E40:H40"/>
    <mergeCell ref="C23:H23"/>
    <mergeCell ref="A24:B24"/>
    <mergeCell ref="C24:E24"/>
    <mergeCell ref="F24:H24"/>
    <mergeCell ref="C30:E30"/>
    <mergeCell ref="F30:H30"/>
    <mergeCell ref="A32:D32"/>
    <mergeCell ref="E32:H32"/>
    <mergeCell ref="A33:D33"/>
    <mergeCell ref="E33:H33"/>
    <mergeCell ref="E39:H39"/>
    <mergeCell ref="A21:H21"/>
    <mergeCell ref="A6:H6"/>
    <mergeCell ref="A7:H7"/>
    <mergeCell ref="A8:H8"/>
    <mergeCell ref="A9:H9"/>
    <mergeCell ref="A10:H10"/>
    <mergeCell ref="A11:H11"/>
    <mergeCell ref="B13:F13"/>
    <mergeCell ref="B15:F15"/>
    <mergeCell ref="B17:F17"/>
    <mergeCell ref="B19:F19"/>
    <mergeCell ref="B20:F20"/>
    <mergeCell ref="A4:B4"/>
    <mergeCell ref="C4:H4"/>
    <mergeCell ref="A1:B1"/>
    <mergeCell ref="C1:H1"/>
    <mergeCell ref="A2:B2"/>
    <mergeCell ref="C2:H2"/>
    <mergeCell ref="A3:B3"/>
  </mergeCells>
  <dataValidations count="1">
    <dataValidation type="list" allowBlank="1" showInputMessage="1" showErrorMessage="1" sqref="WVJ983042:WVJ983059 B983042:B983059 IX983042:IX983059 ST983042:ST983059 ACP983042:ACP983059 AML983042:AML983059 AWH983042:AWH983059 BGD983042:BGD983059 BPZ983042:BPZ983059 BZV983042:BZV983059 CJR983042:CJR983059 CTN983042:CTN983059 DDJ983042:DDJ983059 DNF983042:DNF983059 DXB983042:DXB983059 EGX983042:EGX983059 EQT983042:EQT983059 FAP983042:FAP983059 FKL983042:FKL983059 FUH983042:FUH983059 GED983042:GED983059 GNZ983042:GNZ983059 GXV983042:GXV983059 HHR983042:HHR983059 HRN983042:HRN983059 IBJ983042:IBJ983059 ILF983042:ILF983059 IVB983042:IVB983059 JEX983042:JEX983059 JOT983042:JOT983059 JYP983042:JYP983059 KIL983042:KIL983059 KSH983042:KSH983059 LCD983042:LCD983059 LLZ983042:LLZ983059 LVV983042:LVV983059 MFR983042:MFR983059 MPN983042:MPN983059 MZJ983042:MZJ983059 NJF983042:NJF983059 NTB983042:NTB983059 OCX983042:OCX983059 OMT983042:OMT983059 OWP983042:OWP983059 PGL983042:PGL983059 PQH983042:PQH983059 QAD983042:QAD983059 QJZ983042:QJZ983059 QTV983042:QTV983059 RDR983042:RDR983059 RNN983042:RNN983059 RXJ983042:RXJ983059 SHF983042:SHF983059 SRB983042:SRB983059 TAX983042:TAX983059 TKT983042:TKT983059 TUP983042:TUP983059 UEL983042:UEL983059 UOH983042:UOH983059 UYD983042:UYD983059 VHZ983042:VHZ983059 VRV983042:VRV983059 WBR983042:WBR983059 WLN983042:WLN983059 B65538:B65555 IX65538:IX65555 ST65538:ST65555 ACP65538:ACP65555 AML65538:AML65555 AWH65538:AWH65555 BGD65538:BGD65555 BPZ65538:BPZ65555 BZV65538:BZV65555 CJR65538:CJR65555 CTN65538:CTN65555 DDJ65538:DDJ65555 DNF65538:DNF65555 DXB65538:DXB65555 EGX65538:EGX65555 EQT65538:EQT65555 FAP65538:FAP65555 FKL65538:FKL65555 FUH65538:FUH65555 GED65538:GED65555 GNZ65538:GNZ65555 GXV65538:GXV65555 HHR65538:HHR65555 HRN65538:HRN65555 IBJ65538:IBJ65555 ILF65538:ILF65555 IVB65538:IVB65555 JEX65538:JEX65555 JOT65538:JOT65555 JYP65538:JYP65555 KIL65538:KIL65555 KSH65538:KSH65555 LCD65538:LCD65555 LLZ65538:LLZ65555 LVV65538:LVV65555 MFR65538:MFR65555 MPN65538:MPN65555 MZJ65538:MZJ65555 NJF65538:NJF65555 NTB65538:NTB65555 OCX65538:OCX65555 OMT65538:OMT65555 OWP65538:OWP65555 PGL65538:PGL65555 PQH65538:PQH65555 QAD65538:QAD65555 QJZ65538:QJZ65555 QTV65538:QTV65555 RDR65538:RDR65555 RNN65538:RNN65555 RXJ65538:RXJ65555 SHF65538:SHF65555 SRB65538:SRB65555 TAX65538:TAX65555 TKT65538:TKT65555 TUP65538:TUP65555 UEL65538:UEL65555 UOH65538:UOH65555 UYD65538:UYD65555 VHZ65538:VHZ65555 VRV65538:VRV65555 WBR65538:WBR65555 WLN65538:WLN65555 WVJ65538:WVJ65555 B131074:B131091 IX131074:IX131091 ST131074:ST131091 ACP131074:ACP131091 AML131074:AML131091 AWH131074:AWH131091 BGD131074:BGD131091 BPZ131074:BPZ131091 BZV131074:BZV131091 CJR131074:CJR131091 CTN131074:CTN131091 DDJ131074:DDJ131091 DNF131074:DNF131091 DXB131074:DXB131091 EGX131074:EGX131091 EQT131074:EQT131091 FAP131074:FAP131091 FKL131074:FKL131091 FUH131074:FUH131091 GED131074:GED131091 GNZ131074:GNZ131091 GXV131074:GXV131091 HHR131074:HHR131091 HRN131074:HRN131091 IBJ131074:IBJ131091 ILF131074:ILF131091 IVB131074:IVB131091 JEX131074:JEX131091 JOT131074:JOT131091 JYP131074:JYP131091 KIL131074:KIL131091 KSH131074:KSH131091 LCD131074:LCD131091 LLZ131074:LLZ131091 LVV131074:LVV131091 MFR131074:MFR131091 MPN131074:MPN131091 MZJ131074:MZJ131091 NJF131074:NJF131091 NTB131074:NTB131091 OCX131074:OCX131091 OMT131074:OMT131091 OWP131074:OWP131091 PGL131074:PGL131091 PQH131074:PQH131091 QAD131074:QAD131091 QJZ131074:QJZ131091 QTV131074:QTV131091 RDR131074:RDR131091 RNN131074:RNN131091 RXJ131074:RXJ131091 SHF131074:SHF131091 SRB131074:SRB131091 TAX131074:TAX131091 TKT131074:TKT131091 TUP131074:TUP131091 UEL131074:UEL131091 UOH131074:UOH131091 UYD131074:UYD131091 VHZ131074:VHZ131091 VRV131074:VRV131091 WBR131074:WBR131091 WLN131074:WLN131091 WVJ131074:WVJ131091 B196610:B196627 IX196610:IX196627 ST196610:ST196627 ACP196610:ACP196627 AML196610:AML196627 AWH196610:AWH196627 BGD196610:BGD196627 BPZ196610:BPZ196627 BZV196610:BZV196627 CJR196610:CJR196627 CTN196610:CTN196627 DDJ196610:DDJ196627 DNF196610:DNF196627 DXB196610:DXB196627 EGX196610:EGX196627 EQT196610:EQT196627 FAP196610:FAP196627 FKL196610:FKL196627 FUH196610:FUH196627 GED196610:GED196627 GNZ196610:GNZ196627 GXV196610:GXV196627 HHR196610:HHR196627 HRN196610:HRN196627 IBJ196610:IBJ196627 ILF196610:ILF196627 IVB196610:IVB196627 JEX196610:JEX196627 JOT196610:JOT196627 JYP196610:JYP196627 KIL196610:KIL196627 KSH196610:KSH196627 LCD196610:LCD196627 LLZ196610:LLZ196627 LVV196610:LVV196627 MFR196610:MFR196627 MPN196610:MPN196627 MZJ196610:MZJ196627 NJF196610:NJF196627 NTB196610:NTB196627 OCX196610:OCX196627 OMT196610:OMT196627 OWP196610:OWP196627 PGL196610:PGL196627 PQH196610:PQH196627 QAD196610:QAD196627 QJZ196610:QJZ196627 QTV196610:QTV196627 RDR196610:RDR196627 RNN196610:RNN196627 RXJ196610:RXJ196627 SHF196610:SHF196627 SRB196610:SRB196627 TAX196610:TAX196627 TKT196610:TKT196627 TUP196610:TUP196627 UEL196610:UEL196627 UOH196610:UOH196627 UYD196610:UYD196627 VHZ196610:VHZ196627 VRV196610:VRV196627 WBR196610:WBR196627 WLN196610:WLN196627 WVJ196610:WVJ196627 B262146:B262163 IX262146:IX262163 ST262146:ST262163 ACP262146:ACP262163 AML262146:AML262163 AWH262146:AWH262163 BGD262146:BGD262163 BPZ262146:BPZ262163 BZV262146:BZV262163 CJR262146:CJR262163 CTN262146:CTN262163 DDJ262146:DDJ262163 DNF262146:DNF262163 DXB262146:DXB262163 EGX262146:EGX262163 EQT262146:EQT262163 FAP262146:FAP262163 FKL262146:FKL262163 FUH262146:FUH262163 GED262146:GED262163 GNZ262146:GNZ262163 GXV262146:GXV262163 HHR262146:HHR262163 HRN262146:HRN262163 IBJ262146:IBJ262163 ILF262146:ILF262163 IVB262146:IVB262163 JEX262146:JEX262163 JOT262146:JOT262163 JYP262146:JYP262163 KIL262146:KIL262163 KSH262146:KSH262163 LCD262146:LCD262163 LLZ262146:LLZ262163 LVV262146:LVV262163 MFR262146:MFR262163 MPN262146:MPN262163 MZJ262146:MZJ262163 NJF262146:NJF262163 NTB262146:NTB262163 OCX262146:OCX262163 OMT262146:OMT262163 OWP262146:OWP262163 PGL262146:PGL262163 PQH262146:PQH262163 QAD262146:QAD262163 QJZ262146:QJZ262163 QTV262146:QTV262163 RDR262146:RDR262163 RNN262146:RNN262163 RXJ262146:RXJ262163 SHF262146:SHF262163 SRB262146:SRB262163 TAX262146:TAX262163 TKT262146:TKT262163 TUP262146:TUP262163 UEL262146:UEL262163 UOH262146:UOH262163 UYD262146:UYD262163 VHZ262146:VHZ262163 VRV262146:VRV262163 WBR262146:WBR262163 WLN262146:WLN262163 WVJ262146:WVJ262163 B327682:B327699 IX327682:IX327699 ST327682:ST327699 ACP327682:ACP327699 AML327682:AML327699 AWH327682:AWH327699 BGD327682:BGD327699 BPZ327682:BPZ327699 BZV327682:BZV327699 CJR327682:CJR327699 CTN327682:CTN327699 DDJ327682:DDJ327699 DNF327682:DNF327699 DXB327682:DXB327699 EGX327682:EGX327699 EQT327682:EQT327699 FAP327682:FAP327699 FKL327682:FKL327699 FUH327682:FUH327699 GED327682:GED327699 GNZ327682:GNZ327699 GXV327682:GXV327699 HHR327682:HHR327699 HRN327682:HRN327699 IBJ327682:IBJ327699 ILF327682:ILF327699 IVB327682:IVB327699 JEX327682:JEX327699 JOT327682:JOT327699 JYP327682:JYP327699 KIL327682:KIL327699 KSH327682:KSH327699 LCD327682:LCD327699 LLZ327682:LLZ327699 LVV327682:LVV327699 MFR327682:MFR327699 MPN327682:MPN327699 MZJ327682:MZJ327699 NJF327682:NJF327699 NTB327682:NTB327699 OCX327682:OCX327699 OMT327682:OMT327699 OWP327682:OWP327699 PGL327682:PGL327699 PQH327682:PQH327699 QAD327682:QAD327699 QJZ327682:QJZ327699 QTV327682:QTV327699 RDR327682:RDR327699 RNN327682:RNN327699 RXJ327682:RXJ327699 SHF327682:SHF327699 SRB327682:SRB327699 TAX327682:TAX327699 TKT327682:TKT327699 TUP327682:TUP327699 UEL327682:UEL327699 UOH327682:UOH327699 UYD327682:UYD327699 VHZ327682:VHZ327699 VRV327682:VRV327699 WBR327682:WBR327699 WLN327682:WLN327699 WVJ327682:WVJ327699 B393218:B393235 IX393218:IX393235 ST393218:ST393235 ACP393218:ACP393235 AML393218:AML393235 AWH393218:AWH393235 BGD393218:BGD393235 BPZ393218:BPZ393235 BZV393218:BZV393235 CJR393218:CJR393235 CTN393218:CTN393235 DDJ393218:DDJ393235 DNF393218:DNF393235 DXB393218:DXB393235 EGX393218:EGX393235 EQT393218:EQT393235 FAP393218:FAP393235 FKL393218:FKL393235 FUH393218:FUH393235 GED393218:GED393235 GNZ393218:GNZ393235 GXV393218:GXV393235 HHR393218:HHR393235 HRN393218:HRN393235 IBJ393218:IBJ393235 ILF393218:ILF393235 IVB393218:IVB393235 JEX393218:JEX393235 JOT393218:JOT393235 JYP393218:JYP393235 KIL393218:KIL393235 KSH393218:KSH393235 LCD393218:LCD393235 LLZ393218:LLZ393235 LVV393218:LVV393235 MFR393218:MFR393235 MPN393218:MPN393235 MZJ393218:MZJ393235 NJF393218:NJF393235 NTB393218:NTB393235 OCX393218:OCX393235 OMT393218:OMT393235 OWP393218:OWP393235 PGL393218:PGL393235 PQH393218:PQH393235 QAD393218:QAD393235 QJZ393218:QJZ393235 QTV393218:QTV393235 RDR393218:RDR393235 RNN393218:RNN393235 RXJ393218:RXJ393235 SHF393218:SHF393235 SRB393218:SRB393235 TAX393218:TAX393235 TKT393218:TKT393235 TUP393218:TUP393235 UEL393218:UEL393235 UOH393218:UOH393235 UYD393218:UYD393235 VHZ393218:VHZ393235 VRV393218:VRV393235 WBR393218:WBR393235 WLN393218:WLN393235 WVJ393218:WVJ393235 B458754:B458771 IX458754:IX458771 ST458754:ST458771 ACP458754:ACP458771 AML458754:AML458771 AWH458754:AWH458771 BGD458754:BGD458771 BPZ458754:BPZ458771 BZV458754:BZV458771 CJR458754:CJR458771 CTN458754:CTN458771 DDJ458754:DDJ458771 DNF458754:DNF458771 DXB458754:DXB458771 EGX458754:EGX458771 EQT458754:EQT458771 FAP458754:FAP458771 FKL458754:FKL458771 FUH458754:FUH458771 GED458754:GED458771 GNZ458754:GNZ458771 GXV458754:GXV458771 HHR458754:HHR458771 HRN458754:HRN458771 IBJ458754:IBJ458771 ILF458754:ILF458771 IVB458754:IVB458771 JEX458754:JEX458771 JOT458754:JOT458771 JYP458754:JYP458771 KIL458754:KIL458771 KSH458754:KSH458771 LCD458754:LCD458771 LLZ458754:LLZ458771 LVV458754:LVV458771 MFR458754:MFR458771 MPN458754:MPN458771 MZJ458754:MZJ458771 NJF458754:NJF458771 NTB458754:NTB458771 OCX458754:OCX458771 OMT458754:OMT458771 OWP458754:OWP458771 PGL458754:PGL458771 PQH458754:PQH458771 QAD458754:QAD458771 QJZ458754:QJZ458771 QTV458754:QTV458771 RDR458754:RDR458771 RNN458754:RNN458771 RXJ458754:RXJ458771 SHF458754:SHF458771 SRB458754:SRB458771 TAX458754:TAX458771 TKT458754:TKT458771 TUP458754:TUP458771 UEL458754:UEL458771 UOH458754:UOH458771 UYD458754:UYD458771 VHZ458754:VHZ458771 VRV458754:VRV458771 WBR458754:WBR458771 WLN458754:WLN458771 WVJ458754:WVJ458771 B524290:B524307 IX524290:IX524307 ST524290:ST524307 ACP524290:ACP524307 AML524290:AML524307 AWH524290:AWH524307 BGD524290:BGD524307 BPZ524290:BPZ524307 BZV524290:BZV524307 CJR524290:CJR524307 CTN524290:CTN524307 DDJ524290:DDJ524307 DNF524290:DNF524307 DXB524290:DXB524307 EGX524290:EGX524307 EQT524290:EQT524307 FAP524290:FAP524307 FKL524290:FKL524307 FUH524290:FUH524307 GED524290:GED524307 GNZ524290:GNZ524307 GXV524290:GXV524307 HHR524290:HHR524307 HRN524290:HRN524307 IBJ524290:IBJ524307 ILF524290:ILF524307 IVB524290:IVB524307 JEX524290:JEX524307 JOT524290:JOT524307 JYP524290:JYP524307 KIL524290:KIL524307 KSH524290:KSH524307 LCD524290:LCD524307 LLZ524290:LLZ524307 LVV524290:LVV524307 MFR524290:MFR524307 MPN524290:MPN524307 MZJ524290:MZJ524307 NJF524290:NJF524307 NTB524290:NTB524307 OCX524290:OCX524307 OMT524290:OMT524307 OWP524290:OWP524307 PGL524290:PGL524307 PQH524290:PQH524307 QAD524290:QAD524307 QJZ524290:QJZ524307 QTV524290:QTV524307 RDR524290:RDR524307 RNN524290:RNN524307 RXJ524290:RXJ524307 SHF524290:SHF524307 SRB524290:SRB524307 TAX524290:TAX524307 TKT524290:TKT524307 TUP524290:TUP524307 UEL524290:UEL524307 UOH524290:UOH524307 UYD524290:UYD524307 VHZ524290:VHZ524307 VRV524290:VRV524307 WBR524290:WBR524307 WLN524290:WLN524307 WVJ524290:WVJ524307 B589826:B589843 IX589826:IX589843 ST589826:ST589843 ACP589826:ACP589843 AML589826:AML589843 AWH589826:AWH589843 BGD589826:BGD589843 BPZ589826:BPZ589843 BZV589826:BZV589843 CJR589826:CJR589843 CTN589826:CTN589843 DDJ589826:DDJ589843 DNF589826:DNF589843 DXB589826:DXB589843 EGX589826:EGX589843 EQT589826:EQT589843 FAP589826:FAP589843 FKL589826:FKL589843 FUH589826:FUH589843 GED589826:GED589843 GNZ589826:GNZ589843 GXV589826:GXV589843 HHR589826:HHR589843 HRN589826:HRN589843 IBJ589826:IBJ589843 ILF589826:ILF589843 IVB589826:IVB589843 JEX589826:JEX589843 JOT589826:JOT589843 JYP589826:JYP589843 KIL589826:KIL589843 KSH589826:KSH589843 LCD589826:LCD589843 LLZ589826:LLZ589843 LVV589826:LVV589843 MFR589826:MFR589843 MPN589826:MPN589843 MZJ589826:MZJ589843 NJF589826:NJF589843 NTB589826:NTB589843 OCX589826:OCX589843 OMT589826:OMT589843 OWP589826:OWP589843 PGL589826:PGL589843 PQH589826:PQH589843 QAD589826:QAD589843 QJZ589826:QJZ589843 QTV589826:QTV589843 RDR589826:RDR589843 RNN589826:RNN589843 RXJ589826:RXJ589843 SHF589826:SHF589843 SRB589826:SRB589843 TAX589826:TAX589843 TKT589826:TKT589843 TUP589826:TUP589843 UEL589826:UEL589843 UOH589826:UOH589843 UYD589826:UYD589843 VHZ589826:VHZ589843 VRV589826:VRV589843 WBR589826:WBR589843 WLN589826:WLN589843 WVJ589826:WVJ589843 B655362:B655379 IX655362:IX655379 ST655362:ST655379 ACP655362:ACP655379 AML655362:AML655379 AWH655362:AWH655379 BGD655362:BGD655379 BPZ655362:BPZ655379 BZV655362:BZV655379 CJR655362:CJR655379 CTN655362:CTN655379 DDJ655362:DDJ655379 DNF655362:DNF655379 DXB655362:DXB655379 EGX655362:EGX655379 EQT655362:EQT655379 FAP655362:FAP655379 FKL655362:FKL655379 FUH655362:FUH655379 GED655362:GED655379 GNZ655362:GNZ655379 GXV655362:GXV655379 HHR655362:HHR655379 HRN655362:HRN655379 IBJ655362:IBJ655379 ILF655362:ILF655379 IVB655362:IVB655379 JEX655362:JEX655379 JOT655362:JOT655379 JYP655362:JYP655379 KIL655362:KIL655379 KSH655362:KSH655379 LCD655362:LCD655379 LLZ655362:LLZ655379 LVV655362:LVV655379 MFR655362:MFR655379 MPN655362:MPN655379 MZJ655362:MZJ655379 NJF655362:NJF655379 NTB655362:NTB655379 OCX655362:OCX655379 OMT655362:OMT655379 OWP655362:OWP655379 PGL655362:PGL655379 PQH655362:PQH655379 QAD655362:QAD655379 QJZ655362:QJZ655379 QTV655362:QTV655379 RDR655362:RDR655379 RNN655362:RNN655379 RXJ655362:RXJ655379 SHF655362:SHF655379 SRB655362:SRB655379 TAX655362:TAX655379 TKT655362:TKT655379 TUP655362:TUP655379 UEL655362:UEL655379 UOH655362:UOH655379 UYD655362:UYD655379 VHZ655362:VHZ655379 VRV655362:VRV655379 WBR655362:WBR655379 WLN655362:WLN655379 WVJ655362:WVJ655379 B720898:B720915 IX720898:IX720915 ST720898:ST720915 ACP720898:ACP720915 AML720898:AML720915 AWH720898:AWH720915 BGD720898:BGD720915 BPZ720898:BPZ720915 BZV720898:BZV720915 CJR720898:CJR720915 CTN720898:CTN720915 DDJ720898:DDJ720915 DNF720898:DNF720915 DXB720898:DXB720915 EGX720898:EGX720915 EQT720898:EQT720915 FAP720898:FAP720915 FKL720898:FKL720915 FUH720898:FUH720915 GED720898:GED720915 GNZ720898:GNZ720915 GXV720898:GXV720915 HHR720898:HHR720915 HRN720898:HRN720915 IBJ720898:IBJ720915 ILF720898:ILF720915 IVB720898:IVB720915 JEX720898:JEX720915 JOT720898:JOT720915 JYP720898:JYP720915 KIL720898:KIL720915 KSH720898:KSH720915 LCD720898:LCD720915 LLZ720898:LLZ720915 LVV720898:LVV720915 MFR720898:MFR720915 MPN720898:MPN720915 MZJ720898:MZJ720915 NJF720898:NJF720915 NTB720898:NTB720915 OCX720898:OCX720915 OMT720898:OMT720915 OWP720898:OWP720915 PGL720898:PGL720915 PQH720898:PQH720915 QAD720898:QAD720915 QJZ720898:QJZ720915 QTV720898:QTV720915 RDR720898:RDR720915 RNN720898:RNN720915 RXJ720898:RXJ720915 SHF720898:SHF720915 SRB720898:SRB720915 TAX720898:TAX720915 TKT720898:TKT720915 TUP720898:TUP720915 UEL720898:UEL720915 UOH720898:UOH720915 UYD720898:UYD720915 VHZ720898:VHZ720915 VRV720898:VRV720915 WBR720898:WBR720915 WLN720898:WLN720915 WVJ720898:WVJ720915 B786434:B786451 IX786434:IX786451 ST786434:ST786451 ACP786434:ACP786451 AML786434:AML786451 AWH786434:AWH786451 BGD786434:BGD786451 BPZ786434:BPZ786451 BZV786434:BZV786451 CJR786434:CJR786451 CTN786434:CTN786451 DDJ786434:DDJ786451 DNF786434:DNF786451 DXB786434:DXB786451 EGX786434:EGX786451 EQT786434:EQT786451 FAP786434:FAP786451 FKL786434:FKL786451 FUH786434:FUH786451 GED786434:GED786451 GNZ786434:GNZ786451 GXV786434:GXV786451 HHR786434:HHR786451 HRN786434:HRN786451 IBJ786434:IBJ786451 ILF786434:ILF786451 IVB786434:IVB786451 JEX786434:JEX786451 JOT786434:JOT786451 JYP786434:JYP786451 KIL786434:KIL786451 KSH786434:KSH786451 LCD786434:LCD786451 LLZ786434:LLZ786451 LVV786434:LVV786451 MFR786434:MFR786451 MPN786434:MPN786451 MZJ786434:MZJ786451 NJF786434:NJF786451 NTB786434:NTB786451 OCX786434:OCX786451 OMT786434:OMT786451 OWP786434:OWP786451 PGL786434:PGL786451 PQH786434:PQH786451 QAD786434:QAD786451 QJZ786434:QJZ786451 QTV786434:QTV786451 RDR786434:RDR786451 RNN786434:RNN786451 RXJ786434:RXJ786451 SHF786434:SHF786451 SRB786434:SRB786451 TAX786434:TAX786451 TKT786434:TKT786451 TUP786434:TUP786451 UEL786434:UEL786451 UOH786434:UOH786451 UYD786434:UYD786451 VHZ786434:VHZ786451 VRV786434:VRV786451 WBR786434:WBR786451 WLN786434:WLN786451 WVJ786434:WVJ786451 B851970:B851987 IX851970:IX851987 ST851970:ST851987 ACP851970:ACP851987 AML851970:AML851987 AWH851970:AWH851987 BGD851970:BGD851987 BPZ851970:BPZ851987 BZV851970:BZV851987 CJR851970:CJR851987 CTN851970:CTN851987 DDJ851970:DDJ851987 DNF851970:DNF851987 DXB851970:DXB851987 EGX851970:EGX851987 EQT851970:EQT851987 FAP851970:FAP851987 FKL851970:FKL851987 FUH851970:FUH851987 GED851970:GED851987 GNZ851970:GNZ851987 GXV851970:GXV851987 HHR851970:HHR851987 HRN851970:HRN851987 IBJ851970:IBJ851987 ILF851970:ILF851987 IVB851970:IVB851987 JEX851970:JEX851987 JOT851970:JOT851987 JYP851970:JYP851987 KIL851970:KIL851987 KSH851970:KSH851987 LCD851970:LCD851987 LLZ851970:LLZ851987 LVV851970:LVV851987 MFR851970:MFR851987 MPN851970:MPN851987 MZJ851970:MZJ851987 NJF851970:NJF851987 NTB851970:NTB851987 OCX851970:OCX851987 OMT851970:OMT851987 OWP851970:OWP851987 PGL851970:PGL851987 PQH851970:PQH851987 QAD851970:QAD851987 QJZ851970:QJZ851987 QTV851970:QTV851987 RDR851970:RDR851987 RNN851970:RNN851987 RXJ851970:RXJ851987 SHF851970:SHF851987 SRB851970:SRB851987 TAX851970:TAX851987 TKT851970:TKT851987 TUP851970:TUP851987 UEL851970:UEL851987 UOH851970:UOH851987 UYD851970:UYD851987 VHZ851970:VHZ851987 VRV851970:VRV851987 WBR851970:WBR851987 WLN851970:WLN851987 WVJ851970:WVJ851987 B917506:B917523 IX917506:IX917523 ST917506:ST917523 ACP917506:ACP917523 AML917506:AML917523 AWH917506:AWH917523 BGD917506:BGD917523 BPZ917506:BPZ917523 BZV917506:BZV917523 CJR917506:CJR917523 CTN917506:CTN917523 DDJ917506:DDJ917523 DNF917506:DNF917523 DXB917506:DXB917523 EGX917506:EGX917523 EQT917506:EQT917523 FAP917506:FAP917523 FKL917506:FKL917523 FUH917506:FUH917523 GED917506:GED917523 GNZ917506:GNZ917523 GXV917506:GXV917523 HHR917506:HHR917523 HRN917506:HRN917523 IBJ917506:IBJ917523 ILF917506:ILF917523 IVB917506:IVB917523 JEX917506:JEX917523 JOT917506:JOT917523 JYP917506:JYP917523 KIL917506:KIL917523 KSH917506:KSH917523 LCD917506:LCD917523 LLZ917506:LLZ917523 LVV917506:LVV917523 MFR917506:MFR917523 MPN917506:MPN917523 MZJ917506:MZJ917523 NJF917506:NJF917523 NTB917506:NTB917523 OCX917506:OCX917523 OMT917506:OMT917523 OWP917506:OWP917523 PGL917506:PGL917523 PQH917506:PQH917523 QAD917506:QAD917523 QJZ917506:QJZ917523 QTV917506:QTV917523 RDR917506:RDR917523 RNN917506:RNN917523 RXJ917506:RXJ917523 SHF917506:SHF917523 SRB917506:SRB917523 TAX917506:TAX917523 TKT917506:TKT917523 TUP917506:TUP917523 UEL917506:UEL917523 UOH917506:UOH917523 UYD917506:UYD917523 VHZ917506:VHZ917523 VRV917506:VRV917523 WBR917506:WBR917523 WLN917506:WLN917523 WVJ917506:WVJ917523" xr:uid="{00000000-0002-0000-2000-000000000000}">
      <formula1>trung</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381"/>
  <sheetViews>
    <sheetView topLeftCell="A7" workbookViewId="0">
      <selection activeCell="B25" sqref="B25:F25"/>
    </sheetView>
  </sheetViews>
  <sheetFormatPr defaultColWidth="40.5" defaultRowHeight="15" customHeight="1" zeroHeight="1"/>
  <cols>
    <col min="1" max="1" width="4.19921875" style="16" customWidth="1"/>
    <col min="2" max="2" width="31.09765625" style="16" customWidth="1"/>
    <col min="3" max="3" width="5" style="87" customWidth="1"/>
    <col min="4" max="4" width="6.19921875" style="88" customWidth="1"/>
    <col min="5" max="5" width="10.8984375" style="89" customWidth="1"/>
    <col min="6" max="6" width="5.8984375" style="87" customWidth="1"/>
    <col min="7" max="7" width="11.5" style="89" customWidth="1"/>
    <col min="8" max="8" width="7"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61"/>
      <c r="G3" s="102"/>
      <c r="H3" s="103"/>
    </row>
    <row r="4" spans="1:8" s="98" customFormat="1" ht="18" customHeight="1">
      <c r="A4" s="414"/>
      <c r="B4" s="414"/>
      <c r="C4" s="415" t="s">
        <v>1740</v>
      </c>
      <c r="D4" s="416"/>
      <c r="E4" s="416"/>
      <c r="F4" s="416"/>
      <c r="G4" s="416"/>
      <c r="H4" s="416"/>
    </row>
    <row r="5" spans="1:8" s="98" customFormat="1" ht="6.75" customHeight="1">
      <c r="A5" s="104"/>
      <c r="B5" s="104"/>
      <c r="C5" s="160"/>
      <c r="D5" s="105"/>
      <c r="E5" s="106"/>
      <c r="F5" s="160"/>
      <c r="G5" s="102"/>
      <c r="H5" s="107"/>
    </row>
    <row r="6" spans="1:8" s="98" customFormat="1" ht="17.399999999999999">
      <c r="A6" s="417" t="s">
        <v>14</v>
      </c>
      <c r="B6" s="417"/>
      <c r="C6" s="417"/>
      <c r="D6" s="417"/>
      <c r="E6" s="417"/>
      <c r="F6" s="417"/>
      <c r="G6" s="417"/>
      <c r="H6" s="417"/>
    </row>
    <row r="7" spans="1:8" s="98" customFormat="1" ht="45.75" customHeight="1">
      <c r="A7" s="418" t="s">
        <v>1739</v>
      </c>
      <c r="B7" s="413"/>
      <c r="C7" s="413"/>
      <c r="D7" s="413"/>
      <c r="E7" s="413"/>
      <c r="F7" s="413"/>
      <c r="G7" s="413"/>
      <c r="H7" s="413"/>
    </row>
    <row r="8" spans="1:8" s="98" customFormat="1" ht="23.25" customHeight="1">
      <c r="A8" s="420" t="s">
        <v>1915</v>
      </c>
      <c r="B8" s="419"/>
      <c r="C8" s="419"/>
      <c r="D8" s="419"/>
      <c r="E8" s="419"/>
      <c r="F8" s="419"/>
      <c r="G8" s="419"/>
      <c r="H8" s="419"/>
    </row>
    <row r="9" spans="1:8" s="98" customFormat="1" ht="23.25" customHeight="1">
      <c r="A9" s="420" t="s">
        <v>1752</v>
      </c>
      <c r="B9" s="419"/>
      <c r="C9" s="419"/>
      <c r="D9" s="419"/>
      <c r="E9" s="419"/>
      <c r="F9" s="419"/>
      <c r="G9" s="419"/>
      <c r="H9" s="419"/>
    </row>
    <row r="10" spans="1:8" s="98" customFormat="1" ht="48.75" customHeight="1">
      <c r="A10" s="448" t="s">
        <v>1741</v>
      </c>
      <c r="B10" s="448"/>
      <c r="C10" s="448"/>
      <c r="D10" s="448"/>
      <c r="E10" s="448"/>
      <c r="F10" s="448"/>
      <c r="G10" s="448"/>
      <c r="H10" s="448"/>
    </row>
    <row r="11" spans="1:8" s="369" customFormat="1" ht="13.8">
      <c r="A11" s="449" t="s">
        <v>1723</v>
      </c>
      <c r="B11" s="449"/>
      <c r="C11" s="449"/>
      <c r="D11" s="449"/>
      <c r="E11" s="449"/>
      <c r="F11" s="449"/>
      <c r="G11" s="449"/>
      <c r="H11" s="449"/>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2523</v>
      </c>
      <c r="C13" s="425"/>
      <c r="D13" s="425"/>
      <c r="E13" s="425"/>
      <c r="F13" s="425"/>
      <c r="G13" s="73">
        <f>G14</f>
        <v>127440000.00000001</v>
      </c>
      <c r="H13" s="74"/>
    </row>
    <row r="14" spans="1:8" s="131" customFormat="1" ht="31.2">
      <c r="A14" s="123"/>
      <c r="B14" s="124" t="s">
        <v>1757</v>
      </c>
      <c r="C14" s="125" t="s">
        <v>1753</v>
      </c>
      <c r="D14" s="126">
        <v>10.8</v>
      </c>
      <c r="E14" s="127">
        <v>11800000</v>
      </c>
      <c r="F14" s="128">
        <v>1</v>
      </c>
      <c r="G14" s="129">
        <f>D14*E14*F14</f>
        <v>127440000.00000001</v>
      </c>
      <c r="H14" s="130"/>
    </row>
    <row r="15" spans="1:8" ht="27" customHeight="1">
      <c r="A15" s="75" t="s">
        <v>18</v>
      </c>
      <c r="B15" s="426" t="s">
        <v>1725</v>
      </c>
      <c r="C15" s="426"/>
      <c r="D15" s="426"/>
      <c r="E15" s="426"/>
      <c r="F15" s="426"/>
      <c r="G15" s="76">
        <f>SUM(G16:G24)</f>
        <v>8763062.044433333</v>
      </c>
      <c r="H15" s="11"/>
    </row>
    <row r="16" spans="1:8" ht="31.2">
      <c r="A16" s="77">
        <v>1</v>
      </c>
      <c r="B16" s="78" t="s">
        <v>1916</v>
      </c>
      <c r="C16" s="14" t="s">
        <v>1754</v>
      </c>
      <c r="D16" s="132">
        <f>1.3*1.8*0.11</f>
        <v>0.25740000000000002</v>
      </c>
      <c r="E16" s="15">
        <v>2126713</v>
      </c>
      <c r="F16" s="14">
        <v>1</v>
      </c>
      <c r="G16" s="79">
        <f t="shared" ref="G16:G24" si="0">D16*E16*F16</f>
        <v>547415.92619999999</v>
      </c>
      <c r="H16" s="15"/>
    </row>
    <row r="17" spans="1:8" ht="31.2">
      <c r="A17" s="77">
        <v>2</v>
      </c>
      <c r="B17" s="78" t="s">
        <v>1917</v>
      </c>
      <c r="C17" s="14" t="s">
        <v>1754</v>
      </c>
      <c r="D17" s="132">
        <f>0.22*0.22*2</f>
        <v>9.6799999999999997E-2</v>
      </c>
      <c r="E17" s="15">
        <v>2623803</v>
      </c>
      <c r="F17" s="14">
        <v>1</v>
      </c>
      <c r="G17" s="79">
        <f t="shared" si="0"/>
        <v>253984.13039999999</v>
      </c>
      <c r="H17" s="15"/>
    </row>
    <row r="18" spans="1:8" ht="46.8">
      <c r="A18" s="77">
        <v>3</v>
      </c>
      <c r="B18" s="78" t="s">
        <v>2044</v>
      </c>
      <c r="C18" s="14" t="s">
        <v>1755</v>
      </c>
      <c r="D18" s="132">
        <f>(9.44/6)*(1.8*3)</f>
        <v>8.4960000000000004</v>
      </c>
      <c r="E18" s="15">
        <v>19900</v>
      </c>
      <c r="F18" s="14">
        <v>1</v>
      </c>
      <c r="G18" s="79">
        <f t="shared" si="0"/>
        <v>169070.40000000002</v>
      </c>
      <c r="H18" s="446"/>
    </row>
    <row r="19" spans="1:8" ht="15.6">
      <c r="A19" s="77">
        <v>4</v>
      </c>
      <c r="B19" s="78" t="s">
        <v>1918</v>
      </c>
      <c r="C19" s="14" t="s">
        <v>1755</v>
      </c>
      <c r="D19" s="132">
        <f>(14.53/6)*(4.5*2)</f>
        <v>21.794999999999998</v>
      </c>
      <c r="E19" s="15">
        <v>19900</v>
      </c>
      <c r="F19" s="14">
        <v>1</v>
      </c>
      <c r="G19" s="79">
        <f t="shared" si="0"/>
        <v>433720.49999999994</v>
      </c>
      <c r="H19" s="447"/>
    </row>
    <row r="20" spans="1:8" ht="15.6">
      <c r="A20" s="77">
        <v>5</v>
      </c>
      <c r="B20" s="78" t="s">
        <v>1921</v>
      </c>
      <c r="C20" s="14" t="s">
        <v>66</v>
      </c>
      <c r="D20" s="132">
        <f>1.8*1.5</f>
        <v>2.7</v>
      </c>
      <c r="E20" s="15">
        <v>214934</v>
      </c>
      <c r="F20" s="14">
        <v>1</v>
      </c>
      <c r="G20" s="79">
        <f t="shared" si="0"/>
        <v>580321.80000000005</v>
      </c>
      <c r="H20" s="15"/>
    </row>
    <row r="21" spans="1:8" ht="46.8">
      <c r="A21" s="77">
        <v>6</v>
      </c>
      <c r="B21" s="78" t="s">
        <v>2043</v>
      </c>
      <c r="C21" s="14" t="s">
        <v>1755</v>
      </c>
      <c r="D21" s="132">
        <f>(4.7/6)*(1.4*11)</f>
        <v>12.063333333333333</v>
      </c>
      <c r="E21" s="15">
        <v>19900</v>
      </c>
      <c r="F21" s="14">
        <v>1</v>
      </c>
      <c r="G21" s="79">
        <f t="shared" ref="G21:G22" si="1">D21*E21*F21</f>
        <v>240060.33333333331</v>
      </c>
      <c r="H21" s="15"/>
    </row>
    <row r="22" spans="1:8" ht="31.2">
      <c r="A22" s="77">
        <v>7</v>
      </c>
      <c r="B22" s="78" t="s">
        <v>1919</v>
      </c>
      <c r="C22" s="14" t="s">
        <v>1754</v>
      </c>
      <c r="D22" s="132">
        <f>5.5*2.1*0.11</f>
        <v>1.2705000000000002</v>
      </c>
      <c r="E22" s="15">
        <v>2126713</v>
      </c>
      <c r="F22" s="14">
        <v>1</v>
      </c>
      <c r="G22" s="79">
        <f t="shared" si="1"/>
        <v>2701988.8665000005</v>
      </c>
      <c r="H22" s="15"/>
    </row>
    <row r="23" spans="1:8" ht="15.6">
      <c r="A23" s="77">
        <v>8</v>
      </c>
      <c r="B23" s="78" t="s">
        <v>1920</v>
      </c>
      <c r="C23" s="14" t="s">
        <v>1754</v>
      </c>
      <c r="D23" s="132">
        <f>3.2*2.3*0.1</f>
        <v>0.73599999999999999</v>
      </c>
      <c r="E23" s="15">
        <v>1629758</v>
      </c>
      <c r="F23" s="14">
        <v>1</v>
      </c>
      <c r="G23" s="79">
        <f t="shared" si="0"/>
        <v>1199501.888</v>
      </c>
      <c r="H23" s="15"/>
    </row>
    <row r="24" spans="1:8" ht="15.6">
      <c r="A24" s="77">
        <v>9</v>
      </c>
      <c r="B24" s="78" t="s">
        <v>2524</v>
      </c>
      <c r="C24" s="14" t="s">
        <v>66</v>
      </c>
      <c r="D24" s="132">
        <f>1.2*4.5</f>
        <v>5.3999999999999995</v>
      </c>
      <c r="E24" s="15">
        <v>488333</v>
      </c>
      <c r="F24" s="14">
        <v>1</v>
      </c>
      <c r="G24" s="79">
        <f t="shared" si="0"/>
        <v>2636998.1999999997</v>
      </c>
      <c r="H24" s="15"/>
    </row>
    <row r="25" spans="1:8" ht="24" customHeight="1">
      <c r="A25" s="75" t="s">
        <v>19</v>
      </c>
      <c r="B25" s="426" t="s">
        <v>1727</v>
      </c>
      <c r="C25" s="426"/>
      <c r="D25" s="426"/>
      <c r="E25" s="426"/>
      <c r="F25" s="426"/>
      <c r="G25" s="76">
        <f>SUM(G26:G29)</f>
        <v>4200700</v>
      </c>
      <c r="H25" s="11"/>
    </row>
    <row r="26" spans="1:8" s="376" customFormat="1" ht="33" customHeight="1">
      <c r="A26" s="373">
        <v>1</v>
      </c>
      <c r="B26" s="374" t="s">
        <v>815</v>
      </c>
      <c r="C26" s="370" t="s">
        <v>1724</v>
      </c>
      <c r="D26" s="370">
        <v>1</v>
      </c>
      <c r="E26" s="372" t="str">
        <f>VLOOKUP(B26,'[20]Đơn giá cây cối'!$A$2:$C$1361,3,0)</f>
        <v>249.000</v>
      </c>
      <c r="F26" s="375">
        <v>1</v>
      </c>
      <c r="G26" s="372">
        <f>D26*E26*F26</f>
        <v>249000</v>
      </c>
      <c r="H26" s="371"/>
    </row>
    <row r="27" spans="1:8" s="376" customFormat="1" ht="13.8">
      <c r="A27" s="373">
        <v>2</v>
      </c>
      <c r="B27" s="377" t="s">
        <v>262</v>
      </c>
      <c r="C27" s="370" t="s">
        <v>1724</v>
      </c>
      <c r="D27" s="370">
        <v>2</v>
      </c>
      <c r="E27" s="372">
        <f>VLOOKUP(B27,'[20]Đơn giá cây cối'!$A$2:$C$1361,3,0)</f>
        <v>100000</v>
      </c>
      <c r="F27" s="375">
        <v>1</v>
      </c>
      <c r="G27" s="372">
        <f>D27*E27*F27</f>
        <v>200000</v>
      </c>
      <c r="H27" s="371"/>
    </row>
    <row r="28" spans="1:8" s="376" customFormat="1" ht="33.75" customHeight="1">
      <c r="A28" s="373">
        <v>3</v>
      </c>
      <c r="B28" s="374" t="s">
        <v>375</v>
      </c>
      <c r="C28" s="370" t="s">
        <v>1724</v>
      </c>
      <c r="D28" s="370">
        <v>1</v>
      </c>
      <c r="E28" s="372" t="str">
        <f>VLOOKUP(B28,'[20]Đơn giá cây cối'!$A$2:$C$1361,3,0)</f>
        <v>3.733.000</v>
      </c>
      <c r="F28" s="375">
        <v>1</v>
      </c>
      <c r="G28" s="372">
        <f>D28*E28*F28</f>
        <v>3733000</v>
      </c>
      <c r="H28" s="371"/>
    </row>
    <row r="29" spans="1:8" s="376" customFormat="1" ht="13.8">
      <c r="A29" s="373">
        <v>4</v>
      </c>
      <c r="B29" s="374" t="s">
        <v>54</v>
      </c>
      <c r="C29" s="370" t="s">
        <v>66</v>
      </c>
      <c r="D29" s="370">
        <v>1</v>
      </c>
      <c r="E29" s="372">
        <f>VLOOKUP(B29,'[20]Đơn giá cây cối'!$A$2:$C$1361,3,0)</f>
        <v>18700</v>
      </c>
      <c r="F29" s="375">
        <v>1</v>
      </c>
      <c r="G29" s="372">
        <f>D29*E29*F29</f>
        <v>18700</v>
      </c>
      <c r="H29" s="371"/>
    </row>
    <row r="30" spans="1:8" ht="15.6">
      <c r="A30" s="80"/>
      <c r="B30" s="427" t="s">
        <v>62</v>
      </c>
      <c r="C30" s="428"/>
      <c r="D30" s="428"/>
      <c r="E30" s="428"/>
      <c r="F30" s="429"/>
      <c r="G30" s="81">
        <f>G13+G15+G25</f>
        <v>140403762.04443336</v>
      </c>
      <c r="H30" s="82"/>
    </row>
    <row r="31" spans="1:8" ht="15.6">
      <c r="A31" s="80"/>
      <c r="B31" s="427" t="s">
        <v>1726</v>
      </c>
      <c r="C31" s="428"/>
      <c r="D31" s="428"/>
      <c r="E31" s="428"/>
      <c r="F31" s="429"/>
      <c r="G31" s="81">
        <f>ROUND(G30,-3)</f>
        <v>140404000</v>
      </c>
      <c r="H31" s="82"/>
    </row>
    <row r="32" spans="1:8" ht="15.6">
      <c r="A32" s="430" t="e" cm="1">
        <f t="array" aca="1" ref="A32" ca="1">[23]!vnd(G31)</f>
        <v>#NAME?</v>
      </c>
      <c r="B32" s="431"/>
      <c r="C32" s="431"/>
      <c r="D32" s="431"/>
      <c r="E32" s="431"/>
      <c r="F32" s="431"/>
      <c r="G32" s="431"/>
      <c r="H32" s="432"/>
    </row>
    <row r="33" spans="1:8">
      <c r="A33" s="17"/>
      <c r="B33" s="17"/>
      <c r="C33" s="97"/>
      <c r="D33" s="20"/>
      <c r="E33" s="19"/>
      <c r="F33" s="97"/>
      <c r="G33" s="19"/>
      <c r="H33" s="17"/>
    </row>
    <row r="34" spans="1:8" s="109" customFormat="1" ht="16.5" customHeight="1">
      <c r="A34" s="108"/>
      <c r="B34" s="108"/>
      <c r="C34" s="424" t="s">
        <v>1742</v>
      </c>
      <c r="D34" s="424"/>
      <c r="E34" s="424"/>
      <c r="F34" s="424"/>
      <c r="G34" s="424"/>
      <c r="H34" s="424"/>
    </row>
    <row r="35" spans="1:8" s="109" customFormat="1" ht="16.5" customHeight="1">
      <c r="A35" s="423" t="s">
        <v>63</v>
      </c>
      <c r="B35" s="423"/>
      <c r="C35" s="424" t="s">
        <v>1743</v>
      </c>
      <c r="D35" s="424"/>
      <c r="E35" s="424"/>
      <c r="F35" s="424" t="s">
        <v>1744</v>
      </c>
      <c r="G35" s="424"/>
      <c r="H35" s="424"/>
    </row>
    <row r="36" spans="1:8" s="109" customFormat="1" ht="15.6">
      <c r="A36" s="108"/>
      <c r="B36" s="108"/>
      <c r="C36" s="108"/>
      <c r="D36" s="110"/>
      <c r="E36" s="111"/>
      <c r="F36" s="112"/>
      <c r="G36" s="111"/>
      <c r="H36" s="113"/>
    </row>
    <row r="37" spans="1:8" s="109" customFormat="1" ht="15.6">
      <c r="A37" s="108"/>
      <c r="B37" s="108"/>
      <c r="C37" s="108"/>
      <c r="D37" s="110"/>
      <c r="E37" s="111"/>
      <c r="F37" s="112"/>
      <c r="G37" s="114"/>
      <c r="H37" s="113"/>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6.5" customHeight="1">
      <c r="A41" s="108"/>
      <c r="B41" s="162" t="s">
        <v>64</v>
      </c>
      <c r="C41" s="424"/>
      <c r="D41" s="424"/>
      <c r="E41" s="424"/>
      <c r="F41" s="424" t="s">
        <v>1745</v>
      </c>
      <c r="G41" s="424"/>
      <c r="H41" s="424"/>
    </row>
    <row r="42" spans="1:8" s="109" customFormat="1" ht="15.6">
      <c r="A42" s="108"/>
      <c r="B42" s="162"/>
      <c r="C42" s="159"/>
      <c r="D42" s="159"/>
      <c r="E42" s="159"/>
      <c r="F42" s="159"/>
      <c r="G42" s="159"/>
      <c r="H42" s="159"/>
    </row>
    <row r="43" spans="1:8" s="109" customFormat="1" ht="15" customHeight="1">
      <c r="A43" s="424" t="s">
        <v>1746</v>
      </c>
      <c r="B43" s="424"/>
      <c r="C43" s="424"/>
      <c r="D43" s="424"/>
      <c r="E43" s="424" t="s">
        <v>1747</v>
      </c>
      <c r="F43" s="424"/>
      <c r="G43" s="424"/>
      <c r="H43" s="424"/>
    </row>
    <row r="44" spans="1:8" s="109" customFormat="1" ht="33.6" customHeight="1">
      <c r="A44" s="424" t="s">
        <v>1748</v>
      </c>
      <c r="B44" s="424"/>
      <c r="C44" s="424"/>
      <c r="D44" s="424"/>
      <c r="E44" s="424" t="s">
        <v>65</v>
      </c>
      <c r="F44" s="424"/>
      <c r="G44" s="424"/>
      <c r="H44" s="424"/>
    </row>
    <row r="45" spans="1:8" s="109" customFormat="1" ht="15.6">
      <c r="A45" s="108"/>
      <c r="B45" s="108"/>
      <c r="C45" s="108"/>
      <c r="D45" s="110"/>
      <c r="E45" s="111"/>
      <c r="F45" s="112"/>
      <c r="G45" s="111"/>
      <c r="H45" s="113"/>
    </row>
    <row r="46" spans="1:8" s="109" customFormat="1" ht="15.6">
      <c r="A46" s="108"/>
      <c r="B46" s="108"/>
      <c r="C46" s="108"/>
      <c r="D46" s="110"/>
      <c r="E46" s="111"/>
      <c r="F46" s="112"/>
      <c r="G46" s="111"/>
      <c r="H46" s="113"/>
    </row>
    <row r="47" spans="1:8" s="109" customFormat="1" ht="15.6">
      <c r="A47" s="108"/>
      <c r="B47" s="108"/>
      <c r="C47" s="108"/>
      <c r="D47" s="110"/>
      <c r="E47" s="111"/>
      <c r="F47" s="112"/>
      <c r="G47" s="111"/>
      <c r="H47" s="113"/>
    </row>
    <row r="48" spans="1:8" s="109" customFormat="1" ht="15.6">
      <c r="A48" s="108"/>
      <c r="B48" s="108"/>
      <c r="C48" s="108"/>
      <c r="D48" s="110"/>
      <c r="E48" s="111"/>
      <c r="F48" s="112"/>
      <c r="G48" s="111"/>
      <c r="H48" s="113"/>
    </row>
    <row r="49" spans="1:8" s="109" customFormat="1" ht="15.6">
      <c r="A49" s="108"/>
      <c r="B49" s="108"/>
      <c r="C49" s="108"/>
      <c r="D49" s="110"/>
      <c r="E49" s="111"/>
      <c r="F49" s="112"/>
      <c r="G49" s="111"/>
      <c r="H49" s="113"/>
    </row>
    <row r="50" spans="1:8" s="109" customFormat="1" ht="15.6" customHeight="1">
      <c r="A50" s="108"/>
      <c r="B50" s="108"/>
      <c r="C50" s="108"/>
      <c r="D50" s="115"/>
      <c r="E50" s="439" t="s">
        <v>1749</v>
      </c>
      <c r="F50" s="439"/>
      <c r="G50" s="439"/>
      <c r="H50" s="439"/>
    </row>
    <row r="51" spans="1:8" s="109" customFormat="1" ht="16.5" customHeight="1">
      <c r="A51" s="424" t="s">
        <v>1751</v>
      </c>
      <c r="B51" s="424"/>
      <c r="C51" s="424"/>
      <c r="D51" s="424"/>
      <c r="E51" s="424" t="s">
        <v>1750</v>
      </c>
      <c r="F51" s="424"/>
      <c r="G51" s="424"/>
      <c r="H51" s="424"/>
    </row>
    <row r="52" spans="1:8" s="118" customFormat="1" ht="16.2" customHeight="1">
      <c r="A52" s="440"/>
      <c r="B52" s="440"/>
      <c r="C52" s="116"/>
      <c r="D52" s="117"/>
      <c r="E52" s="440"/>
      <c r="F52" s="440"/>
      <c r="G52" s="440"/>
      <c r="H52" s="440"/>
    </row>
    <row r="53" spans="1:8" s="118" customFormat="1" ht="15.75" customHeight="1">
      <c r="A53" s="440"/>
      <c r="B53" s="440"/>
      <c r="C53" s="440"/>
      <c r="D53" s="440"/>
      <c r="E53" s="440"/>
      <c r="F53" s="440"/>
      <c r="G53" s="440"/>
      <c r="H53" s="440"/>
    </row>
    <row r="54" spans="1:8" s="98" customFormat="1" ht="16.2" customHeight="1">
      <c r="A54" s="436"/>
      <c r="B54" s="436"/>
      <c r="C54" s="436"/>
      <c r="D54" s="436"/>
      <c r="E54" s="119"/>
      <c r="F54" s="120"/>
      <c r="G54" s="119"/>
      <c r="H54" s="121"/>
    </row>
    <row r="55" spans="1:8" s="98" customFormat="1" ht="16.2" customHeight="1">
      <c r="A55" s="436"/>
      <c r="B55" s="436"/>
      <c r="C55" s="436"/>
      <c r="D55" s="436"/>
      <c r="E55" s="119"/>
      <c r="F55" s="120"/>
      <c r="G55" s="119"/>
      <c r="H55" s="121"/>
    </row>
    <row r="56" spans="1:8" s="98" customFormat="1" ht="16.2" customHeight="1">
      <c r="A56" s="121"/>
      <c r="B56" s="121"/>
      <c r="C56" s="121"/>
      <c r="D56" s="122"/>
      <c r="E56" s="119"/>
      <c r="F56" s="120"/>
      <c r="G56" s="119"/>
      <c r="H56" s="121"/>
    </row>
    <row r="57" spans="1:8" ht="16.2" customHeight="1">
      <c r="A57" s="83"/>
      <c r="B57" s="83"/>
      <c r="C57" s="83"/>
      <c r="D57" s="84"/>
      <c r="E57" s="85"/>
      <c r="F57" s="86"/>
      <c r="G57" s="85"/>
      <c r="H57" s="83"/>
    </row>
    <row r="58" spans="1:8" ht="16.2" customHeight="1">
      <c r="A58" s="83"/>
      <c r="B58" s="83"/>
      <c r="C58" s="83"/>
      <c r="D58" s="84"/>
      <c r="E58" s="85"/>
      <c r="F58" s="86"/>
      <c r="G58" s="85"/>
      <c r="H58" s="83"/>
    </row>
    <row r="59" spans="1:8" ht="16.2" customHeight="1">
      <c r="A59" s="83"/>
      <c r="B59" s="83"/>
      <c r="C59" s="83"/>
      <c r="D59" s="84"/>
      <c r="E59" s="85"/>
      <c r="F59" s="86"/>
      <c r="G59" s="85"/>
      <c r="H59" s="83"/>
    </row>
    <row r="60" spans="1:8" ht="16.2" customHeight="1">
      <c r="A60" s="83"/>
      <c r="B60" s="83"/>
      <c r="C60" s="83"/>
      <c r="D60" s="84"/>
      <c r="E60" s="437"/>
      <c r="F60" s="437"/>
      <c r="G60" s="437"/>
      <c r="H60" s="437"/>
    </row>
    <row r="61" spans="1:8" ht="20.25" customHeight="1">
      <c r="A61" s="438"/>
      <c r="B61" s="438"/>
      <c r="C61" s="438"/>
      <c r="D61" s="438"/>
      <c r="E61" s="438"/>
      <c r="F61" s="438"/>
      <c r="G61" s="438"/>
      <c r="H61" s="438"/>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D73" s="18"/>
      <c r="E73" s="19"/>
      <c r="F73" s="97"/>
      <c r="G73" s="19"/>
    </row>
    <row r="74" spans="3:7" s="17" customFormat="1" ht="16.2" customHeight="1">
      <c r="D74" s="18"/>
      <c r="E74" s="19"/>
      <c r="F74" s="97"/>
      <c r="G74" s="19"/>
    </row>
    <row r="75" spans="3:7" s="17" customFormat="1" ht="16.2" customHeight="1">
      <c r="D75" s="18"/>
      <c r="E75" s="19"/>
      <c r="F75" s="97"/>
      <c r="G75" s="19"/>
    </row>
    <row r="76" spans="3:7" s="17" customFormat="1" ht="16.2" customHeight="1">
      <c r="D76" s="18"/>
      <c r="E76" s="19"/>
      <c r="F76" s="97"/>
      <c r="G76" s="19"/>
    </row>
    <row r="77" spans="3:7" s="17" customFormat="1" ht="16.2" customHeight="1">
      <c r="D77" s="18"/>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s="17" customFormat="1" ht="16.2" customHeight="1">
      <c r="C87" s="97"/>
      <c r="D87" s="20"/>
      <c r="E87" s="19"/>
      <c r="F87" s="97"/>
      <c r="G87" s="19"/>
    </row>
    <row r="88" spans="3:7" s="17" customFormat="1" ht="16.2" customHeight="1">
      <c r="C88" s="97"/>
      <c r="D88" s="20"/>
      <c r="E88" s="19"/>
      <c r="F88" s="97"/>
      <c r="G88" s="19"/>
    </row>
    <row r="89" spans="3:7" s="17" customFormat="1" ht="16.2" customHeight="1">
      <c r="C89" s="97"/>
      <c r="D89" s="20"/>
      <c r="E89" s="19"/>
      <c r="F89" s="97"/>
      <c r="G89" s="19"/>
    </row>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ht="16.2" customHeight="1"/>
    <row r="235" ht="16.2" customHeight="1"/>
    <row r="236"/>
    <row r="237"/>
    <row r="238"/>
    <row r="239"/>
    <row r="240"/>
    <row r="241"/>
    <row r="242"/>
    <row r="243"/>
    <row r="244"/>
    <row r="245"/>
    <row r="246"/>
    <row r="247"/>
    <row r="248"/>
    <row r="249"/>
    <row r="250"/>
    <row r="25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sheetData>
  <mergeCells count="41">
    <mergeCell ref="E60:H60"/>
    <mergeCell ref="A61:H61"/>
    <mergeCell ref="A52:B52"/>
    <mergeCell ref="E52:H52"/>
    <mergeCell ref="A53:D53"/>
    <mergeCell ref="E53:H53"/>
    <mergeCell ref="A54:D54"/>
    <mergeCell ref="A55:D55"/>
    <mergeCell ref="A51:D51"/>
    <mergeCell ref="E51:H51"/>
    <mergeCell ref="C34:H34"/>
    <mergeCell ref="A35:B35"/>
    <mergeCell ref="C35:E35"/>
    <mergeCell ref="F35:H35"/>
    <mergeCell ref="C41:E41"/>
    <mergeCell ref="F41:H41"/>
    <mergeCell ref="A43:D43"/>
    <mergeCell ref="E43:H43"/>
    <mergeCell ref="A44:D44"/>
    <mergeCell ref="E44:H44"/>
    <mergeCell ref="E50:H50"/>
    <mergeCell ref="A32:H32"/>
    <mergeCell ref="A6:H6"/>
    <mergeCell ref="A7:H7"/>
    <mergeCell ref="A8:H8"/>
    <mergeCell ref="A9:H9"/>
    <mergeCell ref="A10:H10"/>
    <mergeCell ref="A11:H11"/>
    <mergeCell ref="B13:F13"/>
    <mergeCell ref="B15:F15"/>
    <mergeCell ref="B25:F25"/>
    <mergeCell ref="B30:F30"/>
    <mergeCell ref="B31:F31"/>
    <mergeCell ref="H18:H19"/>
    <mergeCell ref="A4:B4"/>
    <mergeCell ref="C4:H4"/>
    <mergeCell ref="A1:B1"/>
    <mergeCell ref="C1:H1"/>
    <mergeCell ref="A2:B2"/>
    <mergeCell ref="C2:H2"/>
    <mergeCell ref="A3:B3"/>
  </mergeCells>
  <dataValidations count="2">
    <dataValidation type="list" allowBlank="1" showInputMessage="1" showErrorMessage="1" sqref="WVJ983053:WVJ983070 B983053:B983070 IX983053:IX983070 ST983053:ST983070 ACP983053:ACP983070 AML983053:AML983070 AWH983053:AWH983070 BGD983053:BGD983070 BPZ983053:BPZ983070 BZV983053:BZV983070 CJR983053:CJR983070 CTN983053:CTN983070 DDJ983053:DDJ983070 DNF983053:DNF983070 DXB983053:DXB983070 EGX983053:EGX983070 EQT983053:EQT983070 FAP983053:FAP983070 FKL983053:FKL983070 FUH983053:FUH983070 GED983053:GED983070 GNZ983053:GNZ983070 GXV983053:GXV983070 HHR983053:HHR983070 HRN983053:HRN983070 IBJ983053:IBJ983070 ILF983053:ILF983070 IVB983053:IVB983070 JEX983053:JEX983070 JOT983053:JOT983070 JYP983053:JYP983070 KIL983053:KIL983070 KSH983053:KSH983070 LCD983053:LCD983070 LLZ983053:LLZ983070 LVV983053:LVV983070 MFR983053:MFR983070 MPN983053:MPN983070 MZJ983053:MZJ983070 NJF983053:NJF983070 NTB983053:NTB983070 OCX983053:OCX983070 OMT983053:OMT983070 OWP983053:OWP983070 PGL983053:PGL983070 PQH983053:PQH983070 QAD983053:QAD983070 QJZ983053:QJZ983070 QTV983053:QTV983070 RDR983053:RDR983070 RNN983053:RNN983070 RXJ983053:RXJ983070 SHF983053:SHF983070 SRB983053:SRB983070 TAX983053:TAX983070 TKT983053:TKT983070 TUP983053:TUP983070 UEL983053:UEL983070 UOH983053:UOH983070 UYD983053:UYD983070 VHZ983053:VHZ983070 VRV983053:VRV983070 WBR983053:WBR983070 WLN983053:WLN983070 B65549:B65566 IX65549:IX65566 ST65549:ST65566 ACP65549:ACP65566 AML65549:AML65566 AWH65549:AWH65566 BGD65549:BGD65566 BPZ65549:BPZ65566 BZV65549:BZV65566 CJR65549:CJR65566 CTN65549:CTN65566 DDJ65549:DDJ65566 DNF65549:DNF65566 DXB65549:DXB65566 EGX65549:EGX65566 EQT65549:EQT65566 FAP65549:FAP65566 FKL65549:FKL65566 FUH65549:FUH65566 GED65549:GED65566 GNZ65549:GNZ65566 GXV65549:GXV65566 HHR65549:HHR65566 HRN65549:HRN65566 IBJ65549:IBJ65566 ILF65549:ILF65566 IVB65549:IVB65566 JEX65549:JEX65566 JOT65549:JOT65566 JYP65549:JYP65566 KIL65549:KIL65566 KSH65549:KSH65566 LCD65549:LCD65566 LLZ65549:LLZ65566 LVV65549:LVV65566 MFR65549:MFR65566 MPN65549:MPN65566 MZJ65549:MZJ65566 NJF65549:NJF65566 NTB65549:NTB65566 OCX65549:OCX65566 OMT65549:OMT65566 OWP65549:OWP65566 PGL65549:PGL65566 PQH65549:PQH65566 QAD65549:QAD65566 QJZ65549:QJZ65566 QTV65549:QTV65566 RDR65549:RDR65566 RNN65549:RNN65566 RXJ65549:RXJ65566 SHF65549:SHF65566 SRB65549:SRB65566 TAX65549:TAX65566 TKT65549:TKT65566 TUP65549:TUP65566 UEL65549:UEL65566 UOH65549:UOH65566 UYD65549:UYD65566 VHZ65549:VHZ65566 VRV65549:VRV65566 WBR65549:WBR65566 WLN65549:WLN65566 WVJ65549:WVJ65566 B131085:B131102 IX131085:IX131102 ST131085:ST131102 ACP131085:ACP131102 AML131085:AML131102 AWH131085:AWH131102 BGD131085:BGD131102 BPZ131085:BPZ131102 BZV131085:BZV131102 CJR131085:CJR131102 CTN131085:CTN131102 DDJ131085:DDJ131102 DNF131085:DNF131102 DXB131085:DXB131102 EGX131085:EGX131102 EQT131085:EQT131102 FAP131085:FAP131102 FKL131085:FKL131102 FUH131085:FUH131102 GED131085:GED131102 GNZ131085:GNZ131102 GXV131085:GXV131102 HHR131085:HHR131102 HRN131085:HRN131102 IBJ131085:IBJ131102 ILF131085:ILF131102 IVB131085:IVB131102 JEX131085:JEX131102 JOT131085:JOT131102 JYP131085:JYP131102 KIL131085:KIL131102 KSH131085:KSH131102 LCD131085:LCD131102 LLZ131085:LLZ131102 LVV131085:LVV131102 MFR131085:MFR131102 MPN131085:MPN131102 MZJ131085:MZJ131102 NJF131085:NJF131102 NTB131085:NTB131102 OCX131085:OCX131102 OMT131085:OMT131102 OWP131085:OWP131102 PGL131085:PGL131102 PQH131085:PQH131102 QAD131085:QAD131102 QJZ131085:QJZ131102 QTV131085:QTV131102 RDR131085:RDR131102 RNN131085:RNN131102 RXJ131085:RXJ131102 SHF131085:SHF131102 SRB131085:SRB131102 TAX131085:TAX131102 TKT131085:TKT131102 TUP131085:TUP131102 UEL131085:UEL131102 UOH131085:UOH131102 UYD131085:UYD131102 VHZ131085:VHZ131102 VRV131085:VRV131102 WBR131085:WBR131102 WLN131085:WLN131102 WVJ131085:WVJ131102 B196621:B196638 IX196621:IX196638 ST196621:ST196638 ACP196621:ACP196638 AML196621:AML196638 AWH196621:AWH196638 BGD196621:BGD196638 BPZ196621:BPZ196638 BZV196621:BZV196638 CJR196621:CJR196638 CTN196621:CTN196638 DDJ196621:DDJ196638 DNF196621:DNF196638 DXB196621:DXB196638 EGX196621:EGX196638 EQT196621:EQT196638 FAP196621:FAP196638 FKL196621:FKL196638 FUH196621:FUH196638 GED196621:GED196638 GNZ196621:GNZ196638 GXV196621:GXV196638 HHR196621:HHR196638 HRN196621:HRN196638 IBJ196621:IBJ196638 ILF196621:ILF196638 IVB196621:IVB196638 JEX196621:JEX196638 JOT196621:JOT196638 JYP196621:JYP196638 KIL196621:KIL196638 KSH196621:KSH196638 LCD196621:LCD196638 LLZ196621:LLZ196638 LVV196621:LVV196638 MFR196621:MFR196638 MPN196621:MPN196638 MZJ196621:MZJ196638 NJF196621:NJF196638 NTB196621:NTB196638 OCX196621:OCX196638 OMT196621:OMT196638 OWP196621:OWP196638 PGL196621:PGL196638 PQH196621:PQH196638 QAD196621:QAD196638 QJZ196621:QJZ196638 QTV196621:QTV196638 RDR196621:RDR196638 RNN196621:RNN196638 RXJ196621:RXJ196638 SHF196621:SHF196638 SRB196621:SRB196638 TAX196621:TAX196638 TKT196621:TKT196638 TUP196621:TUP196638 UEL196621:UEL196638 UOH196621:UOH196638 UYD196621:UYD196638 VHZ196621:VHZ196638 VRV196621:VRV196638 WBR196621:WBR196638 WLN196621:WLN196638 WVJ196621:WVJ196638 B262157:B262174 IX262157:IX262174 ST262157:ST262174 ACP262157:ACP262174 AML262157:AML262174 AWH262157:AWH262174 BGD262157:BGD262174 BPZ262157:BPZ262174 BZV262157:BZV262174 CJR262157:CJR262174 CTN262157:CTN262174 DDJ262157:DDJ262174 DNF262157:DNF262174 DXB262157:DXB262174 EGX262157:EGX262174 EQT262157:EQT262174 FAP262157:FAP262174 FKL262157:FKL262174 FUH262157:FUH262174 GED262157:GED262174 GNZ262157:GNZ262174 GXV262157:GXV262174 HHR262157:HHR262174 HRN262157:HRN262174 IBJ262157:IBJ262174 ILF262157:ILF262174 IVB262157:IVB262174 JEX262157:JEX262174 JOT262157:JOT262174 JYP262157:JYP262174 KIL262157:KIL262174 KSH262157:KSH262174 LCD262157:LCD262174 LLZ262157:LLZ262174 LVV262157:LVV262174 MFR262157:MFR262174 MPN262157:MPN262174 MZJ262157:MZJ262174 NJF262157:NJF262174 NTB262157:NTB262174 OCX262157:OCX262174 OMT262157:OMT262174 OWP262157:OWP262174 PGL262157:PGL262174 PQH262157:PQH262174 QAD262157:QAD262174 QJZ262157:QJZ262174 QTV262157:QTV262174 RDR262157:RDR262174 RNN262157:RNN262174 RXJ262157:RXJ262174 SHF262157:SHF262174 SRB262157:SRB262174 TAX262157:TAX262174 TKT262157:TKT262174 TUP262157:TUP262174 UEL262157:UEL262174 UOH262157:UOH262174 UYD262157:UYD262174 VHZ262157:VHZ262174 VRV262157:VRV262174 WBR262157:WBR262174 WLN262157:WLN262174 WVJ262157:WVJ262174 B327693:B327710 IX327693:IX327710 ST327693:ST327710 ACP327693:ACP327710 AML327693:AML327710 AWH327693:AWH327710 BGD327693:BGD327710 BPZ327693:BPZ327710 BZV327693:BZV327710 CJR327693:CJR327710 CTN327693:CTN327710 DDJ327693:DDJ327710 DNF327693:DNF327710 DXB327693:DXB327710 EGX327693:EGX327710 EQT327693:EQT327710 FAP327693:FAP327710 FKL327693:FKL327710 FUH327693:FUH327710 GED327693:GED327710 GNZ327693:GNZ327710 GXV327693:GXV327710 HHR327693:HHR327710 HRN327693:HRN327710 IBJ327693:IBJ327710 ILF327693:ILF327710 IVB327693:IVB327710 JEX327693:JEX327710 JOT327693:JOT327710 JYP327693:JYP327710 KIL327693:KIL327710 KSH327693:KSH327710 LCD327693:LCD327710 LLZ327693:LLZ327710 LVV327693:LVV327710 MFR327693:MFR327710 MPN327693:MPN327710 MZJ327693:MZJ327710 NJF327693:NJF327710 NTB327693:NTB327710 OCX327693:OCX327710 OMT327693:OMT327710 OWP327693:OWP327710 PGL327693:PGL327710 PQH327693:PQH327710 QAD327693:QAD327710 QJZ327693:QJZ327710 QTV327693:QTV327710 RDR327693:RDR327710 RNN327693:RNN327710 RXJ327693:RXJ327710 SHF327693:SHF327710 SRB327693:SRB327710 TAX327693:TAX327710 TKT327693:TKT327710 TUP327693:TUP327710 UEL327693:UEL327710 UOH327693:UOH327710 UYD327693:UYD327710 VHZ327693:VHZ327710 VRV327693:VRV327710 WBR327693:WBR327710 WLN327693:WLN327710 WVJ327693:WVJ327710 B393229:B393246 IX393229:IX393246 ST393229:ST393246 ACP393229:ACP393246 AML393229:AML393246 AWH393229:AWH393246 BGD393229:BGD393246 BPZ393229:BPZ393246 BZV393229:BZV393246 CJR393229:CJR393246 CTN393229:CTN393246 DDJ393229:DDJ393246 DNF393229:DNF393246 DXB393229:DXB393246 EGX393229:EGX393246 EQT393229:EQT393246 FAP393229:FAP393246 FKL393229:FKL393246 FUH393229:FUH393246 GED393229:GED393246 GNZ393229:GNZ393246 GXV393229:GXV393246 HHR393229:HHR393246 HRN393229:HRN393246 IBJ393229:IBJ393246 ILF393229:ILF393246 IVB393229:IVB393246 JEX393229:JEX393246 JOT393229:JOT393246 JYP393229:JYP393246 KIL393229:KIL393246 KSH393229:KSH393246 LCD393229:LCD393246 LLZ393229:LLZ393246 LVV393229:LVV393246 MFR393229:MFR393246 MPN393229:MPN393246 MZJ393229:MZJ393246 NJF393229:NJF393246 NTB393229:NTB393246 OCX393229:OCX393246 OMT393229:OMT393246 OWP393229:OWP393246 PGL393229:PGL393246 PQH393229:PQH393246 QAD393229:QAD393246 QJZ393229:QJZ393246 QTV393229:QTV393246 RDR393229:RDR393246 RNN393229:RNN393246 RXJ393229:RXJ393246 SHF393229:SHF393246 SRB393229:SRB393246 TAX393229:TAX393246 TKT393229:TKT393246 TUP393229:TUP393246 UEL393229:UEL393246 UOH393229:UOH393246 UYD393229:UYD393246 VHZ393229:VHZ393246 VRV393229:VRV393246 WBR393229:WBR393246 WLN393229:WLN393246 WVJ393229:WVJ393246 B458765:B458782 IX458765:IX458782 ST458765:ST458782 ACP458765:ACP458782 AML458765:AML458782 AWH458765:AWH458782 BGD458765:BGD458782 BPZ458765:BPZ458782 BZV458765:BZV458782 CJR458765:CJR458782 CTN458765:CTN458782 DDJ458765:DDJ458782 DNF458765:DNF458782 DXB458765:DXB458782 EGX458765:EGX458782 EQT458765:EQT458782 FAP458765:FAP458782 FKL458765:FKL458782 FUH458765:FUH458782 GED458765:GED458782 GNZ458765:GNZ458782 GXV458765:GXV458782 HHR458765:HHR458782 HRN458765:HRN458782 IBJ458765:IBJ458782 ILF458765:ILF458782 IVB458765:IVB458782 JEX458765:JEX458782 JOT458765:JOT458782 JYP458765:JYP458782 KIL458765:KIL458782 KSH458765:KSH458782 LCD458765:LCD458782 LLZ458765:LLZ458782 LVV458765:LVV458782 MFR458765:MFR458782 MPN458765:MPN458782 MZJ458765:MZJ458782 NJF458765:NJF458782 NTB458765:NTB458782 OCX458765:OCX458782 OMT458765:OMT458782 OWP458765:OWP458782 PGL458765:PGL458782 PQH458765:PQH458782 QAD458765:QAD458782 QJZ458765:QJZ458782 QTV458765:QTV458782 RDR458765:RDR458782 RNN458765:RNN458782 RXJ458765:RXJ458782 SHF458765:SHF458782 SRB458765:SRB458782 TAX458765:TAX458782 TKT458765:TKT458782 TUP458765:TUP458782 UEL458765:UEL458782 UOH458765:UOH458782 UYD458765:UYD458782 VHZ458765:VHZ458782 VRV458765:VRV458782 WBR458765:WBR458782 WLN458765:WLN458782 WVJ458765:WVJ458782 B524301:B524318 IX524301:IX524318 ST524301:ST524318 ACP524301:ACP524318 AML524301:AML524318 AWH524301:AWH524318 BGD524301:BGD524318 BPZ524301:BPZ524318 BZV524301:BZV524318 CJR524301:CJR524318 CTN524301:CTN524318 DDJ524301:DDJ524318 DNF524301:DNF524318 DXB524301:DXB524318 EGX524301:EGX524318 EQT524301:EQT524318 FAP524301:FAP524318 FKL524301:FKL524318 FUH524301:FUH524318 GED524301:GED524318 GNZ524301:GNZ524318 GXV524301:GXV524318 HHR524301:HHR524318 HRN524301:HRN524318 IBJ524301:IBJ524318 ILF524301:ILF524318 IVB524301:IVB524318 JEX524301:JEX524318 JOT524301:JOT524318 JYP524301:JYP524318 KIL524301:KIL524318 KSH524301:KSH524318 LCD524301:LCD524318 LLZ524301:LLZ524318 LVV524301:LVV524318 MFR524301:MFR524318 MPN524301:MPN524318 MZJ524301:MZJ524318 NJF524301:NJF524318 NTB524301:NTB524318 OCX524301:OCX524318 OMT524301:OMT524318 OWP524301:OWP524318 PGL524301:PGL524318 PQH524301:PQH524318 QAD524301:QAD524318 QJZ524301:QJZ524318 QTV524301:QTV524318 RDR524301:RDR524318 RNN524301:RNN524318 RXJ524301:RXJ524318 SHF524301:SHF524318 SRB524301:SRB524318 TAX524301:TAX524318 TKT524301:TKT524318 TUP524301:TUP524318 UEL524301:UEL524318 UOH524301:UOH524318 UYD524301:UYD524318 VHZ524301:VHZ524318 VRV524301:VRV524318 WBR524301:WBR524318 WLN524301:WLN524318 WVJ524301:WVJ524318 B589837:B589854 IX589837:IX589854 ST589837:ST589854 ACP589837:ACP589854 AML589837:AML589854 AWH589837:AWH589854 BGD589837:BGD589854 BPZ589837:BPZ589854 BZV589837:BZV589854 CJR589837:CJR589854 CTN589837:CTN589854 DDJ589837:DDJ589854 DNF589837:DNF589854 DXB589837:DXB589854 EGX589837:EGX589854 EQT589837:EQT589854 FAP589837:FAP589854 FKL589837:FKL589854 FUH589837:FUH589854 GED589837:GED589854 GNZ589837:GNZ589854 GXV589837:GXV589854 HHR589837:HHR589854 HRN589837:HRN589854 IBJ589837:IBJ589854 ILF589837:ILF589854 IVB589837:IVB589854 JEX589837:JEX589854 JOT589837:JOT589854 JYP589837:JYP589854 KIL589837:KIL589854 KSH589837:KSH589854 LCD589837:LCD589854 LLZ589837:LLZ589854 LVV589837:LVV589854 MFR589837:MFR589854 MPN589837:MPN589854 MZJ589837:MZJ589854 NJF589837:NJF589854 NTB589837:NTB589854 OCX589837:OCX589854 OMT589837:OMT589854 OWP589837:OWP589854 PGL589837:PGL589854 PQH589837:PQH589854 QAD589837:QAD589854 QJZ589837:QJZ589854 QTV589837:QTV589854 RDR589837:RDR589854 RNN589837:RNN589854 RXJ589837:RXJ589854 SHF589837:SHF589854 SRB589837:SRB589854 TAX589837:TAX589854 TKT589837:TKT589854 TUP589837:TUP589854 UEL589837:UEL589854 UOH589837:UOH589854 UYD589837:UYD589854 VHZ589837:VHZ589854 VRV589837:VRV589854 WBR589837:WBR589854 WLN589837:WLN589854 WVJ589837:WVJ589854 B655373:B655390 IX655373:IX655390 ST655373:ST655390 ACP655373:ACP655390 AML655373:AML655390 AWH655373:AWH655390 BGD655373:BGD655390 BPZ655373:BPZ655390 BZV655373:BZV655390 CJR655373:CJR655390 CTN655373:CTN655390 DDJ655373:DDJ655390 DNF655373:DNF655390 DXB655373:DXB655390 EGX655373:EGX655390 EQT655373:EQT655390 FAP655373:FAP655390 FKL655373:FKL655390 FUH655373:FUH655390 GED655373:GED655390 GNZ655373:GNZ655390 GXV655373:GXV655390 HHR655373:HHR655390 HRN655373:HRN655390 IBJ655373:IBJ655390 ILF655373:ILF655390 IVB655373:IVB655390 JEX655373:JEX655390 JOT655373:JOT655390 JYP655373:JYP655390 KIL655373:KIL655390 KSH655373:KSH655390 LCD655373:LCD655390 LLZ655373:LLZ655390 LVV655373:LVV655390 MFR655373:MFR655390 MPN655373:MPN655390 MZJ655373:MZJ655390 NJF655373:NJF655390 NTB655373:NTB655390 OCX655373:OCX655390 OMT655373:OMT655390 OWP655373:OWP655390 PGL655373:PGL655390 PQH655373:PQH655390 QAD655373:QAD655390 QJZ655373:QJZ655390 QTV655373:QTV655390 RDR655373:RDR655390 RNN655373:RNN655390 RXJ655373:RXJ655390 SHF655373:SHF655390 SRB655373:SRB655390 TAX655373:TAX655390 TKT655373:TKT655390 TUP655373:TUP655390 UEL655373:UEL655390 UOH655373:UOH655390 UYD655373:UYD655390 VHZ655373:VHZ655390 VRV655373:VRV655390 WBR655373:WBR655390 WLN655373:WLN655390 WVJ655373:WVJ655390 B720909:B720926 IX720909:IX720926 ST720909:ST720926 ACP720909:ACP720926 AML720909:AML720926 AWH720909:AWH720926 BGD720909:BGD720926 BPZ720909:BPZ720926 BZV720909:BZV720926 CJR720909:CJR720926 CTN720909:CTN720926 DDJ720909:DDJ720926 DNF720909:DNF720926 DXB720909:DXB720926 EGX720909:EGX720926 EQT720909:EQT720926 FAP720909:FAP720926 FKL720909:FKL720926 FUH720909:FUH720926 GED720909:GED720926 GNZ720909:GNZ720926 GXV720909:GXV720926 HHR720909:HHR720926 HRN720909:HRN720926 IBJ720909:IBJ720926 ILF720909:ILF720926 IVB720909:IVB720926 JEX720909:JEX720926 JOT720909:JOT720926 JYP720909:JYP720926 KIL720909:KIL720926 KSH720909:KSH720926 LCD720909:LCD720926 LLZ720909:LLZ720926 LVV720909:LVV720926 MFR720909:MFR720926 MPN720909:MPN720926 MZJ720909:MZJ720926 NJF720909:NJF720926 NTB720909:NTB720926 OCX720909:OCX720926 OMT720909:OMT720926 OWP720909:OWP720926 PGL720909:PGL720926 PQH720909:PQH720926 QAD720909:QAD720926 QJZ720909:QJZ720926 QTV720909:QTV720926 RDR720909:RDR720926 RNN720909:RNN720926 RXJ720909:RXJ720926 SHF720909:SHF720926 SRB720909:SRB720926 TAX720909:TAX720926 TKT720909:TKT720926 TUP720909:TUP720926 UEL720909:UEL720926 UOH720909:UOH720926 UYD720909:UYD720926 VHZ720909:VHZ720926 VRV720909:VRV720926 WBR720909:WBR720926 WLN720909:WLN720926 WVJ720909:WVJ720926 B786445:B786462 IX786445:IX786462 ST786445:ST786462 ACP786445:ACP786462 AML786445:AML786462 AWH786445:AWH786462 BGD786445:BGD786462 BPZ786445:BPZ786462 BZV786445:BZV786462 CJR786445:CJR786462 CTN786445:CTN786462 DDJ786445:DDJ786462 DNF786445:DNF786462 DXB786445:DXB786462 EGX786445:EGX786462 EQT786445:EQT786462 FAP786445:FAP786462 FKL786445:FKL786462 FUH786445:FUH786462 GED786445:GED786462 GNZ786445:GNZ786462 GXV786445:GXV786462 HHR786445:HHR786462 HRN786445:HRN786462 IBJ786445:IBJ786462 ILF786445:ILF786462 IVB786445:IVB786462 JEX786445:JEX786462 JOT786445:JOT786462 JYP786445:JYP786462 KIL786445:KIL786462 KSH786445:KSH786462 LCD786445:LCD786462 LLZ786445:LLZ786462 LVV786445:LVV786462 MFR786445:MFR786462 MPN786445:MPN786462 MZJ786445:MZJ786462 NJF786445:NJF786462 NTB786445:NTB786462 OCX786445:OCX786462 OMT786445:OMT786462 OWP786445:OWP786462 PGL786445:PGL786462 PQH786445:PQH786462 QAD786445:QAD786462 QJZ786445:QJZ786462 QTV786445:QTV786462 RDR786445:RDR786462 RNN786445:RNN786462 RXJ786445:RXJ786462 SHF786445:SHF786462 SRB786445:SRB786462 TAX786445:TAX786462 TKT786445:TKT786462 TUP786445:TUP786462 UEL786445:UEL786462 UOH786445:UOH786462 UYD786445:UYD786462 VHZ786445:VHZ786462 VRV786445:VRV786462 WBR786445:WBR786462 WLN786445:WLN786462 WVJ786445:WVJ786462 B851981:B851998 IX851981:IX851998 ST851981:ST851998 ACP851981:ACP851998 AML851981:AML851998 AWH851981:AWH851998 BGD851981:BGD851998 BPZ851981:BPZ851998 BZV851981:BZV851998 CJR851981:CJR851998 CTN851981:CTN851998 DDJ851981:DDJ851998 DNF851981:DNF851998 DXB851981:DXB851998 EGX851981:EGX851998 EQT851981:EQT851998 FAP851981:FAP851998 FKL851981:FKL851998 FUH851981:FUH851998 GED851981:GED851998 GNZ851981:GNZ851998 GXV851981:GXV851998 HHR851981:HHR851998 HRN851981:HRN851998 IBJ851981:IBJ851998 ILF851981:ILF851998 IVB851981:IVB851998 JEX851981:JEX851998 JOT851981:JOT851998 JYP851981:JYP851998 KIL851981:KIL851998 KSH851981:KSH851998 LCD851981:LCD851998 LLZ851981:LLZ851998 LVV851981:LVV851998 MFR851981:MFR851998 MPN851981:MPN851998 MZJ851981:MZJ851998 NJF851981:NJF851998 NTB851981:NTB851998 OCX851981:OCX851998 OMT851981:OMT851998 OWP851981:OWP851998 PGL851981:PGL851998 PQH851981:PQH851998 QAD851981:QAD851998 QJZ851981:QJZ851998 QTV851981:QTV851998 RDR851981:RDR851998 RNN851981:RNN851998 RXJ851981:RXJ851998 SHF851981:SHF851998 SRB851981:SRB851998 TAX851981:TAX851998 TKT851981:TKT851998 TUP851981:TUP851998 UEL851981:UEL851998 UOH851981:UOH851998 UYD851981:UYD851998 VHZ851981:VHZ851998 VRV851981:VRV851998 WBR851981:WBR851998 WLN851981:WLN851998 WVJ851981:WVJ851998 B917517:B917534 IX917517:IX917534 ST917517:ST917534 ACP917517:ACP917534 AML917517:AML917534 AWH917517:AWH917534 BGD917517:BGD917534 BPZ917517:BPZ917534 BZV917517:BZV917534 CJR917517:CJR917534 CTN917517:CTN917534 DDJ917517:DDJ917534 DNF917517:DNF917534 DXB917517:DXB917534 EGX917517:EGX917534 EQT917517:EQT917534 FAP917517:FAP917534 FKL917517:FKL917534 FUH917517:FUH917534 GED917517:GED917534 GNZ917517:GNZ917534 GXV917517:GXV917534 HHR917517:HHR917534 HRN917517:HRN917534 IBJ917517:IBJ917534 ILF917517:ILF917534 IVB917517:IVB917534 JEX917517:JEX917534 JOT917517:JOT917534 JYP917517:JYP917534 KIL917517:KIL917534 KSH917517:KSH917534 LCD917517:LCD917534 LLZ917517:LLZ917534 LVV917517:LVV917534 MFR917517:MFR917534 MPN917517:MPN917534 MZJ917517:MZJ917534 NJF917517:NJF917534 NTB917517:NTB917534 OCX917517:OCX917534 OMT917517:OMT917534 OWP917517:OWP917534 PGL917517:PGL917534 PQH917517:PQH917534 QAD917517:QAD917534 QJZ917517:QJZ917534 QTV917517:QTV917534 RDR917517:RDR917534 RNN917517:RNN917534 RXJ917517:RXJ917534 SHF917517:SHF917534 SRB917517:SRB917534 TAX917517:TAX917534 TKT917517:TKT917534 TUP917517:TUP917534 UEL917517:UEL917534 UOH917517:UOH917534 UYD917517:UYD917534 VHZ917517:VHZ917534 VRV917517:VRV917534 WBR917517:WBR917534 WLN917517:WLN917534 WVJ917517:WVJ917534" xr:uid="{00000000-0002-0000-2100-000000000000}">
      <formula1>trung</formula1>
    </dataValidation>
    <dataValidation type="list" allowBlank="1" showInputMessage="1" showErrorMessage="1" sqref="B26:B29" xr:uid="{00000000-0002-0000-2100-000001000000}">
      <formula1>bichphuong</formula1>
    </dataValidation>
  </dataValidation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379"/>
  <sheetViews>
    <sheetView topLeftCell="A6"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61"/>
      <c r="G3" s="102"/>
      <c r="H3" s="103"/>
    </row>
    <row r="4" spans="1:8" s="98" customFormat="1" ht="18" customHeight="1">
      <c r="A4" s="414"/>
      <c r="B4" s="414"/>
      <c r="C4" s="415" t="s">
        <v>1740</v>
      </c>
      <c r="D4" s="416"/>
      <c r="E4" s="416"/>
      <c r="F4" s="416"/>
      <c r="G4" s="416"/>
      <c r="H4" s="416"/>
    </row>
    <row r="5" spans="1:8" s="98" customFormat="1" ht="15.6">
      <c r="A5" s="104"/>
      <c r="B5" s="104"/>
      <c r="C5" s="160"/>
      <c r="D5" s="105"/>
      <c r="E5" s="106"/>
      <c r="F5" s="160"/>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1922</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1923</v>
      </c>
      <c r="C13" s="425"/>
      <c r="D13" s="425"/>
      <c r="E13" s="425"/>
      <c r="F13" s="425"/>
      <c r="G13" s="73">
        <f>G14</f>
        <v>51920000.000000007</v>
      </c>
      <c r="H13" s="74"/>
    </row>
    <row r="14" spans="1:8" s="131" customFormat="1" ht="40.5" customHeight="1">
      <c r="A14" s="123"/>
      <c r="B14" s="124" t="s">
        <v>1757</v>
      </c>
      <c r="C14" s="125" t="s">
        <v>1753</v>
      </c>
      <c r="D14" s="126">
        <v>4.4000000000000004</v>
      </c>
      <c r="E14" s="127">
        <v>11800000</v>
      </c>
      <c r="F14" s="128">
        <v>1</v>
      </c>
      <c r="G14" s="129">
        <f>D14*E14*F14</f>
        <v>51920000.000000007</v>
      </c>
      <c r="H14" s="130"/>
    </row>
    <row r="15" spans="1:8" ht="27" customHeight="1">
      <c r="A15" s="75" t="s">
        <v>18</v>
      </c>
      <c r="B15" s="426" t="s">
        <v>1725</v>
      </c>
      <c r="C15" s="426"/>
      <c r="D15" s="426"/>
      <c r="E15" s="426"/>
      <c r="F15" s="426"/>
      <c r="G15" s="76">
        <f>SUM(G16:G16)</f>
        <v>283065.50030000007</v>
      </c>
      <c r="H15" s="11"/>
    </row>
    <row r="16" spans="1:8" ht="31.2">
      <c r="A16" s="77">
        <v>1</v>
      </c>
      <c r="B16" s="78" t="s">
        <v>1924</v>
      </c>
      <c r="C16" s="14" t="s">
        <v>1754</v>
      </c>
      <c r="D16" s="132">
        <f>1.1*1.1*0.11</f>
        <v>0.13310000000000002</v>
      </c>
      <c r="E16" s="15">
        <v>2126713</v>
      </c>
      <c r="F16" s="14">
        <v>1</v>
      </c>
      <c r="G16" s="79">
        <f t="shared" ref="G16" si="0">D16*E16*F16</f>
        <v>283065.50030000007</v>
      </c>
      <c r="H16" s="15"/>
    </row>
    <row r="17" spans="1:8" ht="24" customHeight="1">
      <c r="A17" s="75" t="s">
        <v>19</v>
      </c>
      <c r="B17" s="426" t="s">
        <v>1727</v>
      </c>
      <c r="C17" s="426"/>
      <c r="D17" s="426"/>
      <c r="E17" s="426"/>
      <c r="F17" s="426"/>
      <c r="G17" s="76">
        <f>SUM(G18:G18)</f>
        <v>0</v>
      </c>
      <c r="H17" s="11"/>
    </row>
    <row r="18" spans="1:8" ht="30.6" customHeight="1">
      <c r="A18" s="77"/>
      <c r="B18" s="78" t="s">
        <v>1728</v>
      </c>
      <c r="C18" s="13"/>
      <c r="D18" s="13"/>
      <c r="E18" s="13"/>
      <c r="F18" s="13"/>
      <c r="G18" s="79"/>
      <c r="H18" s="15"/>
    </row>
    <row r="19" spans="1:8" ht="15.6">
      <c r="A19" s="80"/>
      <c r="B19" s="427" t="s">
        <v>62</v>
      </c>
      <c r="C19" s="428"/>
      <c r="D19" s="428"/>
      <c r="E19" s="428"/>
      <c r="F19" s="429"/>
      <c r="G19" s="81">
        <f>G13+G15+G17</f>
        <v>52203065.500300005</v>
      </c>
      <c r="H19" s="82"/>
    </row>
    <row r="20" spans="1:8" ht="15.6">
      <c r="A20" s="80"/>
      <c r="B20" s="427" t="s">
        <v>1726</v>
      </c>
      <c r="C20" s="428"/>
      <c r="D20" s="428"/>
      <c r="E20" s="428"/>
      <c r="F20" s="429"/>
      <c r="G20" s="81">
        <f>ROUND(G19,-3)</f>
        <v>52203000</v>
      </c>
      <c r="H20" s="82"/>
    </row>
    <row r="21" spans="1:8" ht="15.6">
      <c r="A21" s="430" t="e">
        <f ca="1">[19]!vnd(G20)</f>
        <v>#NAME?</v>
      </c>
      <c r="B21" s="431"/>
      <c r="C21" s="431"/>
      <c r="D21" s="431"/>
      <c r="E21" s="431"/>
      <c r="F21" s="431"/>
      <c r="G21" s="431"/>
      <c r="H21" s="432"/>
    </row>
    <row r="22" spans="1:8">
      <c r="A22" s="17"/>
      <c r="B22" s="17"/>
      <c r="C22" s="97"/>
      <c r="D22" s="20"/>
      <c r="E22" s="19"/>
      <c r="F22" s="97"/>
      <c r="G22" s="19"/>
      <c r="H22" s="17"/>
    </row>
    <row r="23" spans="1:8" s="109" customFormat="1" ht="16.5" customHeight="1">
      <c r="A23" s="108"/>
      <c r="B23" s="108"/>
      <c r="C23" s="424" t="s">
        <v>1742</v>
      </c>
      <c r="D23" s="424"/>
      <c r="E23" s="424"/>
      <c r="F23" s="424"/>
      <c r="G23" s="424"/>
      <c r="H23" s="424"/>
    </row>
    <row r="24" spans="1:8" s="109" customFormat="1" ht="16.5" customHeight="1">
      <c r="A24" s="423" t="s">
        <v>63</v>
      </c>
      <c r="B24" s="423"/>
      <c r="C24" s="424" t="s">
        <v>1743</v>
      </c>
      <c r="D24" s="424"/>
      <c r="E24" s="424"/>
      <c r="F24" s="424" t="s">
        <v>1744</v>
      </c>
      <c r="G24" s="424"/>
      <c r="H24" s="424"/>
    </row>
    <row r="25" spans="1:8" s="109" customFormat="1" ht="15.6">
      <c r="A25" s="108"/>
      <c r="B25" s="108"/>
      <c r="C25" s="108"/>
      <c r="D25" s="110"/>
      <c r="E25" s="111"/>
      <c r="F25" s="112"/>
      <c r="G25" s="111"/>
      <c r="H25" s="113"/>
    </row>
    <row r="26" spans="1:8" s="109" customFormat="1" ht="15.6">
      <c r="A26" s="108"/>
      <c r="B26" s="108"/>
      <c r="C26" s="108"/>
      <c r="D26" s="110"/>
      <c r="E26" s="111"/>
      <c r="F26" s="112"/>
      <c r="G26" s="114"/>
      <c r="H26" s="113"/>
    </row>
    <row r="27" spans="1:8" s="109" customFormat="1" ht="15.6">
      <c r="A27" s="108"/>
      <c r="B27" s="108"/>
      <c r="C27" s="108"/>
      <c r="D27" s="110"/>
      <c r="E27" s="111"/>
      <c r="F27" s="112"/>
      <c r="G27" s="111"/>
      <c r="H27" s="113"/>
    </row>
    <row r="28" spans="1:8" s="109" customFormat="1" ht="15.6">
      <c r="A28" s="108"/>
      <c r="B28" s="108"/>
      <c r="C28" s="108"/>
      <c r="D28" s="110"/>
      <c r="E28" s="111"/>
      <c r="F28" s="112"/>
      <c r="G28" s="111"/>
      <c r="H28" s="113"/>
    </row>
    <row r="29" spans="1:8" s="109" customFormat="1" ht="15.6">
      <c r="A29" s="108"/>
      <c r="B29" s="108"/>
      <c r="C29" s="108"/>
      <c r="D29" s="110"/>
      <c r="E29" s="111"/>
      <c r="F29" s="112"/>
      <c r="G29" s="111"/>
      <c r="H29" s="113"/>
    </row>
    <row r="30" spans="1:8" s="109" customFormat="1" ht="16.5" customHeight="1">
      <c r="A30" s="108"/>
      <c r="B30" s="162" t="s">
        <v>64</v>
      </c>
      <c r="C30" s="424"/>
      <c r="D30" s="424"/>
      <c r="E30" s="424"/>
      <c r="F30" s="424" t="s">
        <v>1745</v>
      </c>
      <c r="G30" s="424"/>
      <c r="H30" s="424"/>
    </row>
    <row r="31" spans="1:8" s="109" customFormat="1" ht="15.6">
      <c r="A31" s="108"/>
      <c r="B31" s="162"/>
      <c r="C31" s="159"/>
      <c r="D31" s="159"/>
      <c r="E31" s="159"/>
      <c r="F31" s="159"/>
      <c r="G31" s="159"/>
      <c r="H31" s="159"/>
    </row>
    <row r="32" spans="1:8" s="109" customFormat="1" ht="15" customHeight="1">
      <c r="A32" s="424" t="s">
        <v>1746</v>
      </c>
      <c r="B32" s="424"/>
      <c r="C32" s="424"/>
      <c r="D32" s="424"/>
      <c r="E32" s="424" t="s">
        <v>1747</v>
      </c>
      <c r="F32" s="424"/>
      <c r="G32" s="424"/>
      <c r="H32" s="424"/>
    </row>
    <row r="33" spans="1:8" s="109" customFormat="1" ht="33.6" customHeight="1">
      <c r="A33" s="424" t="s">
        <v>1748</v>
      </c>
      <c r="B33" s="424"/>
      <c r="C33" s="424"/>
      <c r="D33" s="424"/>
      <c r="E33" s="424" t="s">
        <v>65</v>
      </c>
      <c r="F33" s="424"/>
      <c r="G33" s="424"/>
      <c r="H33" s="424"/>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ustomHeight="1">
      <c r="A39" s="108"/>
      <c r="B39" s="108"/>
      <c r="C39" s="108"/>
      <c r="D39" s="115"/>
      <c r="E39" s="439" t="s">
        <v>1749</v>
      </c>
      <c r="F39" s="439"/>
      <c r="G39" s="439"/>
      <c r="H39" s="439"/>
    </row>
    <row r="40" spans="1:8" s="109" customFormat="1" ht="16.5" customHeight="1">
      <c r="A40" s="424" t="s">
        <v>1751</v>
      </c>
      <c r="B40" s="424"/>
      <c r="C40" s="424"/>
      <c r="D40" s="424"/>
      <c r="E40" s="424" t="s">
        <v>1750</v>
      </c>
      <c r="F40" s="424"/>
      <c r="G40" s="424"/>
      <c r="H40" s="424"/>
    </row>
    <row r="41" spans="1:8" s="118" customFormat="1" ht="16.2" customHeight="1">
      <c r="A41" s="440"/>
      <c r="B41" s="440"/>
      <c r="C41" s="116"/>
      <c r="D41" s="117"/>
      <c r="E41" s="440"/>
      <c r="F41" s="440"/>
      <c r="G41" s="440"/>
      <c r="H41" s="440"/>
    </row>
    <row r="42" spans="1:8" s="118" customFormat="1" ht="15.75" customHeight="1">
      <c r="A42" s="440"/>
      <c r="B42" s="440"/>
      <c r="C42" s="440"/>
      <c r="D42" s="440"/>
      <c r="E42" s="440"/>
      <c r="F42" s="440"/>
      <c r="G42" s="440"/>
      <c r="H42" s="440"/>
    </row>
    <row r="43" spans="1:8" s="98" customFormat="1" ht="16.2" customHeight="1">
      <c r="A43" s="436"/>
      <c r="B43" s="436"/>
      <c r="C43" s="436"/>
      <c r="D43" s="436"/>
      <c r="E43" s="119"/>
      <c r="F43" s="120"/>
      <c r="G43" s="119"/>
      <c r="H43" s="121"/>
    </row>
    <row r="44" spans="1:8" s="98" customFormat="1" ht="16.2" customHeight="1">
      <c r="A44" s="436"/>
      <c r="B44" s="436"/>
      <c r="C44" s="436"/>
      <c r="D44" s="436"/>
      <c r="E44" s="119"/>
      <c r="F44" s="120"/>
      <c r="G44" s="119"/>
      <c r="H44" s="121"/>
    </row>
    <row r="45" spans="1:8" s="98" customFormat="1" ht="16.2" customHeight="1">
      <c r="A45" s="121"/>
      <c r="B45" s="121"/>
      <c r="C45" s="121"/>
      <c r="D45" s="122"/>
      <c r="E45" s="119"/>
      <c r="F45" s="120"/>
      <c r="G45" s="119"/>
      <c r="H45" s="121"/>
    </row>
    <row r="46" spans="1:8" ht="16.2" customHeight="1">
      <c r="A46" s="83"/>
      <c r="B46" s="83"/>
      <c r="C46" s="83"/>
      <c r="D46" s="84"/>
      <c r="E46" s="85"/>
      <c r="F46" s="86"/>
      <c r="G46" s="85"/>
      <c r="H46" s="83"/>
    </row>
    <row r="47" spans="1:8" ht="16.2" customHeight="1">
      <c r="A47" s="83"/>
      <c r="B47" s="83"/>
      <c r="C47" s="83"/>
      <c r="D47" s="84"/>
      <c r="E47" s="85"/>
      <c r="F47" s="86"/>
      <c r="G47" s="85"/>
      <c r="H47" s="83"/>
    </row>
    <row r="48" spans="1:8" ht="16.2" customHeight="1">
      <c r="A48" s="83"/>
      <c r="B48" s="83"/>
      <c r="C48" s="83"/>
      <c r="D48" s="84"/>
      <c r="E48" s="85"/>
      <c r="F48" s="86"/>
      <c r="G48" s="85"/>
      <c r="H48" s="83"/>
    </row>
    <row r="49" spans="1:8" ht="16.2" customHeight="1">
      <c r="A49" s="83"/>
      <c r="B49" s="83"/>
      <c r="C49" s="83"/>
      <c r="D49" s="84"/>
      <c r="E49" s="437"/>
      <c r="F49" s="437"/>
      <c r="G49" s="437"/>
      <c r="H49" s="437"/>
    </row>
    <row r="50" spans="1:8" ht="20.25" customHeight="1">
      <c r="A50" s="438"/>
      <c r="B50" s="438"/>
      <c r="C50" s="438"/>
      <c r="D50" s="438"/>
      <c r="E50" s="438"/>
      <c r="F50" s="438"/>
      <c r="G50" s="438"/>
      <c r="H50" s="438"/>
    </row>
    <row r="51" spans="1:8" s="17" customFormat="1" ht="16.2" customHeight="1">
      <c r="D51" s="18"/>
      <c r="E51" s="19"/>
      <c r="F51" s="97"/>
      <c r="G51" s="19"/>
    </row>
    <row r="52" spans="1:8" s="17" customFormat="1" ht="16.2" customHeight="1">
      <c r="D52" s="18"/>
      <c r="E52" s="19"/>
      <c r="F52" s="97"/>
      <c r="G52" s="19"/>
    </row>
    <row r="53" spans="1:8" s="17" customFormat="1" ht="16.2" customHeight="1">
      <c r="D53" s="18"/>
      <c r="E53" s="19"/>
      <c r="F53" s="97"/>
      <c r="G53" s="19"/>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C67" s="97"/>
      <c r="D67" s="20"/>
      <c r="E67" s="19"/>
      <c r="F67" s="97"/>
      <c r="G67" s="19"/>
    </row>
    <row r="68" spans="3:7" s="17" customFormat="1" ht="16.2" customHeight="1">
      <c r="C68" s="97"/>
      <c r="D68" s="20"/>
      <c r="E68" s="19"/>
      <c r="F68" s="97"/>
      <c r="G68" s="19"/>
    </row>
    <row r="69" spans="3:7" s="17" customFormat="1" ht="16.2" customHeight="1">
      <c r="C69" s="97"/>
      <c r="D69" s="20"/>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ht="16.2" customHeight="1"/>
    <row r="80" spans="3:7" ht="16.2" customHeight="1"/>
    <row r="81" ht="16.2" customHeight="1"/>
    <row r="82" ht="16.2" customHeight="1"/>
    <row r="83" ht="16.2" customHeight="1"/>
    <row r="84" ht="16.2" customHeight="1"/>
    <row r="85" ht="16.2" customHeight="1"/>
    <row r="86" ht="16.2" customHeight="1"/>
    <row r="87" ht="16.2" customHeight="1"/>
    <row r="88" ht="16.2" customHeight="1"/>
    <row r="89" ht="16.2" customHeight="1"/>
    <row r="90" ht="16.2" customHeight="1"/>
    <row r="91" ht="16.2" customHeight="1"/>
    <row r="92" ht="16.2" customHeight="1"/>
    <row r="93" ht="16.2" customHeight="1"/>
    <row r="94" ht="16.2" customHeight="1"/>
    <row r="95" ht="16.2" customHeight="1"/>
    <row r="96"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row r="226"/>
    <row r="227"/>
    <row r="228"/>
    <row r="229"/>
    <row r="230"/>
    <row r="231"/>
    <row r="232"/>
    <row r="233"/>
    <row r="234"/>
    <row r="235"/>
    <row r="236"/>
    <row r="237"/>
    <row r="238"/>
    <row r="239"/>
    <row r="240"/>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sheetData>
  <mergeCells count="40">
    <mergeCell ref="E49:H49"/>
    <mergeCell ref="A50:H50"/>
    <mergeCell ref="A41:B41"/>
    <mergeCell ref="E41:H41"/>
    <mergeCell ref="A42:D42"/>
    <mergeCell ref="E42:H42"/>
    <mergeCell ref="A43:D43"/>
    <mergeCell ref="A44:D44"/>
    <mergeCell ref="A40:D40"/>
    <mergeCell ref="E40:H40"/>
    <mergeCell ref="C23:H23"/>
    <mergeCell ref="A24:B24"/>
    <mergeCell ref="C24:E24"/>
    <mergeCell ref="F24:H24"/>
    <mergeCell ref="C30:E30"/>
    <mergeCell ref="F30:H30"/>
    <mergeCell ref="A32:D32"/>
    <mergeCell ref="E32:H32"/>
    <mergeCell ref="A33:D33"/>
    <mergeCell ref="E33:H33"/>
    <mergeCell ref="E39:H39"/>
    <mergeCell ref="A21:H21"/>
    <mergeCell ref="A6:H6"/>
    <mergeCell ref="A7:H7"/>
    <mergeCell ref="A8:H8"/>
    <mergeCell ref="A9:H9"/>
    <mergeCell ref="A10:H10"/>
    <mergeCell ref="A11:H11"/>
    <mergeCell ref="B13:F13"/>
    <mergeCell ref="B15:F15"/>
    <mergeCell ref="B17:F17"/>
    <mergeCell ref="B19:F19"/>
    <mergeCell ref="B20:F20"/>
    <mergeCell ref="A4:B4"/>
    <mergeCell ref="C4:H4"/>
    <mergeCell ref="A1:B1"/>
    <mergeCell ref="C1:H1"/>
    <mergeCell ref="A2:B2"/>
    <mergeCell ref="C2:H2"/>
    <mergeCell ref="A3:B3"/>
  </mergeCells>
  <dataValidations count="1">
    <dataValidation type="list" allowBlank="1" showInputMessage="1" showErrorMessage="1" sqref="WVJ983042:WVJ983059 B983042:B983059 IX983042:IX983059 ST983042:ST983059 ACP983042:ACP983059 AML983042:AML983059 AWH983042:AWH983059 BGD983042:BGD983059 BPZ983042:BPZ983059 BZV983042:BZV983059 CJR983042:CJR983059 CTN983042:CTN983059 DDJ983042:DDJ983059 DNF983042:DNF983059 DXB983042:DXB983059 EGX983042:EGX983059 EQT983042:EQT983059 FAP983042:FAP983059 FKL983042:FKL983059 FUH983042:FUH983059 GED983042:GED983059 GNZ983042:GNZ983059 GXV983042:GXV983059 HHR983042:HHR983059 HRN983042:HRN983059 IBJ983042:IBJ983059 ILF983042:ILF983059 IVB983042:IVB983059 JEX983042:JEX983059 JOT983042:JOT983059 JYP983042:JYP983059 KIL983042:KIL983059 KSH983042:KSH983059 LCD983042:LCD983059 LLZ983042:LLZ983059 LVV983042:LVV983059 MFR983042:MFR983059 MPN983042:MPN983059 MZJ983042:MZJ983059 NJF983042:NJF983059 NTB983042:NTB983059 OCX983042:OCX983059 OMT983042:OMT983059 OWP983042:OWP983059 PGL983042:PGL983059 PQH983042:PQH983059 QAD983042:QAD983059 QJZ983042:QJZ983059 QTV983042:QTV983059 RDR983042:RDR983059 RNN983042:RNN983059 RXJ983042:RXJ983059 SHF983042:SHF983059 SRB983042:SRB983059 TAX983042:TAX983059 TKT983042:TKT983059 TUP983042:TUP983059 UEL983042:UEL983059 UOH983042:UOH983059 UYD983042:UYD983059 VHZ983042:VHZ983059 VRV983042:VRV983059 WBR983042:WBR983059 WLN983042:WLN983059 B65538:B65555 IX65538:IX65555 ST65538:ST65555 ACP65538:ACP65555 AML65538:AML65555 AWH65538:AWH65555 BGD65538:BGD65555 BPZ65538:BPZ65555 BZV65538:BZV65555 CJR65538:CJR65555 CTN65538:CTN65555 DDJ65538:DDJ65555 DNF65538:DNF65555 DXB65538:DXB65555 EGX65538:EGX65555 EQT65538:EQT65555 FAP65538:FAP65555 FKL65538:FKL65555 FUH65538:FUH65555 GED65538:GED65555 GNZ65538:GNZ65555 GXV65538:GXV65555 HHR65538:HHR65555 HRN65538:HRN65555 IBJ65538:IBJ65555 ILF65538:ILF65555 IVB65538:IVB65555 JEX65538:JEX65555 JOT65538:JOT65555 JYP65538:JYP65555 KIL65538:KIL65555 KSH65538:KSH65555 LCD65538:LCD65555 LLZ65538:LLZ65555 LVV65538:LVV65555 MFR65538:MFR65555 MPN65538:MPN65555 MZJ65538:MZJ65555 NJF65538:NJF65555 NTB65538:NTB65555 OCX65538:OCX65555 OMT65538:OMT65555 OWP65538:OWP65555 PGL65538:PGL65555 PQH65538:PQH65555 QAD65538:QAD65555 QJZ65538:QJZ65555 QTV65538:QTV65555 RDR65538:RDR65555 RNN65538:RNN65555 RXJ65538:RXJ65555 SHF65538:SHF65555 SRB65538:SRB65555 TAX65538:TAX65555 TKT65538:TKT65555 TUP65538:TUP65555 UEL65538:UEL65555 UOH65538:UOH65555 UYD65538:UYD65555 VHZ65538:VHZ65555 VRV65538:VRV65555 WBR65538:WBR65555 WLN65538:WLN65555 WVJ65538:WVJ65555 B131074:B131091 IX131074:IX131091 ST131074:ST131091 ACP131074:ACP131091 AML131074:AML131091 AWH131074:AWH131091 BGD131074:BGD131091 BPZ131074:BPZ131091 BZV131074:BZV131091 CJR131074:CJR131091 CTN131074:CTN131091 DDJ131074:DDJ131091 DNF131074:DNF131091 DXB131074:DXB131091 EGX131074:EGX131091 EQT131074:EQT131091 FAP131074:FAP131091 FKL131074:FKL131091 FUH131074:FUH131091 GED131074:GED131091 GNZ131074:GNZ131091 GXV131074:GXV131091 HHR131074:HHR131091 HRN131074:HRN131091 IBJ131074:IBJ131091 ILF131074:ILF131091 IVB131074:IVB131091 JEX131074:JEX131091 JOT131074:JOT131091 JYP131074:JYP131091 KIL131074:KIL131091 KSH131074:KSH131091 LCD131074:LCD131091 LLZ131074:LLZ131091 LVV131074:LVV131091 MFR131074:MFR131091 MPN131074:MPN131091 MZJ131074:MZJ131091 NJF131074:NJF131091 NTB131074:NTB131091 OCX131074:OCX131091 OMT131074:OMT131091 OWP131074:OWP131091 PGL131074:PGL131091 PQH131074:PQH131091 QAD131074:QAD131091 QJZ131074:QJZ131091 QTV131074:QTV131091 RDR131074:RDR131091 RNN131074:RNN131091 RXJ131074:RXJ131091 SHF131074:SHF131091 SRB131074:SRB131091 TAX131074:TAX131091 TKT131074:TKT131091 TUP131074:TUP131091 UEL131074:UEL131091 UOH131074:UOH131091 UYD131074:UYD131091 VHZ131074:VHZ131091 VRV131074:VRV131091 WBR131074:WBR131091 WLN131074:WLN131091 WVJ131074:WVJ131091 B196610:B196627 IX196610:IX196627 ST196610:ST196627 ACP196610:ACP196627 AML196610:AML196627 AWH196610:AWH196627 BGD196610:BGD196627 BPZ196610:BPZ196627 BZV196610:BZV196627 CJR196610:CJR196627 CTN196610:CTN196627 DDJ196610:DDJ196627 DNF196610:DNF196627 DXB196610:DXB196627 EGX196610:EGX196627 EQT196610:EQT196627 FAP196610:FAP196627 FKL196610:FKL196627 FUH196610:FUH196627 GED196610:GED196627 GNZ196610:GNZ196627 GXV196610:GXV196627 HHR196610:HHR196627 HRN196610:HRN196627 IBJ196610:IBJ196627 ILF196610:ILF196627 IVB196610:IVB196627 JEX196610:JEX196627 JOT196610:JOT196627 JYP196610:JYP196627 KIL196610:KIL196627 KSH196610:KSH196627 LCD196610:LCD196627 LLZ196610:LLZ196627 LVV196610:LVV196627 MFR196610:MFR196627 MPN196610:MPN196627 MZJ196610:MZJ196627 NJF196610:NJF196627 NTB196610:NTB196627 OCX196610:OCX196627 OMT196610:OMT196627 OWP196610:OWP196627 PGL196610:PGL196627 PQH196610:PQH196627 QAD196610:QAD196627 QJZ196610:QJZ196627 QTV196610:QTV196627 RDR196610:RDR196627 RNN196610:RNN196627 RXJ196610:RXJ196627 SHF196610:SHF196627 SRB196610:SRB196627 TAX196610:TAX196627 TKT196610:TKT196627 TUP196610:TUP196627 UEL196610:UEL196627 UOH196610:UOH196627 UYD196610:UYD196627 VHZ196610:VHZ196627 VRV196610:VRV196627 WBR196610:WBR196627 WLN196610:WLN196627 WVJ196610:WVJ196627 B262146:B262163 IX262146:IX262163 ST262146:ST262163 ACP262146:ACP262163 AML262146:AML262163 AWH262146:AWH262163 BGD262146:BGD262163 BPZ262146:BPZ262163 BZV262146:BZV262163 CJR262146:CJR262163 CTN262146:CTN262163 DDJ262146:DDJ262163 DNF262146:DNF262163 DXB262146:DXB262163 EGX262146:EGX262163 EQT262146:EQT262163 FAP262146:FAP262163 FKL262146:FKL262163 FUH262146:FUH262163 GED262146:GED262163 GNZ262146:GNZ262163 GXV262146:GXV262163 HHR262146:HHR262163 HRN262146:HRN262163 IBJ262146:IBJ262163 ILF262146:ILF262163 IVB262146:IVB262163 JEX262146:JEX262163 JOT262146:JOT262163 JYP262146:JYP262163 KIL262146:KIL262163 KSH262146:KSH262163 LCD262146:LCD262163 LLZ262146:LLZ262163 LVV262146:LVV262163 MFR262146:MFR262163 MPN262146:MPN262163 MZJ262146:MZJ262163 NJF262146:NJF262163 NTB262146:NTB262163 OCX262146:OCX262163 OMT262146:OMT262163 OWP262146:OWP262163 PGL262146:PGL262163 PQH262146:PQH262163 QAD262146:QAD262163 QJZ262146:QJZ262163 QTV262146:QTV262163 RDR262146:RDR262163 RNN262146:RNN262163 RXJ262146:RXJ262163 SHF262146:SHF262163 SRB262146:SRB262163 TAX262146:TAX262163 TKT262146:TKT262163 TUP262146:TUP262163 UEL262146:UEL262163 UOH262146:UOH262163 UYD262146:UYD262163 VHZ262146:VHZ262163 VRV262146:VRV262163 WBR262146:WBR262163 WLN262146:WLN262163 WVJ262146:WVJ262163 B327682:B327699 IX327682:IX327699 ST327682:ST327699 ACP327682:ACP327699 AML327682:AML327699 AWH327682:AWH327699 BGD327682:BGD327699 BPZ327682:BPZ327699 BZV327682:BZV327699 CJR327682:CJR327699 CTN327682:CTN327699 DDJ327682:DDJ327699 DNF327682:DNF327699 DXB327682:DXB327699 EGX327682:EGX327699 EQT327682:EQT327699 FAP327682:FAP327699 FKL327682:FKL327699 FUH327682:FUH327699 GED327682:GED327699 GNZ327682:GNZ327699 GXV327682:GXV327699 HHR327682:HHR327699 HRN327682:HRN327699 IBJ327682:IBJ327699 ILF327682:ILF327699 IVB327682:IVB327699 JEX327682:JEX327699 JOT327682:JOT327699 JYP327682:JYP327699 KIL327682:KIL327699 KSH327682:KSH327699 LCD327682:LCD327699 LLZ327682:LLZ327699 LVV327682:LVV327699 MFR327682:MFR327699 MPN327682:MPN327699 MZJ327682:MZJ327699 NJF327682:NJF327699 NTB327682:NTB327699 OCX327682:OCX327699 OMT327682:OMT327699 OWP327682:OWP327699 PGL327682:PGL327699 PQH327682:PQH327699 QAD327682:QAD327699 QJZ327682:QJZ327699 QTV327682:QTV327699 RDR327682:RDR327699 RNN327682:RNN327699 RXJ327682:RXJ327699 SHF327682:SHF327699 SRB327682:SRB327699 TAX327682:TAX327699 TKT327682:TKT327699 TUP327682:TUP327699 UEL327682:UEL327699 UOH327682:UOH327699 UYD327682:UYD327699 VHZ327682:VHZ327699 VRV327682:VRV327699 WBR327682:WBR327699 WLN327682:WLN327699 WVJ327682:WVJ327699 B393218:B393235 IX393218:IX393235 ST393218:ST393235 ACP393218:ACP393235 AML393218:AML393235 AWH393218:AWH393235 BGD393218:BGD393235 BPZ393218:BPZ393235 BZV393218:BZV393235 CJR393218:CJR393235 CTN393218:CTN393235 DDJ393218:DDJ393235 DNF393218:DNF393235 DXB393218:DXB393235 EGX393218:EGX393235 EQT393218:EQT393235 FAP393218:FAP393235 FKL393218:FKL393235 FUH393218:FUH393235 GED393218:GED393235 GNZ393218:GNZ393235 GXV393218:GXV393235 HHR393218:HHR393235 HRN393218:HRN393235 IBJ393218:IBJ393235 ILF393218:ILF393235 IVB393218:IVB393235 JEX393218:JEX393235 JOT393218:JOT393235 JYP393218:JYP393235 KIL393218:KIL393235 KSH393218:KSH393235 LCD393218:LCD393235 LLZ393218:LLZ393235 LVV393218:LVV393235 MFR393218:MFR393235 MPN393218:MPN393235 MZJ393218:MZJ393235 NJF393218:NJF393235 NTB393218:NTB393235 OCX393218:OCX393235 OMT393218:OMT393235 OWP393218:OWP393235 PGL393218:PGL393235 PQH393218:PQH393235 QAD393218:QAD393235 QJZ393218:QJZ393235 QTV393218:QTV393235 RDR393218:RDR393235 RNN393218:RNN393235 RXJ393218:RXJ393235 SHF393218:SHF393235 SRB393218:SRB393235 TAX393218:TAX393235 TKT393218:TKT393235 TUP393218:TUP393235 UEL393218:UEL393235 UOH393218:UOH393235 UYD393218:UYD393235 VHZ393218:VHZ393235 VRV393218:VRV393235 WBR393218:WBR393235 WLN393218:WLN393235 WVJ393218:WVJ393235 B458754:B458771 IX458754:IX458771 ST458754:ST458771 ACP458754:ACP458771 AML458754:AML458771 AWH458754:AWH458771 BGD458754:BGD458771 BPZ458754:BPZ458771 BZV458754:BZV458771 CJR458754:CJR458771 CTN458754:CTN458771 DDJ458754:DDJ458771 DNF458754:DNF458771 DXB458754:DXB458771 EGX458754:EGX458771 EQT458754:EQT458771 FAP458754:FAP458771 FKL458754:FKL458771 FUH458754:FUH458771 GED458754:GED458771 GNZ458754:GNZ458771 GXV458754:GXV458771 HHR458754:HHR458771 HRN458754:HRN458771 IBJ458754:IBJ458771 ILF458754:ILF458771 IVB458754:IVB458771 JEX458754:JEX458771 JOT458754:JOT458771 JYP458754:JYP458771 KIL458754:KIL458771 KSH458754:KSH458771 LCD458754:LCD458771 LLZ458754:LLZ458771 LVV458754:LVV458771 MFR458754:MFR458771 MPN458754:MPN458771 MZJ458754:MZJ458771 NJF458754:NJF458771 NTB458754:NTB458771 OCX458754:OCX458771 OMT458754:OMT458771 OWP458754:OWP458771 PGL458754:PGL458771 PQH458754:PQH458771 QAD458754:QAD458771 QJZ458754:QJZ458771 QTV458754:QTV458771 RDR458754:RDR458771 RNN458754:RNN458771 RXJ458754:RXJ458771 SHF458754:SHF458771 SRB458754:SRB458771 TAX458754:TAX458771 TKT458754:TKT458771 TUP458754:TUP458771 UEL458754:UEL458771 UOH458754:UOH458771 UYD458754:UYD458771 VHZ458754:VHZ458771 VRV458754:VRV458771 WBR458754:WBR458771 WLN458754:WLN458771 WVJ458754:WVJ458771 B524290:B524307 IX524290:IX524307 ST524290:ST524307 ACP524290:ACP524307 AML524290:AML524307 AWH524290:AWH524307 BGD524290:BGD524307 BPZ524290:BPZ524307 BZV524290:BZV524307 CJR524290:CJR524307 CTN524290:CTN524307 DDJ524290:DDJ524307 DNF524290:DNF524307 DXB524290:DXB524307 EGX524290:EGX524307 EQT524290:EQT524307 FAP524290:FAP524307 FKL524290:FKL524307 FUH524290:FUH524307 GED524290:GED524307 GNZ524290:GNZ524307 GXV524290:GXV524307 HHR524290:HHR524307 HRN524290:HRN524307 IBJ524290:IBJ524307 ILF524290:ILF524307 IVB524290:IVB524307 JEX524290:JEX524307 JOT524290:JOT524307 JYP524290:JYP524307 KIL524290:KIL524307 KSH524290:KSH524307 LCD524290:LCD524307 LLZ524290:LLZ524307 LVV524290:LVV524307 MFR524290:MFR524307 MPN524290:MPN524307 MZJ524290:MZJ524307 NJF524290:NJF524307 NTB524290:NTB524307 OCX524290:OCX524307 OMT524290:OMT524307 OWP524290:OWP524307 PGL524290:PGL524307 PQH524290:PQH524307 QAD524290:QAD524307 QJZ524290:QJZ524307 QTV524290:QTV524307 RDR524290:RDR524307 RNN524290:RNN524307 RXJ524290:RXJ524307 SHF524290:SHF524307 SRB524290:SRB524307 TAX524290:TAX524307 TKT524290:TKT524307 TUP524290:TUP524307 UEL524290:UEL524307 UOH524290:UOH524307 UYD524290:UYD524307 VHZ524290:VHZ524307 VRV524290:VRV524307 WBR524290:WBR524307 WLN524290:WLN524307 WVJ524290:WVJ524307 B589826:B589843 IX589826:IX589843 ST589826:ST589843 ACP589826:ACP589843 AML589826:AML589843 AWH589826:AWH589843 BGD589826:BGD589843 BPZ589826:BPZ589843 BZV589826:BZV589843 CJR589826:CJR589843 CTN589826:CTN589843 DDJ589826:DDJ589843 DNF589826:DNF589843 DXB589826:DXB589843 EGX589826:EGX589843 EQT589826:EQT589843 FAP589826:FAP589843 FKL589826:FKL589843 FUH589826:FUH589843 GED589826:GED589843 GNZ589826:GNZ589843 GXV589826:GXV589843 HHR589826:HHR589843 HRN589826:HRN589843 IBJ589826:IBJ589843 ILF589826:ILF589843 IVB589826:IVB589843 JEX589826:JEX589843 JOT589826:JOT589843 JYP589826:JYP589843 KIL589826:KIL589843 KSH589826:KSH589843 LCD589826:LCD589843 LLZ589826:LLZ589843 LVV589826:LVV589843 MFR589826:MFR589843 MPN589826:MPN589843 MZJ589826:MZJ589843 NJF589826:NJF589843 NTB589826:NTB589843 OCX589826:OCX589843 OMT589826:OMT589843 OWP589826:OWP589843 PGL589826:PGL589843 PQH589826:PQH589843 QAD589826:QAD589843 QJZ589826:QJZ589843 QTV589826:QTV589843 RDR589826:RDR589843 RNN589826:RNN589843 RXJ589826:RXJ589843 SHF589826:SHF589843 SRB589826:SRB589843 TAX589826:TAX589843 TKT589826:TKT589843 TUP589826:TUP589843 UEL589826:UEL589843 UOH589826:UOH589843 UYD589826:UYD589843 VHZ589826:VHZ589843 VRV589826:VRV589843 WBR589826:WBR589843 WLN589826:WLN589843 WVJ589826:WVJ589843 B655362:B655379 IX655362:IX655379 ST655362:ST655379 ACP655362:ACP655379 AML655362:AML655379 AWH655362:AWH655379 BGD655362:BGD655379 BPZ655362:BPZ655379 BZV655362:BZV655379 CJR655362:CJR655379 CTN655362:CTN655379 DDJ655362:DDJ655379 DNF655362:DNF655379 DXB655362:DXB655379 EGX655362:EGX655379 EQT655362:EQT655379 FAP655362:FAP655379 FKL655362:FKL655379 FUH655362:FUH655379 GED655362:GED655379 GNZ655362:GNZ655379 GXV655362:GXV655379 HHR655362:HHR655379 HRN655362:HRN655379 IBJ655362:IBJ655379 ILF655362:ILF655379 IVB655362:IVB655379 JEX655362:JEX655379 JOT655362:JOT655379 JYP655362:JYP655379 KIL655362:KIL655379 KSH655362:KSH655379 LCD655362:LCD655379 LLZ655362:LLZ655379 LVV655362:LVV655379 MFR655362:MFR655379 MPN655362:MPN655379 MZJ655362:MZJ655379 NJF655362:NJF655379 NTB655362:NTB655379 OCX655362:OCX655379 OMT655362:OMT655379 OWP655362:OWP655379 PGL655362:PGL655379 PQH655362:PQH655379 QAD655362:QAD655379 QJZ655362:QJZ655379 QTV655362:QTV655379 RDR655362:RDR655379 RNN655362:RNN655379 RXJ655362:RXJ655379 SHF655362:SHF655379 SRB655362:SRB655379 TAX655362:TAX655379 TKT655362:TKT655379 TUP655362:TUP655379 UEL655362:UEL655379 UOH655362:UOH655379 UYD655362:UYD655379 VHZ655362:VHZ655379 VRV655362:VRV655379 WBR655362:WBR655379 WLN655362:WLN655379 WVJ655362:WVJ655379 B720898:B720915 IX720898:IX720915 ST720898:ST720915 ACP720898:ACP720915 AML720898:AML720915 AWH720898:AWH720915 BGD720898:BGD720915 BPZ720898:BPZ720915 BZV720898:BZV720915 CJR720898:CJR720915 CTN720898:CTN720915 DDJ720898:DDJ720915 DNF720898:DNF720915 DXB720898:DXB720915 EGX720898:EGX720915 EQT720898:EQT720915 FAP720898:FAP720915 FKL720898:FKL720915 FUH720898:FUH720915 GED720898:GED720915 GNZ720898:GNZ720915 GXV720898:GXV720915 HHR720898:HHR720915 HRN720898:HRN720915 IBJ720898:IBJ720915 ILF720898:ILF720915 IVB720898:IVB720915 JEX720898:JEX720915 JOT720898:JOT720915 JYP720898:JYP720915 KIL720898:KIL720915 KSH720898:KSH720915 LCD720898:LCD720915 LLZ720898:LLZ720915 LVV720898:LVV720915 MFR720898:MFR720915 MPN720898:MPN720915 MZJ720898:MZJ720915 NJF720898:NJF720915 NTB720898:NTB720915 OCX720898:OCX720915 OMT720898:OMT720915 OWP720898:OWP720915 PGL720898:PGL720915 PQH720898:PQH720915 QAD720898:QAD720915 QJZ720898:QJZ720915 QTV720898:QTV720915 RDR720898:RDR720915 RNN720898:RNN720915 RXJ720898:RXJ720915 SHF720898:SHF720915 SRB720898:SRB720915 TAX720898:TAX720915 TKT720898:TKT720915 TUP720898:TUP720915 UEL720898:UEL720915 UOH720898:UOH720915 UYD720898:UYD720915 VHZ720898:VHZ720915 VRV720898:VRV720915 WBR720898:WBR720915 WLN720898:WLN720915 WVJ720898:WVJ720915 B786434:B786451 IX786434:IX786451 ST786434:ST786451 ACP786434:ACP786451 AML786434:AML786451 AWH786434:AWH786451 BGD786434:BGD786451 BPZ786434:BPZ786451 BZV786434:BZV786451 CJR786434:CJR786451 CTN786434:CTN786451 DDJ786434:DDJ786451 DNF786434:DNF786451 DXB786434:DXB786451 EGX786434:EGX786451 EQT786434:EQT786451 FAP786434:FAP786451 FKL786434:FKL786451 FUH786434:FUH786451 GED786434:GED786451 GNZ786434:GNZ786451 GXV786434:GXV786451 HHR786434:HHR786451 HRN786434:HRN786451 IBJ786434:IBJ786451 ILF786434:ILF786451 IVB786434:IVB786451 JEX786434:JEX786451 JOT786434:JOT786451 JYP786434:JYP786451 KIL786434:KIL786451 KSH786434:KSH786451 LCD786434:LCD786451 LLZ786434:LLZ786451 LVV786434:LVV786451 MFR786434:MFR786451 MPN786434:MPN786451 MZJ786434:MZJ786451 NJF786434:NJF786451 NTB786434:NTB786451 OCX786434:OCX786451 OMT786434:OMT786451 OWP786434:OWP786451 PGL786434:PGL786451 PQH786434:PQH786451 QAD786434:QAD786451 QJZ786434:QJZ786451 QTV786434:QTV786451 RDR786434:RDR786451 RNN786434:RNN786451 RXJ786434:RXJ786451 SHF786434:SHF786451 SRB786434:SRB786451 TAX786434:TAX786451 TKT786434:TKT786451 TUP786434:TUP786451 UEL786434:UEL786451 UOH786434:UOH786451 UYD786434:UYD786451 VHZ786434:VHZ786451 VRV786434:VRV786451 WBR786434:WBR786451 WLN786434:WLN786451 WVJ786434:WVJ786451 B851970:B851987 IX851970:IX851987 ST851970:ST851987 ACP851970:ACP851987 AML851970:AML851987 AWH851970:AWH851987 BGD851970:BGD851987 BPZ851970:BPZ851987 BZV851970:BZV851987 CJR851970:CJR851987 CTN851970:CTN851987 DDJ851970:DDJ851987 DNF851970:DNF851987 DXB851970:DXB851987 EGX851970:EGX851987 EQT851970:EQT851987 FAP851970:FAP851987 FKL851970:FKL851987 FUH851970:FUH851987 GED851970:GED851987 GNZ851970:GNZ851987 GXV851970:GXV851987 HHR851970:HHR851987 HRN851970:HRN851987 IBJ851970:IBJ851987 ILF851970:ILF851987 IVB851970:IVB851987 JEX851970:JEX851987 JOT851970:JOT851987 JYP851970:JYP851987 KIL851970:KIL851987 KSH851970:KSH851987 LCD851970:LCD851987 LLZ851970:LLZ851987 LVV851970:LVV851987 MFR851970:MFR851987 MPN851970:MPN851987 MZJ851970:MZJ851987 NJF851970:NJF851987 NTB851970:NTB851987 OCX851970:OCX851987 OMT851970:OMT851987 OWP851970:OWP851987 PGL851970:PGL851987 PQH851970:PQH851987 QAD851970:QAD851987 QJZ851970:QJZ851987 QTV851970:QTV851987 RDR851970:RDR851987 RNN851970:RNN851987 RXJ851970:RXJ851987 SHF851970:SHF851987 SRB851970:SRB851987 TAX851970:TAX851987 TKT851970:TKT851987 TUP851970:TUP851987 UEL851970:UEL851987 UOH851970:UOH851987 UYD851970:UYD851987 VHZ851970:VHZ851987 VRV851970:VRV851987 WBR851970:WBR851987 WLN851970:WLN851987 WVJ851970:WVJ851987 B917506:B917523 IX917506:IX917523 ST917506:ST917523 ACP917506:ACP917523 AML917506:AML917523 AWH917506:AWH917523 BGD917506:BGD917523 BPZ917506:BPZ917523 BZV917506:BZV917523 CJR917506:CJR917523 CTN917506:CTN917523 DDJ917506:DDJ917523 DNF917506:DNF917523 DXB917506:DXB917523 EGX917506:EGX917523 EQT917506:EQT917523 FAP917506:FAP917523 FKL917506:FKL917523 FUH917506:FUH917523 GED917506:GED917523 GNZ917506:GNZ917523 GXV917506:GXV917523 HHR917506:HHR917523 HRN917506:HRN917523 IBJ917506:IBJ917523 ILF917506:ILF917523 IVB917506:IVB917523 JEX917506:JEX917523 JOT917506:JOT917523 JYP917506:JYP917523 KIL917506:KIL917523 KSH917506:KSH917523 LCD917506:LCD917523 LLZ917506:LLZ917523 LVV917506:LVV917523 MFR917506:MFR917523 MPN917506:MPN917523 MZJ917506:MZJ917523 NJF917506:NJF917523 NTB917506:NTB917523 OCX917506:OCX917523 OMT917506:OMT917523 OWP917506:OWP917523 PGL917506:PGL917523 PQH917506:PQH917523 QAD917506:QAD917523 QJZ917506:QJZ917523 QTV917506:QTV917523 RDR917506:RDR917523 RNN917506:RNN917523 RXJ917506:RXJ917523 SHF917506:SHF917523 SRB917506:SRB917523 TAX917506:TAX917523 TKT917506:TKT917523 TUP917506:TUP917523 UEL917506:UEL917523 UOH917506:UOH917523 UYD917506:UYD917523 VHZ917506:VHZ917523 VRV917506:VRV917523 WBR917506:WBR917523 WLN917506:WLN917523 WVJ917506:WVJ917523" xr:uid="{00000000-0002-0000-2200-000000000000}">
      <formula1>trung</formula1>
    </dataValidation>
  </dataValidation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381"/>
  <sheetViews>
    <sheetView topLeftCell="A9"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61"/>
      <c r="G3" s="102"/>
      <c r="H3" s="103"/>
    </row>
    <row r="4" spans="1:8" s="98" customFormat="1" ht="18" customHeight="1">
      <c r="A4" s="414"/>
      <c r="B4" s="414"/>
      <c r="C4" s="415" t="s">
        <v>1740</v>
      </c>
      <c r="D4" s="416"/>
      <c r="E4" s="416"/>
      <c r="F4" s="416"/>
      <c r="G4" s="416"/>
      <c r="H4" s="416"/>
    </row>
    <row r="5" spans="1:8" s="98" customFormat="1" ht="15.6">
      <c r="A5" s="104"/>
      <c r="B5" s="104"/>
      <c r="C5" s="160"/>
      <c r="D5" s="105"/>
      <c r="E5" s="106"/>
      <c r="F5" s="160"/>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1925</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1926</v>
      </c>
      <c r="C13" s="425"/>
      <c r="D13" s="425"/>
      <c r="E13" s="425"/>
      <c r="F13" s="425"/>
      <c r="G13" s="73">
        <f>G14</f>
        <v>15340000</v>
      </c>
      <c r="H13" s="74"/>
    </row>
    <row r="14" spans="1:8" s="131" customFormat="1" ht="40.5" customHeight="1">
      <c r="A14" s="123"/>
      <c r="B14" s="124" t="s">
        <v>1757</v>
      </c>
      <c r="C14" s="125" t="s">
        <v>1753</v>
      </c>
      <c r="D14" s="126">
        <v>1.3</v>
      </c>
      <c r="E14" s="127">
        <v>11800000</v>
      </c>
      <c r="F14" s="128">
        <v>1</v>
      </c>
      <c r="G14" s="129">
        <f>D14*E14*F14</f>
        <v>15340000</v>
      </c>
      <c r="H14" s="130"/>
    </row>
    <row r="15" spans="1:8" ht="27" customHeight="1">
      <c r="A15" s="75" t="s">
        <v>18</v>
      </c>
      <c r="B15" s="426" t="s">
        <v>1725</v>
      </c>
      <c r="C15" s="426"/>
      <c r="D15" s="426"/>
      <c r="E15" s="426"/>
      <c r="F15" s="426"/>
      <c r="G15" s="76">
        <f>SUM(G16:G23)</f>
        <v>20648958.650399998</v>
      </c>
      <c r="H15" s="11"/>
    </row>
    <row r="16" spans="1:8" ht="31.2">
      <c r="A16" s="77">
        <v>1</v>
      </c>
      <c r="B16" s="78" t="s">
        <v>1927</v>
      </c>
      <c r="C16" s="14" t="s">
        <v>1754</v>
      </c>
      <c r="D16" s="132">
        <f>5.2*1.4*0.11</f>
        <v>0.80079999999999996</v>
      </c>
      <c r="E16" s="15">
        <v>2126713</v>
      </c>
      <c r="F16" s="14">
        <v>1</v>
      </c>
      <c r="G16" s="79">
        <f t="shared" ref="G16:G23" si="0">D16*E16*F16</f>
        <v>1703071.7703999998</v>
      </c>
      <c r="H16" s="15"/>
    </row>
    <row r="17" spans="1:8" s="179" customFormat="1" ht="15.6">
      <c r="A17" s="77"/>
      <c r="B17" s="78" t="s">
        <v>1983</v>
      </c>
      <c r="C17" s="14" t="s">
        <v>66</v>
      </c>
      <c r="D17" s="132">
        <f>5.2*1.4*2</f>
        <v>14.559999999999999</v>
      </c>
      <c r="E17" s="15">
        <v>141099</v>
      </c>
      <c r="F17" s="14">
        <v>1</v>
      </c>
      <c r="G17" s="79">
        <f t="shared" si="0"/>
        <v>2054401.4399999997</v>
      </c>
      <c r="H17" s="15"/>
    </row>
    <row r="18" spans="1:8" ht="30.6" customHeight="1">
      <c r="A18" s="77"/>
      <c r="B18" s="78" t="s">
        <v>1984</v>
      </c>
      <c r="C18" s="14" t="s">
        <v>66</v>
      </c>
      <c r="D18" s="132">
        <f>5.2*1.4*2</f>
        <v>14.559999999999999</v>
      </c>
      <c r="E18" s="15">
        <v>87789</v>
      </c>
      <c r="F18" s="14">
        <v>1</v>
      </c>
      <c r="G18" s="79">
        <f t="shared" si="0"/>
        <v>1278207.8399999999</v>
      </c>
      <c r="H18" s="15"/>
    </row>
    <row r="19" spans="1:8" ht="31.2">
      <c r="A19" s="77">
        <v>2</v>
      </c>
      <c r="B19" s="78" t="s">
        <v>1928</v>
      </c>
      <c r="C19" s="14" t="s">
        <v>1755</v>
      </c>
      <c r="D19" s="132">
        <f>(7.6/6)*(0.9*38)+(5*2)*2</f>
        <v>63.32</v>
      </c>
      <c r="E19" s="15">
        <v>145000</v>
      </c>
      <c r="F19" s="14">
        <v>1</v>
      </c>
      <c r="G19" s="79">
        <f t="shared" si="0"/>
        <v>9181400</v>
      </c>
      <c r="H19" s="15"/>
    </row>
    <row r="20" spans="1:8" ht="31.2">
      <c r="A20" s="77">
        <v>3</v>
      </c>
      <c r="B20" s="78" t="s">
        <v>1929</v>
      </c>
      <c r="C20" s="14" t="s">
        <v>1755</v>
      </c>
      <c r="D20" s="132">
        <f>(3.66/6)*0.8*35</f>
        <v>17.079999999999998</v>
      </c>
      <c r="E20" s="15">
        <v>145000</v>
      </c>
      <c r="F20" s="14">
        <v>1</v>
      </c>
      <c r="G20" s="79">
        <f t="shared" ref="G20" si="1">D20*E20*F20</f>
        <v>2476599.9999999995</v>
      </c>
      <c r="H20" s="15"/>
    </row>
    <row r="21" spans="1:8" ht="31.2">
      <c r="A21" s="77">
        <v>4</v>
      </c>
      <c r="B21" s="78" t="s">
        <v>1930</v>
      </c>
      <c r="C21" s="14" t="s">
        <v>66</v>
      </c>
      <c r="D21" s="132">
        <f>1*4.8</f>
        <v>4.8</v>
      </c>
      <c r="E21" s="15">
        <v>664028</v>
      </c>
      <c r="F21" s="14">
        <v>1</v>
      </c>
      <c r="G21" s="79">
        <f t="shared" si="0"/>
        <v>3187334.4</v>
      </c>
      <c r="H21" s="15"/>
    </row>
    <row r="22" spans="1:8" ht="15.6">
      <c r="A22" s="77">
        <v>5</v>
      </c>
      <c r="B22" s="78" t="s">
        <v>1931</v>
      </c>
      <c r="C22" s="14" t="s">
        <v>66</v>
      </c>
      <c r="D22" s="132">
        <f>0.5*6</f>
        <v>3</v>
      </c>
      <c r="E22" s="15">
        <v>214934</v>
      </c>
      <c r="F22" s="14">
        <v>1</v>
      </c>
      <c r="G22" s="79">
        <f t="shared" si="0"/>
        <v>644802</v>
      </c>
      <c r="H22" s="15"/>
    </row>
    <row r="23" spans="1:8" ht="46.8">
      <c r="A23" s="77">
        <v>6</v>
      </c>
      <c r="B23" s="78" t="s">
        <v>2042</v>
      </c>
      <c r="C23" s="14" t="s">
        <v>1755</v>
      </c>
      <c r="D23" s="132">
        <f>(15.47/6)*2.4</f>
        <v>6.1880000000000006</v>
      </c>
      <c r="E23" s="15">
        <v>19900</v>
      </c>
      <c r="F23" s="14">
        <v>1</v>
      </c>
      <c r="G23" s="79">
        <f t="shared" si="0"/>
        <v>123141.20000000001</v>
      </c>
      <c r="H23" s="15"/>
    </row>
    <row r="24" spans="1:8" ht="24" customHeight="1">
      <c r="A24" s="75" t="s">
        <v>19</v>
      </c>
      <c r="B24" s="426" t="s">
        <v>1727</v>
      </c>
      <c r="C24" s="426"/>
      <c r="D24" s="426"/>
      <c r="E24" s="426"/>
      <c r="F24" s="426"/>
      <c r="G24" s="76">
        <f>SUM(G25:G25)</f>
        <v>0</v>
      </c>
      <c r="H24" s="11"/>
    </row>
    <row r="25" spans="1:8" ht="30.6" customHeight="1">
      <c r="A25" s="77"/>
      <c r="B25" s="78" t="s">
        <v>1728</v>
      </c>
      <c r="C25" s="13"/>
      <c r="D25" s="13"/>
      <c r="E25" s="13"/>
      <c r="F25" s="13"/>
      <c r="G25" s="79"/>
      <c r="H25" s="15"/>
    </row>
    <row r="26" spans="1:8" ht="15.6">
      <c r="A26" s="80"/>
      <c r="B26" s="427" t="s">
        <v>62</v>
      </c>
      <c r="C26" s="428"/>
      <c r="D26" s="428"/>
      <c r="E26" s="428"/>
      <c r="F26" s="429"/>
      <c r="G26" s="81">
        <f>G13+G15+G24</f>
        <v>35988958.650399998</v>
      </c>
      <c r="H26" s="82"/>
    </row>
    <row r="27" spans="1:8" ht="15.6">
      <c r="A27" s="80"/>
      <c r="B27" s="427" t="s">
        <v>1726</v>
      </c>
      <c r="C27" s="428"/>
      <c r="D27" s="428"/>
      <c r="E27" s="428"/>
      <c r="F27" s="429"/>
      <c r="G27" s="81">
        <f>ROUND(G26,-3)</f>
        <v>35989000</v>
      </c>
      <c r="H27" s="82"/>
    </row>
    <row r="28" spans="1:8" ht="15.6">
      <c r="A28" s="430" t="e">
        <f ca="1">[19]!vnd(G27)</f>
        <v>#NAME?</v>
      </c>
      <c r="B28" s="431"/>
      <c r="C28" s="431"/>
      <c r="D28" s="431"/>
      <c r="E28" s="431"/>
      <c r="F28" s="431"/>
      <c r="G28" s="431"/>
      <c r="H28" s="432"/>
    </row>
    <row r="29" spans="1:8">
      <c r="A29" s="17"/>
      <c r="B29" s="17"/>
      <c r="C29" s="97"/>
      <c r="D29" s="20"/>
      <c r="E29" s="19"/>
      <c r="F29" s="97"/>
      <c r="G29" s="19"/>
      <c r="H29" s="17"/>
    </row>
    <row r="30" spans="1:8" s="109" customFormat="1" ht="16.5" customHeight="1">
      <c r="A30" s="108"/>
      <c r="B30" s="108"/>
      <c r="C30" s="424" t="s">
        <v>1742</v>
      </c>
      <c r="D30" s="424"/>
      <c r="E30" s="424"/>
      <c r="F30" s="424"/>
      <c r="G30" s="424"/>
      <c r="H30" s="424"/>
    </row>
    <row r="31" spans="1:8" s="109" customFormat="1" ht="16.5" customHeight="1">
      <c r="A31" s="423" t="s">
        <v>63</v>
      </c>
      <c r="B31" s="423"/>
      <c r="C31" s="424" t="s">
        <v>1743</v>
      </c>
      <c r="D31" s="424"/>
      <c r="E31" s="424"/>
      <c r="F31" s="424" t="s">
        <v>1744</v>
      </c>
      <c r="G31" s="424"/>
      <c r="H31" s="424"/>
    </row>
    <row r="32" spans="1:8" s="109" customFormat="1" ht="15.6">
      <c r="A32" s="108"/>
      <c r="B32" s="108"/>
      <c r="C32" s="108"/>
      <c r="D32" s="110"/>
      <c r="E32" s="111"/>
      <c r="F32" s="112"/>
      <c r="G32" s="111"/>
      <c r="H32" s="113"/>
    </row>
    <row r="33" spans="1:8" s="109" customFormat="1" ht="15.6">
      <c r="A33" s="108"/>
      <c r="B33" s="108"/>
      <c r="C33" s="108"/>
      <c r="D33" s="110"/>
      <c r="E33" s="111"/>
      <c r="F33" s="112"/>
      <c r="G33" s="114"/>
      <c r="H33" s="113"/>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6.5" customHeight="1">
      <c r="A37" s="108"/>
      <c r="B37" s="162" t="s">
        <v>64</v>
      </c>
      <c r="C37" s="424"/>
      <c r="D37" s="424"/>
      <c r="E37" s="424"/>
      <c r="F37" s="424" t="s">
        <v>1745</v>
      </c>
      <c r="G37" s="424"/>
      <c r="H37" s="424"/>
    </row>
    <row r="38" spans="1:8" s="109" customFormat="1" ht="15.6">
      <c r="A38" s="108"/>
      <c r="B38" s="162"/>
      <c r="C38" s="159"/>
      <c r="D38" s="159"/>
      <c r="E38" s="159"/>
      <c r="F38" s="159"/>
      <c r="G38" s="159"/>
      <c r="H38" s="159"/>
    </row>
    <row r="39" spans="1:8" s="109" customFormat="1" ht="15" customHeight="1">
      <c r="A39" s="424" t="s">
        <v>1746</v>
      </c>
      <c r="B39" s="424"/>
      <c r="C39" s="424"/>
      <c r="D39" s="424"/>
      <c r="E39" s="424" t="s">
        <v>1747</v>
      </c>
      <c r="F39" s="424"/>
      <c r="G39" s="424"/>
      <c r="H39" s="424"/>
    </row>
    <row r="40" spans="1:8" s="109" customFormat="1" ht="33.6" customHeight="1">
      <c r="A40" s="424" t="s">
        <v>1748</v>
      </c>
      <c r="B40" s="424"/>
      <c r="C40" s="424"/>
      <c r="D40" s="424"/>
      <c r="E40" s="424" t="s">
        <v>65</v>
      </c>
      <c r="F40" s="424"/>
      <c r="G40" s="424"/>
      <c r="H40" s="424"/>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 r="A43" s="108"/>
      <c r="B43" s="108"/>
      <c r="C43" s="108"/>
      <c r="D43" s="110"/>
      <c r="E43" s="111"/>
      <c r="F43" s="112"/>
      <c r="G43" s="111"/>
      <c r="H43" s="113"/>
    </row>
    <row r="44" spans="1:8" s="109" customFormat="1" ht="15.6">
      <c r="A44" s="108"/>
      <c r="B44" s="108"/>
      <c r="C44" s="108"/>
      <c r="D44" s="110"/>
      <c r="E44" s="111"/>
      <c r="F44" s="112"/>
      <c r="G44" s="111"/>
      <c r="H44" s="113"/>
    </row>
    <row r="45" spans="1:8" s="109" customFormat="1" ht="15.6">
      <c r="A45" s="108"/>
      <c r="B45" s="108"/>
      <c r="C45" s="108"/>
      <c r="D45" s="110"/>
      <c r="E45" s="111"/>
      <c r="F45" s="112"/>
      <c r="G45" s="111"/>
      <c r="H45" s="113"/>
    </row>
    <row r="46" spans="1:8" s="109" customFormat="1" ht="15.6" customHeight="1">
      <c r="A46" s="108"/>
      <c r="B46" s="108"/>
      <c r="C46" s="108"/>
      <c r="D46" s="115"/>
      <c r="E46" s="439" t="s">
        <v>1749</v>
      </c>
      <c r="F46" s="439"/>
      <c r="G46" s="439"/>
      <c r="H46" s="439"/>
    </row>
    <row r="47" spans="1:8" s="109" customFormat="1" ht="16.5" customHeight="1">
      <c r="A47" s="424" t="s">
        <v>1751</v>
      </c>
      <c r="B47" s="424"/>
      <c r="C47" s="424"/>
      <c r="D47" s="424"/>
      <c r="E47" s="424" t="s">
        <v>1750</v>
      </c>
      <c r="F47" s="424"/>
      <c r="G47" s="424"/>
      <c r="H47" s="424"/>
    </row>
    <row r="48" spans="1:8" s="118" customFormat="1" ht="16.2" customHeight="1">
      <c r="A48" s="440"/>
      <c r="B48" s="440"/>
      <c r="C48" s="116"/>
      <c r="D48" s="117"/>
      <c r="E48" s="440"/>
      <c r="F48" s="440"/>
      <c r="G48" s="440"/>
      <c r="H48" s="440"/>
    </row>
    <row r="49" spans="1:8" s="118" customFormat="1" ht="15.75" customHeight="1">
      <c r="A49" s="440"/>
      <c r="B49" s="440"/>
      <c r="C49" s="440"/>
      <c r="D49" s="440"/>
      <c r="E49" s="440"/>
      <c r="F49" s="440"/>
      <c r="G49" s="440"/>
      <c r="H49" s="440"/>
    </row>
    <row r="50" spans="1:8" s="98" customFormat="1" ht="16.2" customHeight="1">
      <c r="A50" s="436"/>
      <c r="B50" s="436"/>
      <c r="C50" s="436"/>
      <c r="D50" s="436"/>
      <c r="E50" s="119"/>
      <c r="F50" s="120"/>
      <c r="G50" s="119"/>
      <c r="H50" s="121"/>
    </row>
    <row r="51" spans="1:8" s="98" customFormat="1" ht="16.2" customHeight="1">
      <c r="A51" s="436"/>
      <c r="B51" s="436"/>
      <c r="C51" s="436"/>
      <c r="D51" s="436"/>
      <c r="E51" s="119"/>
      <c r="F51" s="120"/>
      <c r="G51" s="119"/>
      <c r="H51" s="121"/>
    </row>
    <row r="52" spans="1:8" s="98" customFormat="1" ht="16.2" customHeight="1">
      <c r="A52" s="121"/>
      <c r="B52" s="121"/>
      <c r="C52" s="121"/>
      <c r="D52" s="122"/>
      <c r="E52" s="119"/>
      <c r="F52" s="120"/>
      <c r="G52" s="119"/>
      <c r="H52" s="121"/>
    </row>
    <row r="53" spans="1:8" ht="16.2" customHeight="1">
      <c r="A53" s="83"/>
      <c r="B53" s="83"/>
      <c r="C53" s="83"/>
      <c r="D53" s="84"/>
      <c r="E53" s="85"/>
      <c r="F53" s="86"/>
      <c r="G53" s="85"/>
      <c r="H53" s="83"/>
    </row>
    <row r="54" spans="1:8" ht="16.2" customHeight="1">
      <c r="A54" s="83"/>
      <c r="B54" s="83"/>
      <c r="C54" s="83"/>
      <c r="D54" s="84"/>
      <c r="E54" s="85"/>
      <c r="F54" s="86"/>
      <c r="G54" s="85"/>
      <c r="H54" s="83"/>
    </row>
    <row r="55" spans="1:8" ht="16.2" customHeight="1">
      <c r="A55" s="83"/>
      <c r="B55" s="83"/>
      <c r="C55" s="83"/>
      <c r="D55" s="84"/>
      <c r="E55" s="85"/>
      <c r="F55" s="86"/>
      <c r="G55" s="85"/>
      <c r="H55" s="83"/>
    </row>
    <row r="56" spans="1:8" ht="16.2" customHeight="1">
      <c r="A56" s="83"/>
      <c r="B56" s="83"/>
      <c r="C56" s="83"/>
      <c r="D56" s="84"/>
      <c r="E56" s="437"/>
      <c r="F56" s="437"/>
      <c r="G56" s="437"/>
      <c r="H56" s="437"/>
    </row>
    <row r="57" spans="1:8" ht="20.25" customHeight="1">
      <c r="A57" s="438"/>
      <c r="B57" s="438"/>
      <c r="C57" s="438"/>
      <c r="D57" s="438"/>
      <c r="E57" s="438"/>
      <c r="F57" s="438"/>
      <c r="G57" s="438"/>
      <c r="H57" s="438"/>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D73" s="18"/>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row r="233"/>
    <row r="234"/>
    <row r="235"/>
    <row r="236"/>
    <row r="237"/>
    <row r="238"/>
    <row r="239"/>
    <row r="240"/>
    <row r="241"/>
    <row r="242"/>
    <row r="243"/>
    <row r="244"/>
    <row r="245"/>
    <row r="246"/>
    <row r="247"/>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sheetData>
  <mergeCells count="40">
    <mergeCell ref="E56:H56"/>
    <mergeCell ref="A57:H57"/>
    <mergeCell ref="A48:B48"/>
    <mergeCell ref="E48:H48"/>
    <mergeCell ref="A49:D49"/>
    <mergeCell ref="E49:H49"/>
    <mergeCell ref="A50:D50"/>
    <mergeCell ref="A51:D51"/>
    <mergeCell ref="A47:D47"/>
    <mergeCell ref="E47:H47"/>
    <mergeCell ref="C30:H30"/>
    <mergeCell ref="A31:B31"/>
    <mergeCell ref="C31:E31"/>
    <mergeCell ref="F31:H31"/>
    <mergeCell ref="C37:E37"/>
    <mergeCell ref="F37:H37"/>
    <mergeCell ref="A39:D39"/>
    <mergeCell ref="E39:H39"/>
    <mergeCell ref="A40:D40"/>
    <mergeCell ref="E40:H40"/>
    <mergeCell ref="E46:H46"/>
    <mergeCell ref="A28:H28"/>
    <mergeCell ref="A6:H6"/>
    <mergeCell ref="A7:H7"/>
    <mergeCell ref="A8:H8"/>
    <mergeCell ref="A9:H9"/>
    <mergeCell ref="A10:H10"/>
    <mergeCell ref="A11:H11"/>
    <mergeCell ref="B13:F13"/>
    <mergeCell ref="B15:F15"/>
    <mergeCell ref="B24:F24"/>
    <mergeCell ref="B26:F26"/>
    <mergeCell ref="B27:F27"/>
    <mergeCell ref="A4:B4"/>
    <mergeCell ref="C4:H4"/>
    <mergeCell ref="A1:B1"/>
    <mergeCell ref="C1:H1"/>
    <mergeCell ref="A2:B2"/>
    <mergeCell ref="C2:H2"/>
    <mergeCell ref="A3:B3"/>
  </mergeCells>
  <dataValidations count="1">
    <dataValidation type="list" allowBlank="1" showInputMessage="1" showErrorMessage="1" sqref="WVJ983049:WVJ983066 B983049:B983066 IX983049:IX983066 ST983049:ST983066 ACP983049:ACP983066 AML983049:AML983066 AWH983049:AWH983066 BGD983049:BGD983066 BPZ983049:BPZ983066 BZV983049:BZV983066 CJR983049:CJR983066 CTN983049:CTN983066 DDJ983049:DDJ983066 DNF983049:DNF983066 DXB983049:DXB983066 EGX983049:EGX983066 EQT983049:EQT983066 FAP983049:FAP983066 FKL983049:FKL983066 FUH983049:FUH983066 GED983049:GED983066 GNZ983049:GNZ983066 GXV983049:GXV983066 HHR983049:HHR983066 HRN983049:HRN983066 IBJ983049:IBJ983066 ILF983049:ILF983066 IVB983049:IVB983066 JEX983049:JEX983066 JOT983049:JOT983066 JYP983049:JYP983066 KIL983049:KIL983066 KSH983049:KSH983066 LCD983049:LCD983066 LLZ983049:LLZ983066 LVV983049:LVV983066 MFR983049:MFR983066 MPN983049:MPN983066 MZJ983049:MZJ983066 NJF983049:NJF983066 NTB983049:NTB983066 OCX983049:OCX983066 OMT983049:OMT983066 OWP983049:OWP983066 PGL983049:PGL983066 PQH983049:PQH983066 QAD983049:QAD983066 QJZ983049:QJZ983066 QTV983049:QTV983066 RDR983049:RDR983066 RNN983049:RNN983066 RXJ983049:RXJ983066 SHF983049:SHF983066 SRB983049:SRB983066 TAX983049:TAX983066 TKT983049:TKT983066 TUP983049:TUP983066 UEL983049:UEL983066 UOH983049:UOH983066 UYD983049:UYD983066 VHZ983049:VHZ983066 VRV983049:VRV983066 WBR983049:WBR983066 WLN983049:WLN983066 B65545:B65562 IX65545:IX65562 ST65545:ST65562 ACP65545:ACP65562 AML65545:AML65562 AWH65545:AWH65562 BGD65545:BGD65562 BPZ65545:BPZ65562 BZV65545:BZV65562 CJR65545:CJR65562 CTN65545:CTN65562 DDJ65545:DDJ65562 DNF65545:DNF65562 DXB65545:DXB65562 EGX65545:EGX65562 EQT65545:EQT65562 FAP65545:FAP65562 FKL65545:FKL65562 FUH65545:FUH65562 GED65545:GED65562 GNZ65545:GNZ65562 GXV65545:GXV65562 HHR65545:HHR65562 HRN65545:HRN65562 IBJ65545:IBJ65562 ILF65545:ILF65562 IVB65545:IVB65562 JEX65545:JEX65562 JOT65545:JOT65562 JYP65545:JYP65562 KIL65545:KIL65562 KSH65545:KSH65562 LCD65545:LCD65562 LLZ65545:LLZ65562 LVV65545:LVV65562 MFR65545:MFR65562 MPN65545:MPN65562 MZJ65545:MZJ65562 NJF65545:NJF65562 NTB65545:NTB65562 OCX65545:OCX65562 OMT65545:OMT65562 OWP65545:OWP65562 PGL65545:PGL65562 PQH65545:PQH65562 QAD65545:QAD65562 QJZ65545:QJZ65562 QTV65545:QTV65562 RDR65545:RDR65562 RNN65545:RNN65562 RXJ65545:RXJ65562 SHF65545:SHF65562 SRB65545:SRB65562 TAX65545:TAX65562 TKT65545:TKT65562 TUP65545:TUP65562 UEL65545:UEL65562 UOH65545:UOH65562 UYD65545:UYD65562 VHZ65545:VHZ65562 VRV65545:VRV65562 WBR65545:WBR65562 WLN65545:WLN65562 WVJ65545:WVJ65562 B131081:B131098 IX131081:IX131098 ST131081:ST131098 ACP131081:ACP131098 AML131081:AML131098 AWH131081:AWH131098 BGD131081:BGD131098 BPZ131081:BPZ131098 BZV131081:BZV131098 CJR131081:CJR131098 CTN131081:CTN131098 DDJ131081:DDJ131098 DNF131081:DNF131098 DXB131081:DXB131098 EGX131081:EGX131098 EQT131081:EQT131098 FAP131081:FAP131098 FKL131081:FKL131098 FUH131081:FUH131098 GED131081:GED131098 GNZ131081:GNZ131098 GXV131081:GXV131098 HHR131081:HHR131098 HRN131081:HRN131098 IBJ131081:IBJ131098 ILF131081:ILF131098 IVB131081:IVB131098 JEX131081:JEX131098 JOT131081:JOT131098 JYP131081:JYP131098 KIL131081:KIL131098 KSH131081:KSH131098 LCD131081:LCD131098 LLZ131081:LLZ131098 LVV131081:LVV131098 MFR131081:MFR131098 MPN131081:MPN131098 MZJ131081:MZJ131098 NJF131081:NJF131098 NTB131081:NTB131098 OCX131081:OCX131098 OMT131081:OMT131098 OWP131081:OWP131098 PGL131081:PGL131098 PQH131081:PQH131098 QAD131081:QAD131098 QJZ131081:QJZ131098 QTV131081:QTV131098 RDR131081:RDR131098 RNN131081:RNN131098 RXJ131081:RXJ131098 SHF131081:SHF131098 SRB131081:SRB131098 TAX131081:TAX131098 TKT131081:TKT131098 TUP131081:TUP131098 UEL131081:UEL131098 UOH131081:UOH131098 UYD131081:UYD131098 VHZ131081:VHZ131098 VRV131081:VRV131098 WBR131081:WBR131098 WLN131081:WLN131098 WVJ131081:WVJ131098 B196617:B196634 IX196617:IX196634 ST196617:ST196634 ACP196617:ACP196634 AML196617:AML196634 AWH196617:AWH196634 BGD196617:BGD196634 BPZ196617:BPZ196634 BZV196617:BZV196634 CJR196617:CJR196634 CTN196617:CTN196634 DDJ196617:DDJ196634 DNF196617:DNF196634 DXB196617:DXB196634 EGX196617:EGX196634 EQT196617:EQT196634 FAP196617:FAP196634 FKL196617:FKL196634 FUH196617:FUH196634 GED196617:GED196634 GNZ196617:GNZ196634 GXV196617:GXV196634 HHR196617:HHR196634 HRN196617:HRN196634 IBJ196617:IBJ196634 ILF196617:ILF196634 IVB196617:IVB196634 JEX196617:JEX196634 JOT196617:JOT196634 JYP196617:JYP196634 KIL196617:KIL196634 KSH196617:KSH196634 LCD196617:LCD196634 LLZ196617:LLZ196634 LVV196617:LVV196634 MFR196617:MFR196634 MPN196617:MPN196634 MZJ196617:MZJ196634 NJF196617:NJF196634 NTB196617:NTB196634 OCX196617:OCX196634 OMT196617:OMT196634 OWP196617:OWP196634 PGL196617:PGL196634 PQH196617:PQH196634 QAD196617:QAD196634 QJZ196617:QJZ196634 QTV196617:QTV196634 RDR196617:RDR196634 RNN196617:RNN196634 RXJ196617:RXJ196634 SHF196617:SHF196634 SRB196617:SRB196634 TAX196617:TAX196634 TKT196617:TKT196634 TUP196617:TUP196634 UEL196617:UEL196634 UOH196617:UOH196634 UYD196617:UYD196634 VHZ196617:VHZ196634 VRV196617:VRV196634 WBR196617:WBR196634 WLN196617:WLN196634 WVJ196617:WVJ196634 B262153:B262170 IX262153:IX262170 ST262153:ST262170 ACP262153:ACP262170 AML262153:AML262170 AWH262153:AWH262170 BGD262153:BGD262170 BPZ262153:BPZ262170 BZV262153:BZV262170 CJR262153:CJR262170 CTN262153:CTN262170 DDJ262153:DDJ262170 DNF262153:DNF262170 DXB262153:DXB262170 EGX262153:EGX262170 EQT262153:EQT262170 FAP262153:FAP262170 FKL262153:FKL262170 FUH262153:FUH262170 GED262153:GED262170 GNZ262153:GNZ262170 GXV262153:GXV262170 HHR262153:HHR262170 HRN262153:HRN262170 IBJ262153:IBJ262170 ILF262153:ILF262170 IVB262153:IVB262170 JEX262153:JEX262170 JOT262153:JOT262170 JYP262153:JYP262170 KIL262153:KIL262170 KSH262153:KSH262170 LCD262153:LCD262170 LLZ262153:LLZ262170 LVV262153:LVV262170 MFR262153:MFR262170 MPN262153:MPN262170 MZJ262153:MZJ262170 NJF262153:NJF262170 NTB262153:NTB262170 OCX262153:OCX262170 OMT262153:OMT262170 OWP262153:OWP262170 PGL262153:PGL262170 PQH262153:PQH262170 QAD262153:QAD262170 QJZ262153:QJZ262170 QTV262153:QTV262170 RDR262153:RDR262170 RNN262153:RNN262170 RXJ262153:RXJ262170 SHF262153:SHF262170 SRB262153:SRB262170 TAX262153:TAX262170 TKT262153:TKT262170 TUP262153:TUP262170 UEL262153:UEL262170 UOH262153:UOH262170 UYD262153:UYD262170 VHZ262153:VHZ262170 VRV262153:VRV262170 WBR262153:WBR262170 WLN262153:WLN262170 WVJ262153:WVJ262170 B327689:B327706 IX327689:IX327706 ST327689:ST327706 ACP327689:ACP327706 AML327689:AML327706 AWH327689:AWH327706 BGD327689:BGD327706 BPZ327689:BPZ327706 BZV327689:BZV327706 CJR327689:CJR327706 CTN327689:CTN327706 DDJ327689:DDJ327706 DNF327689:DNF327706 DXB327689:DXB327706 EGX327689:EGX327706 EQT327689:EQT327706 FAP327689:FAP327706 FKL327689:FKL327706 FUH327689:FUH327706 GED327689:GED327706 GNZ327689:GNZ327706 GXV327689:GXV327706 HHR327689:HHR327706 HRN327689:HRN327706 IBJ327689:IBJ327706 ILF327689:ILF327706 IVB327689:IVB327706 JEX327689:JEX327706 JOT327689:JOT327706 JYP327689:JYP327706 KIL327689:KIL327706 KSH327689:KSH327706 LCD327689:LCD327706 LLZ327689:LLZ327706 LVV327689:LVV327706 MFR327689:MFR327706 MPN327689:MPN327706 MZJ327689:MZJ327706 NJF327689:NJF327706 NTB327689:NTB327706 OCX327689:OCX327706 OMT327689:OMT327706 OWP327689:OWP327706 PGL327689:PGL327706 PQH327689:PQH327706 QAD327689:QAD327706 QJZ327689:QJZ327706 QTV327689:QTV327706 RDR327689:RDR327706 RNN327689:RNN327706 RXJ327689:RXJ327706 SHF327689:SHF327706 SRB327689:SRB327706 TAX327689:TAX327706 TKT327689:TKT327706 TUP327689:TUP327706 UEL327689:UEL327706 UOH327689:UOH327706 UYD327689:UYD327706 VHZ327689:VHZ327706 VRV327689:VRV327706 WBR327689:WBR327706 WLN327689:WLN327706 WVJ327689:WVJ327706 B393225:B393242 IX393225:IX393242 ST393225:ST393242 ACP393225:ACP393242 AML393225:AML393242 AWH393225:AWH393242 BGD393225:BGD393242 BPZ393225:BPZ393242 BZV393225:BZV393242 CJR393225:CJR393242 CTN393225:CTN393242 DDJ393225:DDJ393242 DNF393225:DNF393242 DXB393225:DXB393242 EGX393225:EGX393242 EQT393225:EQT393242 FAP393225:FAP393242 FKL393225:FKL393242 FUH393225:FUH393242 GED393225:GED393242 GNZ393225:GNZ393242 GXV393225:GXV393242 HHR393225:HHR393242 HRN393225:HRN393242 IBJ393225:IBJ393242 ILF393225:ILF393242 IVB393225:IVB393242 JEX393225:JEX393242 JOT393225:JOT393242 JYP393225:JYP393242 KIL393225:KIL393242 KSH393225:KSH393242 LCD393225:LCD393242 LLZ393225:LLZ393242 LVV393225:LVV393242 MFR393225:MFR393242 MPN393225:MPN393242 MZJ393225:MZJ393242 NJF393225:NJF393242 NTB393225:NTB393242 OCX393225:OCX393242 OMT393225:OMT393242 OWP393225:OWP393242 PGL393225:PGL393242 PQH393225:PQH393242 QAD393225:QAD393242 QJZ393225:QJZ393242 QTV393225:QTV393242 RDR393225:RDR393242 RNN393225:RNN393242 RXJ393225:RXJ393242 SHF393225:SHF393242 SRB393225:SRB393242 TAX393225:TAX393242 TKT393225:TKT393242 TUP393225:TUP393242 UEL393225:UEL393242 UOH393225:UOH393242 UYD393225:UYD393242 VHZ393225:VHZ393242 VRV393225:VRV393242 WBR393225:WBR393242 WLN393225:WLN393242 WVJ393225:WVJ393242 B458761:B458778 IX458761:IX458778 ST458761:ST458778 ACP458761:ACP458778 AML458761:AML458778 AWH458761:AWH458778 BGD458761:BGD458778 BPZ458761:BPZ458778 BZV458761:BZV458778 CJR458761:CJR458778 CTN458761:CTN458778 DDJ458761:DDJ458778 DNF458761:DNF458778 DXB458761:DXB458778 EGX458761:EGX458778 EQT458761:EQT458778 FAP458761:FAP458778 FKL458761:FKL458778 FUH458761:FUH458778 GED458761:GED458778 GNZ458761:GNZ458778 GXV458761:GXV458778 HHR458761:HHR458778 HRN458761:HRN458778 IBJ458761:IBJ458778 ILF458761:ILF458778 IVB458761:IVB458778 JEX458761:JEX458778 JOT458761:JOT458778 JYP458761:JYP458778 KIL458761:KIL458778 KSH458761:KSH458778 LCD458761:LCD458778 LLZ458761:LLZ458778 LVV458761:LVV458778 MFR458761:MFR458778 MPN458761:MPN458778 MZJ458761:MZJ458778 NJF458761:NJF458778 NTB458761:NTB458778 OCX458761:OCX458778 OMT458761:OMT458778 OWP458761:OWP458778 PGL458761:PGL458778 PQH458761:PQH458778 QAD458761:QAD458778 QJZ458761:QJZ458778 QTV458761:QTV458778 RDR458761:RDR458778 RNN458761:RNN458778 RXJ458761:RXJ458778 SHF458761:SHF458778 SRB458761:SRB458778 TAX458761:TAX458778 TKT458761:TKT458778 TUP458761:TUP458778 UEL458761:UEL458778 UOH458761:UOH458778 UYD458761:UYD458778 VHZ458761:VHZ458778 VRV458761:VRV458778 WBR458761:WBR458778 WLN458761:WLN458778 WVJ458761:WVJ458778 B524297:B524314 IX524297:IX524314 ST524297:ST524314 ACP524297:ACP524314 AML524297:AML524314 AWH524297:AWH524314 BGD524297:BGD524314 BPZ524297:BPZ524314 BZV524297:BZV524314 CJR524297:CJR524314 CTN524297:CTN524314 DDJ524297:DDJ524314 DNF524297:DNF524314 DXB524297:DXB524314 EGX524297:EGX524314 EQT524297:EQT524314 FAP524297:FAP524314 FKL524297:FKL524314 FUH524297:FUH524314 GED524297:GED524314 GNZ524297:GNZ524314 GXV524297:GXV524314 HHR524297:HHR524314 HRN524297:HRN524314 IBJ524297:IBJ524314 ILF524297:ILF524314 IVB524297:IVB524314 JEX524297:JEX524314 JOT524297:JOT524314 JYP524297:JYP524314 KIL524297:KIL524314 KSH524297:KSH524314 LCD524297:LCD524314 LLZ524297:LLZ524314 LVV524297:LVV524314 MFR524297:MFR524314 MPN524297:MPN524314 MZJ524297:MZJ524314 NJF524297:NJF524314 NTB524297:NTB524314 OCX524297:OCX524314 OMT524297:OMT524314 OWP524297:OWP524314 PGL524297:PGL524314 PQH524297:PQH524314 QAD524297:QAD524314 QJZ524297:QJZ524314 QTV524297:QTV524314 RDR524297:RDR524314 RNN524297:RNN524314 RXJ524297:RXJ524314 SHF524297:SHF524314 SRB524297:SRB524314 TAX524297:TAX524314 TKT524297:TKT524314 TUP524297:TUP524314 UEL524297:UEL524314 UOH524297:UOH524314 UYD524297:UYD524314 VHZ524297:VHZ524314 VRV524297:VRV524314 WBR524297:WBR524314 WLN524297:WLN524314 WVJ524297:WVJ524314 B589833:B589850 IX589833:IX589850 ST589833:ST589850 ACP589833:ACP589850 AML589833:AML589850 AWH589833:AWH589850 BGD589833:BGD589850 BPZ589833:BPZ589850 BZV589833:BZV589850 CJR589833:CJR589850 CTN589833:CTN589850 DDJ589833:DDJ589850 DNF589833:DNF589850 DXB589833:DXB589850 EGX589833:EGX589850 EQT589833:EQT589850 FAP589833:FAP589850 FKL589833:FKL589850 FUH589833:FUH589850 GED589833:GED589850 GNZ589833:GNZ589850 GXV589833:GXV589850 HHR589833:HHR589850 HRN589833:HRN589850 IBJ589833:IBJ589850 ILF589833:ILF589850 IVB589833:IVB589850 JEX589833:JEX589850 JOT589833:JOT589850 JYP589833:JYP589850 KIL589833:KIL589850 KSH589833:KSH589850 LCD589833:LCD589850 LLZ589833:LLZ589850 LVV589833:LVV589850 MFR589833:MFR589850 MPN589833:MPN589850 MZJ589833:MZJ589850 NJF589833:NJF589850 NTB589833:NTB589850 OCX589833:OCX589850 OMT589833:OMT589850 OWP589833:OWP589850 PGL589833:PGL589850 PQH589833:PQH589850 QAD589833:QAD589850 QJZ589833:QJZ589850 QTV589833:QTV589850 RDR589833:RDR589850 RNN589833:RNN589850 RXJ589833:RXJ589850 SHF589833:SHF589850 SRB589833:SRB589850 TAX589833:TAX589850 TKT589833:TKT589850 TUP589833:TUP589850 UEL589833:UEL589850 UOH589833:UOH589850 UYD589833:UYD589850 VHZ589833:VHZ589850 VRV589833:VRV589850 WBR589833:WBR589850 WLN589833:WLN589850 WVJ589833:WVJ589850 B655369:B655386 IX655369:IX655386 ST655369:ST655386 ACP655369:ACP655386 AML655369:AML655386 AWH655369:AWH655386 BGD655369:BGD655386 BPZ655369:BPZ655386 BZV655369:BZV655386 CJR655369:CJR655386 CTN655369:CTN655386 DDJ655369:DDJ655386 DNF655369:DNF655386 DXB655369:DXB655386 EGX655369:EGX655386 EQT655369:EQT655386 FAP655369:FAP655386 FKL655369:FKL655386 FUH655369:FUH655386 GED655369:GED655386 GNZ655369:GNZ655386 GXV655369:GXV655386 HHR655369:HHR655386 HRN655369:HRN655386 IBJ655369:IBJ655386 ILF655369:ILF655386 IVB655369:IVB655386 JEX655369:JEX655386 JOT655369:JOT655386 JYP655369:JYP655386 KIL655369:KIL655386 KSH655369:KSH655386 LCD655369:LCD655386 LLZ655369:LLZ655386 LVV655369:LVV655386 MFR655369:MFR655386 MPN655369:MPN655386 MZJ655369:MZJ655386 NJF655369:NJF655386 NTB655369:NTB655386 OCX655369:OCX655386 OMT655369:OMT655386 OWP655369:OWP655386 PGL655369:PGL655386 PQH655369:PQH655386 QAD655369:QAD655386 QJZ655369:QJZ655386 QTV655369:QTV655386 RDR655369:RDR655386 RNN655369:RNN655386 RXJ655369:RXJ655386 SHF655369:SHF655386 SRB655369:SRB655386 TAX655369:TAX655386 TKT655369:TKT655386 TUP655369:TUP655386 UEL655369:UEL655386 UOH655369:UOH655386 UYD655369:UYD655386 VHZ655369:VHZ655386 VRV655369:VRV655386 WBR655369:WBR655386 WLN655369:WLN655386 WVJ655369:WVJ655386 B720905:B720922 IX720905:IX720922 ST720905:ST720922 ACP720905:ACP720922 AML720905:AML720922 AWH720905:AWH720922 BGD720905:BGD720922 BPZ720905:BPZ720922 BZV720905:BZV720922 CJR720905:CJR720922 CTN720905:CTN720922 DDJ720905:DDJ720922 DNF720905:DNF720922 DXB720905:DXB720922 EGX720905:EGX720922 EQT720905:EQT720922 FAP720905:FAP720922 FKL720905:FKL720922 FUH720905:FUH720922 GED720905:GED720922 GNZ720905:GNZ720922 GXV720905:GXV720922 HHR720905:HHR720922 HRN720905:HRN720922 IBJ720905:IBJ720922 ILF720905:ILF720922 IVB720905:IVB720922 JEX720905:JEX720922 JOT720905:JOT720922 JYP720905:JYP720922 KIL720905:KIL720922 KSH720905:KSH720922 LCD720905:LCD720922 LLZ720905:LLZ720922 LVV720905:LVV720922 MFR720905:MFR720922 MPN720905:MPN720922 MZJ720905:MZJ720922 NJF720905:NJF720922 NTB720905:NTB720922 OCX720905:OCX720922 OMT720905:OMT720922 OWP720905:OWP720922 PGL720905:PGL720922 PQH720905:PQH720922 QAD720905:QAD720922 QJZ720905:QJZ720922 QTV720905:QTV720922 RDR720905:RDR720922 RNN720905:RNN720922 RXJ720905:RXJ720922 SHF720905:SHF720922 SRB720905:SRB720922 TAX720905:TAX720922 TKT720905:TKT720922 TUP720905:TUP720922 UEL720905:UEL720922 UOH720905:UOH720922 UYD720905:UYD720922 VHZ720905:VHZ720922 VRV720905:VRV720922 WBR720905:WBR720922 WLN720905:WLN720922 WVJ720905:WVJ720922 B786441:B786458 IX786441:IX786458 ST786441:ST786458 ACP786441:ACP786458 AML786441:AML786458 AWH786441:AWH786458 BGD786441:BGD786458 BPZ786441:BPZ786458 BZV786441:BZV786458 CJR786441:CJR786458 CTN786441:CTN786458 DDJ786441:DDJ786458 DNF786441:DNF786458 DXB786441:DXB786458 EGX786441:EGX786458 EQT786441:EQT786458 FAP786441:FAP786458 FKL786441:FKL786458 FUH786441:FUH786458 GED786441:GED786458 GNZ786441:GNZ786458 GXV786441:GXV786458 HHR786441:HHR786458 HRN786441:HRN786458 IBJ786441:IBJ786458 ILF786441:ILF786458 IVB786441:IVB786458 JEX786441:JEX786458 JOT786441:JOT786458 JYP786441:JYP786458 KIL786441:KIL786458 KSH786441:KSH786458 LCD786441:LCD786458 LLZ786441:LLZ786458 LVV786441:LVV786458 MFR786441:MFR786458 MPN786441:MPN786458 MZJ786441:MZJ786458 NJF786441:NJF786458 NTB786441:NTB786458 OCX786441:OCX786458 OMT786441:OMT786458 OWP786441:OWP786458 PGL786441:PGL786458 PQH786441:PQH786458 QAD786441:QAD786458 QJZ786441:QJZ786458 QTV786441:QTV786458 RDR786441:RDR786458 RNN786441:RNN786458 RXJ786441:RXJ786458 SHF786441:SHF786458 SRB786441:SRB786458 TAX786441:TAX786458 TKT786441:TKT786458 TUP786441:TUP786458 UEL786441:UEL786458 UOH786441:UOH786458 UYD786441:UYD786458 VHZ786441:VHZ786458 VRV786441:VRV786458 WBR786441:WBR786458 WLN786441:WLN786458 WVJ786441:WVJ786458 B851977:B851994 IX851977:IX851994 ST851977:ST851994 ACP851977:ACP851994 AML851977:AML851994 AWH851977:AWH851994 BGD851977:BGD851994 BPZ851977:BPZ851994 BZV851977:BZV851994 CJR851977:CJR851994 CTN851977:CTN851994 DDJ851977:DDJ851994 DNF851977:DNF851994 DXB851977:DXB851994 EGX851977:EGX851994 EQT851977:EQT851994 FAP851977:FAP851994 FKL851977:FKL851994 FUH851977:FUH851994 GED851977:GED851994 GNZ851977:GNZ851994 GXV851977:GXV851994 HHR851977:HHR851994 HRN851977:HRN851994 IBJ851977:IBJ851994 ILF851977:ILF851994 IVB851977:IVB851994 JEX851977:JEX851994 JOT851977:JOT851994 JYP851977:JYP851994 KIL851977:KIL851994 KSH851977:KSH851994 LCD851977:LCD851994 LLZ851977:LLZ851994 LVV851977:LVV851994 MFR851977:MFR851994 MPN851977:MPN851994 MZJ851977:MZJ851994 NJF851977:NJF851994 NTB851977:NTB851994 OCX851977:OCX851994 OMT851977:OMT851994 OWP851977:OWP851994 PGL851977:PGL851994 PQH851977:PQH851994 QAD851977:QAD851994 QJZ851977:QJZ851994 QTV851977:QTV851994 RDR851977:RDR851994 RNN851977:RNN851994 RXJ851977:RXJ851994 SHF851977:SHF851994 SRB851977:SRB851994 TAX851977:TAX851994 TKT851977:TKT851994 TUP851977:TUP851994 UEL851977:UEL851994 UOH851977:UOH851994 UYD851977:UYD851994 VHZ851977:VHZ851994 VRV851977:VRV851994 WBR851977:WBR851994 WLN851977:WLN851994 WVJ851977:WVJ851994 B917513:B917530 IX917513:IX917530 ST917513:ST917530 ACP917513:ACP917530 AML917513:AML917530 AWH917513:AWH917530 BGD917513:BGD917530 BPZ917513:BPZ917530 BZV917513:BZV917530 CJR917513:CJR917530 CTN917513:CTN917530 DDJ917513:DDJ917530 DNF917513:DNF917530 DXB917513:DXB917530 EGX917513:EGX917530 EQT917513:EQT917530 FAP917513:FAP917530 FKL917513:FKL917530 FUH917513:FUH917530 GED917513:GED917530 GNZ917513:GNZ917530 GXV917513:GXV917530 HHR917513:HHR917530 HRN917513:HRN917530 IBJ917513:IBJ917530 ILF917513:ILF917530 IVB917513:IVB917530 JEX917513:JEX917530 JOT917513:JOT917530 JYP917513:JYP917530 KIL917513:KIL917530 KSH917513:KSH917530 LCD917513:LCD917530 LLZ917513:LLZ917530 LVV917513:LVV917530 MFR917513:MFR917530 MPN917513:MPN917530 MZJ917513:MZJ917530 NJF917513:NJF917530 NTB917513:NTB917530 OCX917513:OCX917530 OMT917513:OMT917530 OWP917513:OWP917530 PGL917513:PGL917530 PQH917513:PQH917530 QAD917513:QAD917530 QJZ917513:QJZ917530 QTV917513:QTV917530 RDR917513:RDR917530 RNN917513:RNN917530 RXJ917513:RXJ917530 SHF917513:SHF917530 SRB917513:SRB917530 TAX917513:TAX917530 TKT917513:TKT917530 TUP917513:TUP917530 UEL917513:UEL917530 UOH917513:UOH917530 UYD917513:UYD917530 VHZ917513:VHZ917530 VRV917513:VRV917530 WBR917513:WBR917530 WLN917513:WLN917530 WVJ917513:WVJ917530" xr:uid="{00000000-0002-0000-2300-000000000000}">
      <formula1>trung</formula1>
    </dataValidation>
  </dataValidation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C00000"/>
  </sheetPr>
  <dimension ref="A1:IO394"/>
  <sheetViews>
    <sheetView topLeftCell="A13" workbookViewId="0">
      <selection activeCell="IO18" sqref="IO18"/>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12"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61"/>
      <c r="G3" s="102"/>
      <c r="H3" s="103"/>
    </row>
    <row r="4" spans="1:8" s="98" customFormat="1" ht="18" customHeight="1">
      <c r="A4" s="414"/>
      <c r="B4" s="414"/>
      <c r="C4" s="415" t="s">
        <v>1740</v>
      </c>
      <c r="D4" s="416"/>
      <c r="E4" s="416"/>
      <c r="F4" s="416"/>
      <c r="G4" s="416"/>
      <c r="H4" s="416"/>
    </row>
    <row r="5" spans="1:8" s="98" customFormat="1" ht="15.6">
      <c r="A5" s="104"/>
      <c r="B5" s="104"/>
      <c r="C5" s="160"/>
      <c r="D5" s="105"/>
      <c r="E5" s="106"/>
      <c r="F5" s="160"/>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1932</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2040</v>
      </c>
      <c r="C13" s="425"/>
      <c r="D13" s="425"/>
      <c r="E13" s="425"/>
      <c r="F13" s="425"/>
      <c r="G13" s="73">
        <f>G14+G15</f>
        <v>101952000</v>
      </c>
      <c r="H13" s="74"/>
    </row>
    <row r="14" spans="1:8" s="131" customFormat="1" ht="40.5" customHeight="1">
      <c r="A14" s="123"/>
      <c r="B14" s="124" t="s">
        <v>1757</v>
      </c>
      <c r="C14" s="125" t="s">
        <v>1753</v>
      </c>
      <c r="D14" s="126">
        <v>6.5</v>
      </c>
      <c r="E14" s="127">
        <v>11800000</v>
      </c>
      <c r="F14" s="128">
        <v>1</v>
      </c>
      <c r="G14" s="129">
        <f>D14*E14*F14</f>
        <v>76700000</v>
      </c>
      <c r="H14" s="130"/>
    </row>
    <row r="15" spans="1:8" s="131" customFormat="1" ht="140.4">
      <c r="A15" s="123"/>
      <c r="B15" s="124" t="s">
        <v>2059</v>
      </c>
      <c r="C15" s="125" t="s">
        <v>66</v>
      </c>
      <c r="D15" s="126">
        <f>17.2-D14</f>
        <v>10.7</v>
      </c>
      <c r="E15" s="127">
        <v>11800000</v>
      </c>
      <c r="F15" s="389">
        <v>0.2</v>
      </c>
      <c r="G15" s="129">
        <f>D15*E15*F15</f>
        <v>25252000</v>
      </c>
      <c r="H15" s="130"/>
    </row>
    <row r="16" spans="1:8" ht="27" customHeight="1">
      <c r="A16" s="75" t="s">
        <v>18</v>
      </c>
      <c r="B16" s="426" t="s">
        <v>1725</v>
      </c>
      <c r="C16" s="426"/>
      <c r="D16" s="426"/>
      <c r="E16" s="426"/>
      <c r="F16" s="426"/>
      <c r="G16" s="76">
        <f>SUM(G17:G37)</f>
        <v>68310333.011799991</v>
      </c>
      <c r="H16" s="11"/>
    </row>
    <row r="17" spans="1:249" ht="31.2">
      <c r="A17" s="77">
        <v>1</v>
      </c>
      <c r="B17" s="78" t="s">
        <v>2056</v>
      </c>
      <c r="C17" s="14" t="s">
        <v>66</v>
      </c>
      <c r="D17" s="132">
        <f>(4.4*3.3)*2</f>
        <v>29.04</v>
      </c>
      <c r="E17" s="15">
        <v>1429000</v>
      </c>
      <c r="F17" s="14">
        <v>1</v>
      </c>
      <c r="G17" s="79">
        <f>D17*E17*F17</f>
        <v>41498160</v>
      </c>
      <c r="H17" s="15"/>
      <c r="IO17" s="195">
        <f>SUM(G17:G25)</f>
        <v>59915629.983599998</v>
      </c>
    </row>
    <row r="18" spans="1:249" ht="31.2">
      <c r="A18" s="77">
        <v>2</v>
      </c>
      <c r="B18" s="78" t="s">
        <v>1933</v>
      </c>
      <c r="C18" s="14" t="s">
        <v>66</v>
      </c>
      <c r="D18" s="132">
        <f>2*10.5</f>
        <v>21</v>
      </c>
      <c r="E18" s="15">
        <v>507361</v>
      </c>
      <c r="F18" s="14">
        <v>1</v>
      </c>
      <c r="G18" s="79">
        <f t="shared" ref="G18" si="0">D18*E18*F18</f>
        <v>10654581</v>
      </c>
      <c r="H18" s="15"/>
      <c r="IO18" s="195">
        <f>+IO17*0.05</f>
        <v>2995781.4991800003</v>
      </c>
    </row>
    <row r="19" spans="1:249" ht="31.2">
      <c r="A19" s="77">
        <v>3</v>
      </c>
      <c r="B19" s="78" t="s">
        <v>1934</v>
      </c>
      <c r="C19" s="14" t="s">
        <v>1754</v>
      </c>
      <c r="D19" s="132">
        <f>0.9*1*0.11</f>
        <v>9.9000000000000005E-2</v>
      </c>
      <c r="E19" s="15">
        <v>2126713</v>
      </c>
      <c r="F19" s="14">
        <v>1</v>
      </c>
      <c r="G19" s="79">
        <f t="shared" ref="G19:G21" si="1">D19*E19*F19</f>
        <v>210544.587</v>
      </c>
      <c r="H19" s="15"/>
    </row>
    <row r="20" spans="1:249" ht="31.2">
      <c r="A20" s="77">
        <v>4</v>
      </c>
      <c r="B20" s="78" t="s">
        <v>1794</v>
      </c>
      <c r="C20" s="14" t="s">
        <v>1754</v>
      </c>
      <c r="D20" s="132">
        <f>2.3*2.7*0.22</f>
        <v>1.3662000000000001</v>
      </c>
      <c r="E20" s="15">
        <v>1919493</v>
      </c>
      <c r="F20" s="14">
        <v>1</v>
      </c>
      <c r="G20" s="79">
        <f t="shared" si="1"/>
        <v>2622411.3366</v>
      </c>
      <c r="H20" s="15"/>
    </row>
    <row r="21" spans="1:249" ht="15.6">
      <c r="A21" s="77">
        <v>5</v>
      </c>
      <c r="B21" s="78" t="s">
        <v>1935</v>
      </c>
      <c r="C21" s="14" t="s">
        <v>66</v>
      </c>
      <c r="D21" s="132">
        <f>(1.2*3)+(2.3*1)</f>
        <v>5.8999999999999995</v>
      </c>
      <c r="E21" s="15">
        <v>214934</v>
      </c>
      <c r="F21" s="14">
        <v>1</v>
      </c>
      <c r="G21" s="79">
        <f t="shared" si="1"/>
        <v>1268110.5999999999</v>
      </c>
      <c r="H21" s="15"/>
    </row>
    <row r="22" spans="1:249" ht="15.6">
      <c r="A22" s="77">
        <v>6</v>
      </c>
      <c r="B22" s="78" t="s">
        <v>1936</v>
      </c>
      <c r="C22" s="14" t="s">
        <v>66</v>
      </c>
      <c r="D22" s="132">
        <f>0.3*10.5</f>
        <v>3.15</v>
      </c>
      <c r="E22" s="15">
        <v>214934</v>
      </c>
      <c r="F22" s="14">
        <v>1</v>
      </c>
      <c r="G22" s="79">
        <f>D22*E22*F22</f>
        <v>677042.1</v>
      </c>
      <c r="H22" s="15"/>
    </row>
    <row r="23" spans="1:249" ht="15.6">
      <c r="A23" s="77">
        <v>7</v>
      </c>
      <c r="B23" s="78" t="s">
        <v>1937</v>
      </c>
      <c r="C23" s="14" t="s">
        <v>1754</v>
      </c>
      <c r="D23" s="132">
        <f>10.3*1*0.15</f>
        <v>1.5450000000000002</v>
      </c>
      <c r="E23" s="15">
        <v>1629758</v>
      </c>
      <c r="F23" s="14">
        <v>1</v>
      </c>
      <c r="G23" s="79">
        <f>D23*E23*F23</f>
        <v>2517976.1100000003</v>
      </c>
      <c r="H23" s="15"/>
    </row>
    <row r="24" spans="1:249" ht="46.8">
      <c r="A24" s="77">
        <v>8</v>
      </c>
      <c r="B24" s="78" t="s">
        <v>2041</v>
      </c>
      <c r="C24" s="14" t="s">
        <v>1755</v>
      </c>
      <c r="D24" s="132">
        <f>(19.61/6)*3.3</f>
        <v>10.785499999999999</v>
      </c>
      <c r="E24" s="15">
        <v>19900</v>
      </c>
      <c r="F24" s="14">
        <v>1</v>
      </c>
      <c r="G24" s="79">
        <f t="shared" ref="G24:G25" si="2">D24*E24*F24</f>
        <v>214631.44999999998</v>
      </c>
      <c r="H24" s="446"/>
    </row>
    <row r="25" spans="1:249" ht="15.6">
      <c r="A25" s="77">
        <v>9</v>
      </c>
      <c r="B25" s="78" t="s">
        <v>1938</v>
      </c>
      <c r="C25" s="14" t="s">
        <v>1755</v>
      </c>
      <c r="D25" s="132">
        <f>(23.04/6)*3.3</f>
        <v>12.671999999999999</v>
      </c>
      <c r="E25" s="15">
        <v>19900</v>
      </c>
      <c r="F25" s="14">
        <v>1</v>
      </c>
      <c r="G25" s="79">
        <f t="shared" si="2"/>
        <v>252172.79999999999</v>
      </c>
      <c r="H25" s="447"/>
    </row>
    <row r="26" spans="1:249" ht="37.5" customHeight="1">
      <c r="A26" s="75"/>
      <c r="B26" s="433" t="s">
        <v>2037</v>
      </c>
      <c r="C26" s="434"/>
      <c r="D26" s="434"/>
      <c r="E26" s="434"/>
      <c r="F26" s="435"/>
      <c r="G26" s="76"/>
      <c r="H26" s="11"/>
    </row>
    <row r="27" spans="1:249" ht="31.2">
      <c r="A27" s="77">
        <v>10</v>
      </c>
      <c r="B27" s="78" t="s">
        <v>1939</v>
      </c>
      <c r="C27" s="14" t="s">
        <v>1754</v>
      </c>
      <c r="D27" s="132">
        <f>(0.5*0.5*2.5)*2</f>
        <v>1.25</v>
      </c>
      <c r="E27" s="15">
        <v>2623803</v>
      </c>
      <c r="F27" s="187">
        <v>0.2</v>
      </c>
      <c r="G27" s="79">
        <f t="shared" ref="G27:G28" si="3">D27*E27*F27</f>
        <v>655950.75</v>
      </c>
      <c r="H27" s="446" t="s">
        <v>1985</v>
      </c>
    </row>
    <row r="28" spans="1:249" s="194" customFormat="1" ht="15.6">
      <c r="A28" s="191">
        <v>11</v>
      </c>
      <c r="B28" s="192" t="s">
        <v>1940</v>
      </c>
      <c r="C28" s="137" t="s">
        <v>66</v>
      </c>
      <c r="D28" s="190">
        <f>(2*2.5)*2</f>
        <v>10</v>
      </c>
      <c r="E28" s="181">
        <v>847560</v>
      </c>
      <c r="F28" s="182">
        <v>0.2</v>
      </c>
      <c r="G28" s="193">
        <f t="shared" si="3"/>
        <v>1695120</v>
      </c>
      <c r="H28" s="451"/>
    </row>
    <row r="29" spans="1:249" ht="31.2">
      <c r="A29" s="77">
        <v>12</v>
      </c>
      <c r="B29" s="78" t="s">
        <v>1941</v>
      </c>
      <c r="C29" s="14" t="s">
        <v>1754</v>
      </c>
      <c r="D29" s="132">
        <f>0.22*0.22*1.9*5</f>
        <v>0.45979999999999993</v>
      </c>
      <c r="E29" s="15">
        <v>2623803</v>
      </c>
      <c r="F29" s="187">
        <v>0.2</v>
      </c>
      <c r="G29" s="79">
        <f t="shared" ref="G29:G31" si="4">D29*E29*F29</f>
        <v>241284.92387999996</v>
      </c>
      <c r="H29" s="451"/>
    </row>
    <row r="30" spans="1:249" ht="30.6" customHeight="1">
      <c r="A30" s="77"/>
      <c r="B30" s="78" t="s">
        <v>1987</v>
      </c>
      <c r="C30" s="14" t="s">
        <v>66</v>
      </c>
      <c r="D30" s="132">
        <f>0.22*1.9*4*5</f>
        <v>8.36</v>
      </c>
      <c r="E30" s="15">
        <v>250492</v>
      </c>
      <c r="F30" s="187">
        <v>0.2</v>
      </c>
      <c r="G30" s="79">
        <f t="shared" si="4"/>
        <v>418822.62400000001</v>
      </c>
      <c r="H30" s="451"/>
    </row>
    <row r="31" spans="1:249" ht="46.8">
      <c r="A31" s="77">
        <v>13</v>
      </c>
      <c r="B31" s="78" t="s">
        <v>1942</v>
      </c>
      <c r="C31" s="14" t="s">
        <v>1755</v>
      </c>
      <c r="D31" s="132">
        <f>(7.6/6)*((16*0.9)+(2.7*2))*3</f>
        <v>75.239999999999995</v>
      </c>
      <c r="E31" s="15">
        <v>145000</v>
      </c>
      <c r="F31" s="187">
        <v>0.2</v>
      </c>
      <c r="G31" s="79">
        <f t="shared" si="4"/>
        <v>2181960</v>
      </c>
      <c r="H31" s="451"/>
    </row>
    <row r="32" spans="1:249" ht="15.6">
      <c r="A32" s="77">
        <v>14</v>
      </c>
      <c r="B32" s="78" t="s">
        <v>1943</v>
      </c>
      <c r="C32" s="14"/>
      <c r="D32" s="132"/>
      <c r="E32" s="15"/>
      <c r="F32" s="187"/>
      <c r="G32" s="79"/>
      <c r="H32" s="451"/>
    </row>
    <row r="33" spans="1:8" ht="31.2">
      <c r="A33" s="77">
        <v>15</v>
      </c>
      <c r="B33" s="78" t="s">
        <v>1944</v>
      </c>
      <c r="C33" s="14" t="s">
        <v>1755</v>
      </c>
      <c r="D33" s="132">
        <f>(7.6/6)*(7*2.3+5*1.2)*2</f>
        <v>55.986666666666657</v>
      </c>
      <c r="E33" s="15">
        <v>145000</v>
      </c>
      <c r="F33" s="187">
        <v>0.2</v>
      </c>
      <c r="G33" s="79">
        <f t="shared" ref="G33" si="5">D33*E33*F33</f>
        <v>1623613.333333333</v>
      </c>
      <c r="H33" s="451"/>
    </row>
    <row r="34" spans="1:8" ht="31.2">
      <c r="A34" s="77">
        <v>16</v>
      </c>
      <c r="B34" s="78" t="s">
        <v>1945</v>
      </c>
      <c r="C34" s="14" t="s">
        <v>1755</v>
      </c>
      <c r="D34" s="132">
        <f>(15.59/6)*(1*1.2+2*2.5)*2</f>
        <v>32.219333333333331</v>
      </c>
      <c r="E34" s="15">
        <v>145000</v>
      </c>
      <c r="F34" s="187">
        <v>0.2</v>
      </c>
      <c r="G34" s="79">
        <f t="shared" ref="G34:G37" si="6">D34*E34*F34</f>
        <v>934360.66666666663</v>
      </c>
      <c r="H34" s="451"/>
    </row>
    <row r="35" spans="1:8" ht="31.2">
      <c r="A35" s="77">
        <v>17</v>
      </c>
      <c r="B35" s="78" t="s">
        <v>1946</v>
      </c>
      <c r="C35" s="14" t="s">
        <v>1754</v>
      </c>
      <c r="D35" s="132">
        <f>0.9*6.8*0.11</f>
        <v>0.67320000000000002</v>
      </c>
      <c r="E35" s="15">
        <v>2126713</v>
      </c>
      <c r="F35" s="187">
        <v>0.2</v>
      </c>
      <c r="G35" s="79">
        <f t="shared" si="6"/>
        <v>286340.63832000003</v>
      </c>
      <c r="H35" s="451"/>
    </row>
    <row r="36" spans="1:8" s="179" customFormat="1" ht="15.6">
      <c r="A36" s="77"/>
      <c r="B36" s="78" t="s">
        <v>1986</v>
      </c>
      <c r="C36" s="14" t="s">
        <v>66</v>
      </c>
      <c r="D36" s="132">
        <f>0.9*6.8*2</f>
        <v>12.24</v>
      </c>
      <c r="E36" s="15">
        <f>(141099+105359)/2</f>
        <v>123229</v>
      </c>
      <c r="F36" s="187">
        <v>0.2</v>
      </c>
      <c r="G36" s="79">
        <f t="shared" si="6"/>
        <v>301664.592</v>
      </c>
      <c r="H36" s="451"/>
    </row>
    <row r="37" spans="1:8" ht="15.6">
      <c r="A37" s="77">
        <v>18</v>
      </c>
      <c r="B37" s="78" t="s">
        <v>1947</v>
      </c>
      <c r="C37" s="14" t="s">
        <v>66</v>
      </c>
      <c r="D37" s="132">
        <v>1.5</v>
      </c>
      <c r="E37" s="15">
        <v>185285</v>
      </c>
      <c r="F37" s="187">
        <v>0.2</v>
      </c>
      <c r="G37" s="79">
        <f t="shared" si="6"/>
        <v>55585.5</v>
      </c>
      <c r="H37" s="447"/>
    </row>
    <row r="38" spans="1:8" ht="24" customHeight="1">
      <c r="A38" s="75" t="s">
        <v>19</v>
      </c>
      <c r="B38" s="426" t="s">
        <v>1727</v>
      </c>
      <c r="C38" s="426"/>
      <c r="D38" s="426"/>
      <c r="E38" s="426"/>
      <c r="F38" s="426"/>
      <c r="G38" s="76">
        <f>SUM(G39:G39)</f>
        <v>585000</v>
      </c>
      <c r="H38" s="11"/>
    </row>
    <row r="39" spans="1:8" s="12" customFormat="1" ht="31.2">
      <c r="A39" s="94">
        <v>1</v>
      </c>
      <c r="B39" s="154" t="s">
        <v>818</v>
      </c>
      <c r="C39" s="14" t="s">
        <v>1724</v>
      </c>
      <c r="D39" s="14">
        <v>1</v>
      </c>
      <c r="E39" s="79" t="str">
        <f>VLOOKUP(B39,'[20]Đơn giá cây cối'!$A$2:$C$1361,3,0)</f>
        <v>585.000</v>
      </c>
      <c r="F39" s="137">
        <v>1</v>
      </c>
      <c r="G39" s="79">
        <f>D39*E39*F39</f>
        <v>585000</v>
      </c>
      <c r="H39" s="95"/>
    </row>
    <row r="40" spans="1:8" ht="15.6">
      <c r="A40" s="80"/>
      <c r="B40" s="427" t="s">
        <v>62</v>
      </c>
      <c r="C40" s="428"/>
      <c r="D40" s="428"/>
      <c r="E40" s="428"/>
      <c r="F40" s="429"/>
      <c r="G40" s="81">
        <f>G13+G16+G38</f>
        <v>170847333.01179999</v>
      </c>
      <c r="H40" s="82"/>
    </row>
    <row r="41" spans="1:8" ht="15.6">
      <c r="A41" s="80"/>
      <c r="B41" s="427" t="s">
        <v>1726</v>
      </c>
      <c r="C41" s="428"/>
      <c r="D41" s="428"/>
      <c r="E41" s="428"/>
      <c r="F41" s="429"/>
      <c r="G41" s="81">
        <f>ROUND(G40,-3)</f>
        <v>170847000</v>
      </c>
      <c r="H41" s="82"/>
    </row>
    <row r="42" spans="1:8" ht="15.6">
      <c r="A42" s="450" t="str">
        <f>[18]!uni(G41)</f>
        <v xml:space="preserve">Một trăm bảy mươi triệu tám trăm bốn mươi bảy nghìn đồng </v>
      </c>
      <c r="B42" s="431"/>
      <c r="C42" s="431"/>
      <c r="D42" s="431"/>
      <c r="E42" s="431"/>
      <c r="F42" s="431"/>
      <c r="G42" s="431"/>
      <c r="H42" s="432"/>
    </row>
    <row r="43" spans="1:8">
      <c r="A43" s="17"/>
      <c r="B43" s="17"/>
      <c r="C43" s="97"/>
      <c r="D43" s="20"/>
      <c r="E43" s="19"/>
      <c r="F43" s="97"/>
      <c r="G43" s="19"/>
      <c r="H43" s="17"/>
    </row>
    <row r="44" spans="1:8" s="109" customFormat="1" ht="16.5" customHeight="1">
      <c r="A44" s="108"/>
      <c r="B44" s="108"/>
      <c r="C44" s="424" t="s">
        <v>1742</v>
      </c>
      <c r="D44" s="424"/>
      <c r="E44" s="424"/>
      <c r="F44" s="424"/>
      <c r="G44" s="424"/>
      <c r="H44" s="424"/>
    </row>
    <row r="45" spans="1:8" s="109" customFormat="1" ht="16.5" customHeight="1">
      <c r="A45" s="423" t="s">
        <v>63</v>
      </c>
      <c r="B45" s="423"/>
      <c r="C45" s="424" t="s">
        <v>1743</v>
      </c>
      <c r="D45" s="424"/>
      <c r="E45" s="424"/>
      <c r="F45" s="424" t="s">
        <v>1744</v>
      </c>
      <c r="G45" s="424"/>
      <c r="H45" s="424"/>
    </row>
    <row r="46" spans="1:8" s="109" customFormat="1" ht="15.6">
      <c r="A46" s="108"/>
      <c r="B46" s="108"/>
      <c r="C46" s="108"/>
      <c r="D46" s="110"/>
      <c r="E46" s="111"/>
      <c r="F46" s="112"/>
      <c r="G46" s="111"/>
      <c r="H46" s="113"/>
    </row>
    <row r="47" spans="1:8" s="109" customFormat="1" ht="15.6">
      <c r="A47" s="108"/>
      <c r="B47" s="108"/>
      <c r="C47" s="108"/>
      <c r="D47" s="110"/>
      <c r="E47" s="111"/>
      <c r="F47" s="112"/>
      <c r="G47" s="114"/>
      <c r="H47" s="113"/>
    </row>
    <row r="48" spans="1:8" s="109" customFormat="1" ht="15.6">
      <c r="A48" s="108"/>
      <c r="B48" s="108"/>
      <c r="C48" s="108"/>
      <c r="D48" s="110"/>
      <c r="E48" s="111"/>
      <c r="F48" s="112"/>
      <c r="G48" s="111"/>
      <c r="H48" s="113"/>
    </row>
    <row r="49" spans="1:8" s="109" customFormat="1" ht="15.6">
      <c r="A49" s="108"/>
      <c r="B49" s="108"/>
      <c r="C49" s="108"/>
      <c r="D49" s="110"/>
      <c r="E49" s="111"/>
      <c r="F49" s="112"/>
      <c r="G49" s="111"/>
      <c r="H49" s="113"/>
    </row>
    <row r="50" spans="1:8" s="109" customFormat="1" ht="15.6">
      <c r="A50" s="108"/>
      <c r="B50" s="108"/>
      <c r="C50" s="108"/>
      <c r="D50" s="110"/>
      <c r="E50" s="111"/>
      <c r="F50" s="112"/>
      <c r="G50" s="111"/>
      <c r="H50" s="113"/>
    </row>
    <row r="51" spans="1:8" s="109" customFormat="1" ht="16.5" customHeight="1">
      <c r="A51" s="108"/>
      <c r="B51" s="162" t="s">
        <v>64</v>
      </c>
      <c r="C51" s="424"/>
      <c r="D51" s="424"/>
      <c r="E51" s="424"/>
      <c r="F51" s="424" t="s">
        <v>1745</v>
      </c>
      <c r="G51" s="424"/>
      <c r="H51" s="424"/>
    </row>
    <row r="52" spans="1:8" s="109" customFormat="1" ht="15.6">
      <c r="A52" s="108"/>
      <c r="B52" s="162"/>
      <c r="C52" s="159"/>
      <c r="D52" s="159"/>
      <c r="E52" s="159"/>
      <c r="F52" s="159"/>
      <c r="G52" s="159"/>
      <c r="H52" s="159"/>
    </row>
    <row r="53" spans="1:8" s="109" customFormat="1" ht="15" customHeight="1">
      <c r="A53" s="424" t="s">
        <v>1746</v>
      </c>
      <c r="B53" s="424"/>
      <c r="C53" s="424"/>
      <c r="D53" s="424"/>
      <c r="E53" s="424" t="s">
        <v>1747</v>
      </c>
      <c r="F53" s="424"/>
      <c r="G53" s="424"/>
      <c r="H53" s="424"/>
    </row>
    <row r="54" spans="1:8" s="109" customFormat="1" ht="33.6" customHeight="1">
      <c r="A54" s="424" t="s">
        <v>1748</v>
      </c>
      <c r="B54" s="424"/>
      <c r="C54" s="424"/>
      <c r="D54" s="424"/>
      <c r="E54" s="424" t="s">
        <v>65</v>
      </c>
      <c r="F54" s="424"/>
      <c r="G54" s="424"/>
      <c r="H54" s="424"/>
    </row>
    <row r="55" spans="1:8" s="109" customFormat="1" ht="15.6">
      <c r="A55" s="108"/>
      <c r="B55" s="108"/>
      <c r="C55" s="108"/>
      <c r="D55" s="110"/>
      <c r="E55" s="111"/>
      <c r="F55" s="112"/>
      <c r="G55" s="111"/>
      <c r="H55" s="113"/>
    </row>
    <row r="56" spans="1:8" s="109" customFormat="1" ht="15.6">
      <c r="A56" s="108"/>
      <c r="B56" s="108"/>
      <c r="C56" s="108"/>
      <c r="D56" s="110"/>
      <c r="E56" s="111"/>
      <c r="F56" s="112"/>
      <c r="G56" s="111"/>
      <c r="H56" s="113"/>
    </row>
    <row r="57" spans="1:8" s="109" customFormat="1" ht="15.6">
      <c r="A57" s="108"/>
      <c r="B57" s="108"/>
      <c r="C57" s="108"/>
      <c r="D57" s="110"/>
      <c r="E57" s="111"/>
      <c r="F57" s="112"/>
      <c r="G57" s="111"/>
      <c r="H57" s="113"/>
    </row>
    <row r="58" spans="1:8" s="109" customFormat="1" ht="15.6">
      <c r="A58" s="108"/>
      <c r="B58" s="108"/>
      <c r="C58" s="108"/>
      <c r="D58" s="110"/>
      <c r="E58" s="111"/>
      <c r="F58" s="112"/>
      <c r="G58" s="111"/>
      <c r="H58" s="113"/>
    </row>
    <row r="59" spans="1:8" s="109" customFormat="1" ht="15.6">
      <c r="A59" s="108"/>
      <c r="B59" s="108"/>
      <c r="C59" s="108"/>
      <c r="D59" s="110"/>
      <c r="E59" s="111"/>
      <c r="F59" s="112"/>
      <c r="G59" s="111"/>
      <c r="H59" s="113"/>
    </row>
    <row r="60" spans="1:8" s="109" customFormat="1" ht="15.6" customHeight="1">
      <c r="A60" s="108"/>
      <c r="B60" s="108"/>
      <c r="C60" s="108"/>
      <c r="D60" s="115"/>
      <c r="E60" s="439" t="s">
        <v>1749</v>
      </c>
      <c r="F60" s="439"/>
      <c r="G60" s="439"/>
      <c r="H60" s="439"/>
    </row>
    <row r="61" spans="1:8" s="109" customFormat="1" ht="16.5" customHeight="1">
      <c r="A61" s="424" t="s">
        <v>1751</v>
      </c>
      <c r="B61" s="424"/>
      <c r="C61" s="424"/>
      <c r="D61" s="424"/>
      <c r="E61" s="424" t="s">
        <v>1750</v>
      </c>
      <c r="F61" s="424"/>
      <c r="G61" s="424"/>
      <c r="H61" s="424"/>
    </row>
    <row r="62" spans="1:8" s="118" customFormat="1" ht="16.2" customHeight="1">
      <c r="A62" s="440"/>
      <c r="B62" s="440"/>
      <c r="C62" s="116"/>
      <c r="D62" s="117"/>
      <c r="E62" s="440"/>
      <c r="F62" s="440"/>
      <c r="G62" s="440"/>
      <c r="H62" s="440"/>
    </row>
    <row r="63" spans="1:8" s="118" customFormat="1" ht="15.75" customHeight="1">
      <c r="A63" s="440"/>
      <c r="B63" s="440"/>
      <c r="C63" s="440"/>
      <c r="D63" s="440"/>
      <c r="E63" s="440"/>
      <c r="F63" s="440"/>
      <c r="G63" s="440"/>
      <c r="H63" s="440"/>
    </row>
    <row r="64" spans="1:8" s="98" customFormat="1" ht="16.2" customHeight="1">
      <c r="A64" s="436"/>
      <c r="B64" s="436"/>
      <c r="C64" s="436"/>
      <c r="D64" s="436"/>
      <c r="E64" s="119"/>
      <c r="F64" s="120"/>
      <c r="G64" s="119"/>
      <c r="H64" s="121"/>
    </row>
    <row r="65" spans="1:8" s="98" customFormat="1" ht="16.2" customHeight="1">
      <c r="A65" s="436"/>
      <c r="B65" s="436"/>
      <c r="C65" s="436"/>
      <c r="D65" s="436"/>
      <c r="E65" s="119"/>
      <c r="F65" s="120"/>
      <c r="G65" s="119"/>
      <c r="H65" s="121"/>
    </row>
    <row r="66" spans="1:8" s="98" customFormat="1" ht="16.2" customHeight="1">
      <c r="A66" s="121"/>
      <c r="B66" s="121"/>
      <c r="C66" s="121"/>
      <c r="D66" s="122"/>
      <c r="E66" s="119"/>
      <c r="F66" s="120"/>
      <c r="G66" s="119"/>
      <c r="H66" s="121"/>
    </row>
    <row r="67" spans="1:8" ht="16.2" customHeight="1">
      <c r="A67" s="83"/>
      <c r="B67" s="83"/>
      <c r="C67" s="83"/>
      <c r="D67" s="84"/>
      <c r="E67" s="85"/>
      <c r="F67" s="86"/>
      <c r="G67" s="85"/>
      <c r="H67" s="83"/>
    </row>
    <row r="68" spans="1:8" ht="16.2" customHeight="1">
      <c r="A68" s="83"/>
      <c r="B68" s="83"/>
      <c r="C68" s="83"/>
      <c r="D68" s="84"/>
      <c r="E68" s="85"/>
      <c r="F68" s="86"/>
      <c r="G68" s="85"/>
      <c r="H68" s="83"/>
    </row>
    <row r="69" spans="1:8" ht="16.2" customHeight="1">
      <c r="A69" s="83"/>
      <c r="B69" s="83"/>
      <c r="C69" s="83"/>
      <c r="D69" s="84"/>
      <c r="E69" s="85"/>
      <c r="F69" s="86"/>
      <c r="G69" s="85"/>
      <c r="H69" s="83"/>
    </row>
    <row r="70" spans="1:8" ht="16.2" customHeight="1">
      <c r="A70" s="83"/>
      <c r="B70" s="83"/>
      <c r="C70" s="83"/>
      <c r="D70" s="84"/>
      <c r="E70" s="437"/>
      <c r="F70" s="437"/>
      <c r="G70" s="437"/>
      <c r="H70" s="437"/>
    </row>
    <row r="71" spans="1:8" ht="20.25" customHeight="1">
      <c r="A71" s="438"/>
      <c r="B71" s="438"/>
      <c r="C71" s="438"/>
      <c r="D71" s="438"/>
      <c r="E71" s="438"/>
      <c r="F71" s="438"/>
      <c r="G71" s="438"/>
      <c r="H71" s="438"/>
    </row>
    <row r="72" spans="1:8" s="17" customFormat="1" ht="16.2" customHeight="1">
      <c r="D72" s="18"/>
      <c r="E72" s="19"/>
      <c r="F72" s="97"/>
      <c r="G72" s="19"/>
    </row>
    <row r="73" spans="1:8" s="17" customFormat="1" ht="16.2" customHeight="1">
      <c r="D73" s="18"/>
      <c r="E73" s="19"/>
      <c r="F73" s="97"/>
      <c r="G73" s="19"/>
    </row>
    <row r="74" spans="1:8" s="17" customFormat="1" ht="16.2" customHeight="1">
      <c r="D74" s="18"/>
      <c r="E74" s="19"/>
      <c r="F74" s="97"/>
      <c r="G74" s="19"/>
    </row>
    <row r="75" spans="1:8" s="17" customFormat="1" ht="16.2" customHeight="1">
      <c r="D75" s="18"/>
      <c r="E75" s="19"/>
      <c r="F75" s="97"/>
      <c r="G75" s="19"/>
    </row>
    <row r="76" spans="1:8" s="17" customFormat="1" ht="16.2" customHeight="1">
      <c r="D76" s="18"/>
      <c r="E76" s="19"/>
      <c r="F76" s="97"/>
      <c r="G76" s="19"/>
    </row>
    <row r="77" spans="1:8" s="17" customFormat="1" ht="16.2" customHeight="1">
      <c r="D77" s="18"/>
      <c r="E77" s="19"/>
      <c r="F77" s="97"/>
      <c r="G77" s="19"/>
    </row>
    <row r="78" spans="1:8" s="17" customFormat="1" ht="16.2" customHeight="1">
      <c r="D78" s="18"/>
      <c r="E78" s="19"/>
      <c r="F78" s="97"/>
      <c r="G78" s="19"/>
    </row>
    <row r="79" spans="1:8" s="17" customFormat="1" ht="16.2" customHeight="1">
      <c r="D79" s="18"/>
      <c r="E79" s="19"/>
      <c r="F79" s="97"/>
      <c r="G79" s="19"/>
    </row>
    <row r="80" spans="1:8" s="17" customFormat="1" ht="16.2" customHeight="1">
      <c r="D80" s="18"/>
      <c r="E80" s="19"/>
      <c r="F80" s="97"/>
      <c r="G80" s="19"/>
    </row>
    <row r="81" spans="3:7" s="17" customFormat="1" ht="16.2" customHeight="1">
      <c r="D81" s="18"/>
      <c r="E81" s="19"/>
      <c r="F81" s="97"/>
      <c r="G81" s="19"/>
    </row>
    <row r="82" spans="3:7" s="17" customFormat="1" ht="16.2" customHeight="1">
      <c r="D82" s="18"/>
      <c r="E82" s="19"/>
      <c r="F82" s="97"/>
      <c r="G82" s="19"/>
    </row>
    <row r="83" spans="3:7" s="17" customFormat="1" ht="16.2" customHeight="1">
      <c r="D83" s="18"/>
      <c r="E83" s="19"/>
      <c r="F83" s="97"/>
      <c r="G83" s="19"/>
    </row>
    <row r="84" spans="3:7" s="17" customFormat="1" ht="16.2" customHeight="1">
      <c r="D84" s="18"/>
      <c r="E84" s="19"/>
      <c r="F84" s="97"/>
      <c r="G84" s="19"/>
    </row>
    <row r="85" spans="3:7" s="17" customFormat="1" ht="16.2" customHeight="1">
      <c r="D85" s="18"/>
      <c r="E85" s="19"/>
      <c r="F85" s="97"/>
      <c r="G85" s="19"/>
    </row>
    <row r="86" spans="3:7" s="17" customFormat="1" ht="16.2" customHeight="1">
      <c r="D86" s="18"/>
      <c r="E86" s="19"/>
      <c r="F86" s="97"/>
      <c r="G86" s="19"/>
    </row>
    <row r="87" spans="3:7" s="17" customFormat="1" ht="16.2" customHeight="1">
      <c r="D87" s="18"/>
      <c r="E87" s="19"/>
      <c r="F87" s="97"/>
      <c r="G87" s="19"/>
    </row>
    <row r="88" spans="3:7" s="17" customFormat="1" ht="16.2" customHeight="1">
      <c r="C88" s="97"/>
      <c r="D88" s="20"/>
      <c r="E88" s="19"/>
      <c r="F88" s="97"/>
      <c r="G88" s="19"/>
    </row>
    <row r="89" spans="3:7" s="17" customFormat="1" ht="16.2" customHeight="1">
      <c r="C89" s="97"/>
      <c r="D89" s="20"/>
      <c r="E89" s="19"/>
      <c r="F89" s="97"/>
      <c r="G89" s="19"/>
    </row>
    <row r="90" spans="3:7" s="17" customFormat="1" ht="16.2" customHeight="1">
      <c r="C90" s="97"/>
      <c r="D90" s="20"/>
      <c r="E90" s="19"/>
      <c r="F90" s="97"/>
      <c r="G90" s="19"/>
    </row>
    <row r="91" spans="3:7" s="17" customFormat="1" ht="16.2" customHeight="1">
      <c r="C91" s="97"/>
      <c r="D91" s="20"/>
      <c r="E91" s="19"/>
      <c r="F91" s="97"/>
      <c r="G91" s="19"/>
    </row>
    <row r="92" spans="3:7" s="17" customFormat="1" ht="16.2" customHeight="1">
      <c r="C92" s="97"/>
      <c r="D92" s="20"/>
      <c r="E92" s="19"/>
      <c r="F92" s="97"/>
      <c r="G92" s="19"/>
    </row>
    <row r="93" spans="3:7" s="17" customFormat="1" ht="16.2" customHeight="1">
      <c r="C93" s="97"/>
      <c r="D93" s="20"/>
      <c r="E93" s="19"/>
      <c r="F93" s="97"/>
      <c r="G93" s="19"/>
    </row>
    <row r="94" spans="3:7" s="17" customFormat="1" ht="16.2" customHeight="1">
      <c r="C94" s="97"/>
      <c r="D94" s="20"/>
      <c r="E94" s="19"/>
      <c r="F94" s="97"/>
      <c r="G94" s="19"/>
    </row>
    <row r="95" spans="3:7" s="17" customFormat="1" ht="16.2" customHeight="1">
      <c r="C95" s="97"/>
      <c r="D95" s="20"/>
      <c r="E95" s="19"/>
      <c r="F95" s="97"/>
      <c r="G95" s="19"/>
    </row>
    <row r="96" spans="3:7" s="17" customFormat="1" ht="16.2" customHeight="1">
      <c r="C96" s="97"/>
      <c r="D96" s="20"/>
      <c r="E96" s="19"/>
      <c r="F96" s="97"/>
      <c r="G96" s="19"/>
    </row>
    <row r="97" spans="3:7" s="17" customFormat="1" ht="16.2" customHeight="1">
      <c r="C97" s="97"/>
      <c r="D97" s="20"/>
      <c r="E97" s="19"/>
      <c r="F97" s="97"/>
      <c r="G97" s="19"/>
    </row>
    <row r="98" spans="3:7" s="17" customFormat="1" ht="16.2" customHeight="1">
      <c r="C98" s="97"/>
      <c r="D98" s="20"/>
      <c r="E98" s="19"/>
      <c r="F98" s="97"/>
      <c r="G98" s="19"/>
    </row>
    <row r="99" spans="3:7" s="17" customFormat="1" ht="16.2" customHeight="1">
      <c r="C99" s="97"/>
      <c r="D99" s="20"/>
      <c r="E99" s="19"/>
      <c r="F99" s="97"/>
      <c r="G99" s="19"/>
    </row>
    <row r="100" spans="3:7" ht="16.2" customHeight="1"/>
    <row r="101" spans="3:7" ht="16.2" customHeight="1"/>
    <row r="102" spans="3:7" ht="16.2" customHeight="1"/>
    <row r="103" spans="3:7" ht="16.2" customHeight="1"/>
    <row r="104" spans="3:7" ht="16.2" customHeight="1"/>
    <row r="105" spans="3:7" ht="16.2" customHeight="1"/>
    <row r="106" spans="3:7" ht="16.2" customHeight="1"/>
    <row r="107" spans="3:7" ht="16.2" customHeight="1"/>
    <row r="108" spans="3:7" ht="16.2" customHeight="1"/>
    <row r="109" spans="3:7" ht="16.2" customHeight="1"/>
    <row r="110" spans="3:7" ht="16.2" customHeight="1"/>
    <row r="111" spans="3:7" ht="16.2" customHeight="1"/>
    <row r="112" spans="3:7"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ht="16.2" customHeight="1"/>
    <row r="235" ht="16.2" customHeight="1"/>
    <row r="236" ht="16.2" customHeight="1"/>
    <row r="237" ht="16.2" customHeight="1"/>
    <row r="238" ht="16.2" customHeight="1"/>
    <row r="239" ht="16.2" customHeight="1"/>
    <row r="240" ht="16.2" customHeight="1"/>
    <row r="241" ht="16.2" customHeight="1"/>
    <row r="242" ht="16.2" customHeight="1"/>
    <row r="243" ht="16.2" customHeight="1"/>
    <row r="244" ht="16.2" customHeight="1"/>
    <row r="245" ht="16.2" customHeight="1"/>
    <row r="246"/>
    <row r="247"/>
    <row r="248"/>
    <row r="249"/>
    <row r="250"/>
    <row r="251"/>
    <row r="252"/>
    <row r="253"/>
    <row r="254"/>
    <row r="255"/>
    <row r="256"/>
    <row r="257"/>
    <row r="258"/>
    <row r="259"/>
    <row r="260"/>
    <row r="26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sheetData>
  <mergeCells count="43">
    <mergeCell ref="E70:H70"/>
    <mergeCell ref="A71:H71"/>
    <mergeCell ref="A62:B62"/>
    <mergeCell ref="E62:H62"/>
    <mergeCell ref="A63:D63"/>
    <mergeCell ref="E63:H63"/>
    <mergeCell ref="A64:D64"/>
    <mergeCell ref="A65:D65"/>
    <mergeCell ref="A61:D61"/>
    <mergeCell ref="E61:H61"/>
    <mergeCell ref="C44:H44"/>
    <mergeCell ref="A45:B45"/>
    <mergeCell ref="C45:E45"/>
    <mergeCell ref="F45:H45"/>
    <mergeCell ref="C51:E51"/>
    <mergeCell ref="F51:H51"/>
    <mergeCell ref="A53:D53"/>
    <mergeCell ref="E53:H53"/>
    <mergeCell ref="A54:D54"/>
    <mergeCell ref="E54:H54"/>
    <mergeCell ref="E60:H60"/>
    <mergeCell ref="A42:H42"/>
    <mergeCell ref="A6:H6"/>
    <mergeCell ref="A7:H7"/>
    <mergeCell ref="A8:H8"/>
    <mergeCell ref="A9:H9"/>
    <mergeCell ref="A10:H10"/>
    <mergeCell ref="A11:H11"/>
    <mergeCell ref="B13:F13"/>
    <mergeCell ref="B16:F16"/>
    <mergeCell ref="B38:F38"/>
    <mergeCell ref="B40:F40"/>
    <mergeCell ref="B41:F41"/>
    <mergeCell ref="H27:H37"/>
    <mergeCell ref="H24:H25"/>
    <mergeCell ref="B26:F26"/>
    <mergeCell ref="A4:B4"/>
    <mergeCell ref="C4:H4"/>
    <mergeCell ref="A1:B1"/>
    <mergeCell ref="C1:H1"/>
    <mergeCell ref="A2:B2"/>
    <mergeCell ref="C2:H2"/>
    <mergeCell ref="A3:B3"/>
  </mergeCells>
  <dataValidations count="2">
    <dataValidation type="list" allowBlank="1" showInputMessage="1" showErrorMessage="1" sqref="WVJ983063:WVJ983080 B983063:B983080 IX983063:IX983080 ST983063:ST983080 ACP983063:ACP983080 AML983063:AML983080 AWH983063:AWH983080 BGD983063:BGD983080 BPZ983063:BPZ983080 BZV983063:BZV983080 CJR983063:CJR983080 CTN983063:CTN983080 DDJ983063:DDJ983080 DNF983063:DNF983080 DXB983063:DXB983080 EGX983063:EGX983080 EQT983063:EQT983080 FAP983063:FAP983080 FKL983063:FKL983080 FUH983063:FUH983080 GED983063:GED983080 GNZ983063:GNZ983080 GXV983063:GXV983080 HHR983063:HHR983080 HRN983063:HRN983080 IBJ983063:IBJ983080 ILF983063:ILF983080 IVB983063:IVB983080 JEX983063:JEX983080 JOT983063:JOT983080 JYP983063:JYP983080 KIL983063:KIL983080 KSH983063:KSH983080 LCD983063:LCD983080 LLZ983063:LLZ983080 LVV983063:LVV983080 MFR983063:MFR983080 MPN983063:MPN983080 MZJ983063:MZJ983080 NJF983063:NJF983080 NTB983063:NTB983080 OCX983063:OCX983080 OMT983063:OMT983080 OWP983063:OWP983080 PGL983063:PGL983080 PQH983063:PQH983080 QAD983063:QAD983080 QJZ983063:QJZ983080 QTV983063:QTV983080 RDR983063:RDR983080 RNN983063:RNN983080 RXJ983063:RXJ983080 SHF983063:SHF983080 SRB983063:SRB983080 TAX983063:TAX983080 TKT983063:TKT983080 TUP983063:TUP983080 UEL983063:UEL983080 UOH983063:UOH983080 UYD983063:UYD983080 VHZ983063:VHZ983080 VRV983063:VRV983080 WBR983063:WBR983080 WLN983063:WLN983080 B65559:B65576 IX65559:IX65576 ST65559:ST65576 ACP65559:ACP65576 AML65559:AML65576 AWH65559:AWH65576 BGD65559:BGD65576 BPZ65559:BPZ65576 BZV65559:BZV65576 CJR65559:CJR65576 CTN65559:CTN65576 DDJ65559:DDJ65576 DNF65559:DNF65576 DXB65559:DXB65576 EGX65559:EGX65576 EQT65559:EQT65576 FAP65559:FAP65576 FKL65559:FKL65576 FUH65559:FUH65576 GED65559:GED65576 GNZ65559:GNZ65576 GXV65559:GXV65576 HHR65559:HHR65576 HRN65559:HRN65576 IBJ65559:IBJ65576 ILF65559:ILF65576 IVB65559:IVB65576 JEX65559:JEX65576 JOT65559:JOT65576 JYP65559:JYP65576 KIL65559:KIL65576 KSH65559:KSH65576 LCD65559:LCD65576 LLZ65559:LLZ65576 LVV65559:LVV65576 MFR65559:MFR65576 MPN65559:MPN65576 MZJ65559:MZJ65576 NJF65559:NJF65576 NTB65559:NTB65576 OCX65559:OCX65576 OMT65559:OMT65576 OWP65559:OWP65576 PGL65559:PGL65576 PQH65559:PQH65576 QAD65559:QAD65576 QJZ65559:QJZ65576 QTV65559:QTV65576 RDR65559:RDR65576 RNN65559:RNN65576 RXJ65559:RXJ65576 SHF65559:SHF65576 SRB65559:SRB65576 TAX65559:TAX65576 TKT65559:TKT65576 TUP65559:TUP65576 UEL65559:UEL65576 UOH65559:UOH65576 UYD65559:UYD65576 VHZ65559:VHZ65576 VRV65559:VRV65576 WBR65559:WBR65576 WLN65559:WLN65576 WVJ65559:WVJ65576 B131095:B131112 IX131095:IX131112 ST131095:ST131112 ACP131095:ACP131112 AML131095:AML131112 AWH131095:AWH131112 BGD131095:BGD131112 BPZ131095:BPZ131112 BZV131095:BZV131112 CJR131095:CJR131112 CTN131095:CTN131112 DDJ131095:DDJ131112 DNF131095:DNF131112 DXB131095:DXB131112 EGX131095:EGX131112 EQT131095:EQT131112 FAP131095:FAP131112 FKL131095:FKL131112 FUH131095:FUH131112 GED131095:GED131112 GNZ131095:GNZ131112 GXV131095:GXV131112 HHR131095:HHR131112 HRN131095:HRN131112 IBJ131095:IBJ131112 ILF131095:ILF131112 IVB131095:IVB131112 JEX131095:JEX131112 JOT131095:JOT131112 JYP131095:JYP131112 KIL131095:KIL131112 KSH131095:KSH131112 LCD131095:LCD131112 LLZ131095:LLZ131112 LVV131095:LVV131112 MFR131095:MFR131112 MPN131095:MPN131112 MZJ131095:MZJ131112 NJF131095:NJF131112 NTB131095:NTB131112 OCX131095:OCX131112 OMT131095:OMT131112 OWP131095:OWP131112 PGL131095:PGL131112 PQH131095:PQH131112 QAD131095:QAD131112 QJZ131095:QJZ131112 QTV131095:QTV131112 RDR131095:RDR131112 RNN131095:RNN131112 RXJ131095:RXJ131112 SHF131095:SHF131112 SRB131095:SRB131112 TAX131095:TAX131112 TKT131095:TKT131112 TUP131095:TUP131112 UEL131095:UEL131112 UOH131095:UOH131112 UYD131095:UYD131112 VHZ131095:VHZ131112 VRV131095:VRV131112 WBR131095:WBR131112 WLN131095:WLN131112 WVJ131095:WVJ131112 B196631:B196648 IX196631:IX196648 ST196631:ST196648 ACP196631:ACP196648 AML196631:AML196648 AWH196631:AWH196648 BGD196631:BGD196648 BPZ196631:BPZ196648 BZV196631:BZV196648 CJR196631:CJR196648 CTN196631:CTN196648 DDJ196631:DDJ196648 DNF196631:DNF196648 DXB196631:DXB196648 EGX196631:EGX196648 EQT196631:EQT196648 FAP196631:FAP196648 FKL196631:FKL196648 FUH196631:FUH196648 GED196631:GED196648 GNZ196631:GNZ196648 GXV196631:GXV196648 HHR196631:HHR196648 HRN196631:HRN196648 IBJ196631:IBJ196648 ILF196631:ILF196648 IVB196631:IVB196648 JEX196631:JEX196648 JOT196631:JOT196648 JYP196631:JYP196648 KIL196631:KIL196648 KSH196631:KSH196648 LCD196631:LCD196648 LLZ196631:LLZ196648 LVV196631:LVV196648 MFR196631:MFR196648 MPN196631:MPN196648 MZJ196631:MZJ196648 NJF196631:NJF196648 NTB196631:NTB196648 OCX196631:OCX196648 OMT196631:OMT196648 OWP196631:OWP196648 PGL196631:PGL196648 PQH196631:PQH196648 QAD196631:QAD196648 QJZ196631:QJZ196648 QTV196631:QTV196648 RDR196631:RDR196648 RNN196631:RNN196648 RXJ196631:RXJ196648 SHF196631:SHF196648 SRB196631:SRB196648 TAX196631:TAX196648 TKT196631:TKT196648 TUP196631:TUP196648 UEL196631:UEL196648 UOH196631:UOH196648 UYD196631:UYD196648 VHZ196631:VHZ196648 VRV196631:VRV196648 WBR196631:WBR196648 WLN196631:WLN196648 WVJ196631:WVJ196648 B262167:B262184 IX262167:IX262184 ST262167:ST262184 ACP262167:ACP262184 AML262167:AML262184 AWH262167:AWH262184 BGD262167:BGD262184 BPZ262167:BPZ262184 BZV262167:BZV262184 CJR262167:CJR262184 CTN262167:CTN262184 DDJ262167:DDJ262184 DNF262167:DNF262184 DXB262167:DXB262184 EGX262167:EGX262184 EQT262167:EQT262184 FAP262167:FAP262184 FKL262167:FKL262184 FUH262167:FUH262184 GED262167:GED262184 GNZ262167:GNZ262184 GXV262167:GXV262184 HHR262167:HHR262184 HRN262167:HRN262184 IBJ262167:IBJ262184 ILF262167:ILF262184 IVB262167:IVB262184 JEX262167:JEX262184 JOT262167:JOT262184 JYP262167:JYP262184 KIL262167:KIL262184 KSH262167:KSH262184 LCD262167:LCD262184 LLZ262167:LLZ262184 LVV262167:LVV262184 MFR262167:MFR262184 MPN262167:MPN262184 MZJ262167:MZJ262184 NJF262167:NJF262184 NTB262167:NTB262184 OCX262167:OCX262184 OMT262167:OMT262184 OWP262167:OWP262184 PGL262167:PGL262184 PQH262167:PQH262184 QAD262167:QAD262184 QJZ262167:QJZ262184 QTV262167:QTV262184 RDR262167:RDR262184 RNN262167:RNN262184 RXJ262167:RXJ262184 SHF262167:SHF262184 SRB262167:SRB262184 TAX262167:TAX262184 TKT262167:TKT262184 TUP262167:TUP262184 UEL262167:UEL262184 UOH262167:UOH262184 UYD262167:UYD262184 VHZ262167:VHZ262184 VRV262167:VRV262184 WBR262167:WBR262184 WLN262167:WLN262184 WVJ262167:WVJ262184 B327703:B327720 IX327703:IX327720 ST327703:ST327720 ACP327703:ACP327720 AML327703:AML327720 AWH327703:AWH327720 BGD327703:BGD327720 BPZ327703:BPZ327720 BZV327703:BZV327720 CJR327703:CJR327720 CTN327703:CTN327720 DDJ327703:DDJ327720 DNF327703:DNF327720 DXB327703:DXB327720 EGX327703:EGX327720 EQT327703:EQT327720 FAP327703:FAP327720 FKL327703:FKL327720 FUH327703:FUH327720 GED327703:GED327720 GNZ327703:GNZ327720 GXV327703:GXV327720 HHR327703:HHR327720 HRN327703:HRN327720 IBJ327703:IBJ327720 ILF327703:ILF327720 IVB327703:IVB327720 JEX327703:JEX327720 JOT327703:JOT327720 JYP327703:JYP327720 KIL327703:KIL327720 KSH327703:KSH327720 LCD327703:LCD327720 LLZ327703:LLZ327720 LVV327703:LVV327720 MFR327703:MFR327720 MPN327703:MPN327720 MZJ327703:MZJ327720 NJF327703:NJF327720 NTB327703:NTB327720 OCX327703:OCX327720 OMT327703:OMT327720 OWP327703:OWP327720 PGL327703:PGL327720 PQH327703:PQH327720 QAD327703:QAD327720 QJZ327703:QJZ327720 QTV327703:QTV327720 RDR327703:RDR327720 RNN327703:RNN327720 RXJ327703:RXJ327720 SHF327703:SHF327720 SRB327703:SRB327720 TAX327703:TAX327720 TKT327703:TKT327720 TUP327703:TUP327720 UEL327703:UEL327720 UOH327703:UOH327720 UYD327703:UYD327720 VHZ327703:VHZ327720 VRV327703:VRV327720 WBR327703:WBR327720 WLN327703:WLN327720 WVJ327703:WVJ327720 B393239:B393256 IX393239:IX393256 ST393239:ST393256 ACP393239:ACP393256 AML393239:AML393256 AWH393239:AWH393256 BGD393239:BGD393256 BPZ393239:BPZ393256 BZV393239:BZV393256 CJR393239:CJR393256 CTN393239:CTN393256 DDJ393239:DDJ393256 DNF393239:DNF393256 DXB393239:DXB393256 EGX393239:EGX393256 EQT393239:EQT393256 FAP393239:FAP393256 FKL393239:FKL393256 FUH393239:FUH393256 GED393239:GED393256 GNZ393239:GNZ393256 GXV393239:GXV393256 HHR393239:HHR393256 HRN393239:HRN393256 IBJ393239:IBJ393256 ILF393239:ILF393256 IVB393239:IVB393256 JEX393239:JEX393256 JOT393239:JOT393256 JYP393239:JYP393256 KIL393239:KIL393256 KSH393239:KSH393256 LCD393239:LCD393256 LLZ393239:LLZ393256 LVV393239:LVV393256 MFR393239:MFR393256 MPN393239:MPN393256 MZJ393239:MZJ393256 NJF393239:NJF393256 NTB393239:NTB393256 OCX393239:OCX393256 OMT393239:OMT393256 OWP393239:OWP393256 PGL393239:PGL393256 PQH393239:PQH393256 QAD393239:QAD393256 QJZ393239:QJZ393256 QTV393239:QTV393256 RDR393239:RDR393256 RNN393239:RNN393256 RXJ393239:RXJ393256 SHF393239:SHF393256 SRB393239:SRB393256 TAX393239:TAX393256 TKT393239:TKT393256 TUP393239:TUP393256 UEL393239:UEL393256 UOH393239:UOH393256 UYD393239:UYD393256 VHZ393239:VHZ393256 VRV393239:VRV393256 WBR393239:WBR393256 WLN393239:WLN393256 WVJ393239:WVJ393256 B458775:B458792 IX458775:IX458792 ST458775:ST458792 ACP458775:ACP458792 AML458775:AML458792 AWH458775:AWH458792 BGD458775:BGD458792 BPZ458775:BPZ458792 BZV458775:BZV458792 CJR458775:CJR458792 CTN458775:CTN458792 DDJ458775:DDJ458792 DNF458775:DNF458792 DXB458775:DXB458792 EGX458775:EGX458792 EQT458775:EQT458792 FAP458775:FAP458792 FKL458775:FKL458792 FUH458775:FUH458792 GED458775:GED458792 GNZ458775:GNZ458792 GXV458775:GXV458792 HHR458775:HHR458792 HRN458775:HRN458792 IBJ458775:IBJ458792 ILF458775:ILF458792 IVB458775:IVB458792 JEX458775:JEX458792 JOT458775:JOT458792 JYP458775:JYP458792 KIL458775:KIL458792 KSH458775:KSH458792 LCD458775:LCD458792 LLZ458775:LLZ458792 LVV458775:LVV458792 MFR458775:MFR458792 MPN458775:MPN458792 MZJ458775:MZJ458792 NJF458775:NJF458792 NTB458775:NTB458792 OCX458775:OCX458792 OMT458775:OMT458792 OWP458775:OWP458792 PGL458775:PGL458792 PQH458775:PQH458792 QAD458775:QAD458792 QJZ458775:QJZ458792 QTV458775:QTV458792 RDR458775:RDR458792 RNN458775:RNN458792 RXJ458775:RXJ458792 SHF458775:SHF458792 SRB458775:SRB458792 TAX458775:TAX458792 TKT458775:TKT458792 TUP458775:TUP458792 UEL458775:UEL458792 UOH458775:UOH458792 UYD458775:UYD458792 VHZ458775:VHZ458792 VRV458775:VRV458792 WBR458775:WBR458792 WLN458775:WLN458792 WVJ458775:WVJ458792 B524311:B524328 IX524311:IX524328 ST524311:ST524328 ACP524311:ACP524328 AML524311:AML524328 AWH524311:AWH524328 BGD524311:BGD524328 BPZ524311:BPZ524328 BZV524311:BZV524328 CJR524311:CJR524328 CTN524311:CTN524328 DDJ524311:DDJ524328 DNF524311:DNF524328 DXB524311:DXB524328 EGX524311:EGX524328 EQT524311:EQT524328 FAP524311:FAP524328 FKL524311:FKL524328 FUH524311:FUH524328 GED524311:GED524328 GNZ524311:GNZ524328 GXV524311:GXV524328 HHR524311:HHR524328 HRN524311:HRN524328 IBJ524311:IBJ524328 ILF524311:ILF524328 IVB524311:IVB524328 JEX524311:JEX524328 JOT524311:JOT524328 JYP524311:JYP524328 KIL524311:KIL524328 KSH524311:KSH524328 LCD524311:LCD524328 LLZ524311:LLZ524328 LVV524311:LVV524328 MFR524311:MFR524328 MPN524311:MPN524328 MZJ524311:MZJ524328 NJF524311:NJF524328 NTB524311:NTB524328 OCX524311:OCX524328 OMT524311:OMT524328 OWP524311:OWP524328 PGL524311:PGL524328 PQH524311:PQH524328 QAD524311:QAD524328 QJZ524311:QJZ524328 QTV524311:QTV524328 RDR524311:RDR524328 RNN524311:RNN524328 RXJ524311:RXJ524328 SHF524311:SHF524328 SRB524311:SRB524328 TAX524311:TAX524328 TKT524311:TKT524328 TUP524311:TUP524328 UEL524311:UEL524328 UOH524311:UOH524328 UYD524311:UYD524328 VHZ524311:VHZ524328 VRV524311:VRV524328 WBR524311:WBR524328 WLN524311:WLN524328 WVJ524311:WVJ524328 B589847:B589864 IX589847:IX589864 ST589847:ST589864 ACP589847:ACP589864 AML589847:AML589864 AWH589847:AWH589864 BGD589847:BGD589864 BPZ589847:BPZ589864 BZV589847:BZV589864 CJR589847:CJR589864 CTN589847:CTN589864 DDJ589847:DDJ589864 DNF589847:DNF589864 DXB589847:DXB589864 EGX589847:EGX589864 EQT589847:EQT589864 FAP589847:FAP589864 FKL589847:FKL589864 FUH589847:FUH589864 GED589847:GED589864 GNZ589847:GNZ589864 GXV589847:GXV589864 HHR589847:HHR589864 HRN589847:HRN589864 IBJ589847:IBJ589864 ILF589847:ILF589864 IVB589847:IVB589864 JEX589847:JEX589864 JOT589847:JOT589864 JYP589847:JYP589864 KIL589847:KIL589864 KSH589847:KSH589864 LCD589847:LCD589864 LLZ589847:LLZ589864 LVV589847:LVV589864 MFR589847:MFR589864 MPN589847:MPN589864 MZJ589847:MZJ589864 NJF589847:NJF589864 NTB589847:NTB589864 OCX589847:OCX589864 OMT589847:OMT589864 OWP589847:OWP589864 PGL589847:PGL589864 PQH589847:PQH589864 QAD589847:QAD589864 QJZ589847:QJZ589864 QTV589847:QTV589864 RDR589847:RDR589864 RNN589847:RNN589864 RXJ589847:RXJ589864 SHF589847:SHF589864 SRB589847:SRB589864 TAX589847:TAX589864 TKT589847:TKT589864 TUP589847:TUP589864 UEL589847:UEL589864 UOH589847:UOH589864 UYD589847:UYD589864 VHZ589847:VHZ589864 VRV589847:VRV589864 WBR589847:WBR589864 WLN589847:WLN589864 WVJ589847:WVJ589864 B655383:B655400 IX655383:IX655400 ST655383:ST655400 ACP655383:ACP655400 AML655383:AML655400 AWH655383:AWH655400 BGD655383:BGD655400 BPZ655383:BPZ655400 BZV655383:BZV655400 CJR655383:CJR655400 CTN655383:CTN655400 DDJ655383:DDJ655400 DNF655383:DNF655400 DXB655383:DXB655400 EGX655383:EGX655400 EQT655383:EQT655400 FAP655383:FAP655400 FKL655383:FKL655400 FUH655383:FUH655400 GED655383:GED655400 GNZ655383:GNZ655400 GXV655383:GXV655400 HHR655383:HHR655400 HRN655383:HRN655400 IBJ655383:IBJ655400 ILF655383:ILF655400 IVB655383:IVB655400 JEX655383:JEX655400 JOT655383:JOT655400 JYP655383:JYP655400 KIL655383:KIL655400 KSH655383:KSH655400 LCD655383:LCD655400 LLZ655383:LLZ655400 LVV655383:LVV655400 MFR655383:MFR655400 MPN655383:MPN655400 MZJ655383:MZJ655400 NJF655383:NJF655400 NTB655383:NTB655400 OCX655383:OCX655400 OMT655383:OMT655400 OWP655383:OWP655400 PGL655383:PGL655400 PQH655383:PQH655400 QAD655383:QAD655400 QJZ655383:QJZ655400 QTV655383:QTV655400 RDR655383:RDR655400 RNN655383:RNN655400 RXJ655383:RXJ655400 SHF655383:SHF655400 SRB655383:SRB655400 TAX655383:TAX655400 TKT655383:TKT655400 TUP655383:TUP655400 UEL655383:UEL655400 UOH655383:UOH655400 UYD655383:UYD655400 VHZ655383:VHZ655400 VRV655383:VRV655400 WBR655383:WBR655400 WLN655383:WLN655400 WVJ655383:WVJ655400 B720919:B720936 IX720919:IX720936 ST720919:ST720936 ACP720919:ACP720936 AML720919:AML720936 AWH720919:AWH720936 BGD720919:BGD720936 BPZ720919:BPZ720936 BZV720919:BZV720936 CJR720919:CJR720936 CTN720919:CTN720936 DDJ720919:DDJ720936 DNF720919:DNF720936 DXB720919:DXB720936 EGX720919:EGX720936 EQT720919:EQT720936 FAP720919:FAP720936 FKL720919:FKL720936 FUH720919:FUH720936 GED720919:GED720936 GNZ720919:GNZ720936 GXV720919:GXV720936 HHR720919:HHR720936 HRN720919:HRN720936 IBJ720919:IBJ720936 ILF720919:ILF720936 IVB720919:IVB720936 JEX720919:JEX720936 JOT720919:JOT720936 JYP720919:JYP720936 KIL720919:KIL720936 KSH720919:KSH720936 LCD720919:LCD720936 LLZ720919:LLZ720936 LVV720919:LVV720936 MFR720919:MFR720936 MPN720919:MPN720936 MZJ720919:MZJ720936 NJF720919:NJF720936 NTB720919:NTB720936 OCX720919:OCX720936 OMT720919:OMT720936 OWP720919:OWP720936 PGL720919:PGL720936 PQH720919:PQH720936 QAD720919:QAD720936 QJZ720919:QJZ720936 QTV720919:QTV720936 RDR720919:RDR720936 RNN720919:RNN720936 RXJ720919:RXJ720936 SHF720919:SHF720936 SRB720919:SRB720936 TAX720919:TAX720936 TKT720919:TKT720936 TUP720919:TUP720936 UEL720919:UEL720936 UOH720919:UOH720936 UYD720919:UYD720936 VHZ720919:VHZ720936 VRV720919:VRV720936 WBR720919:WBR720936 WLN720919:WLN720936 WVJ720919:WVJ720936 B786455:B786472 IX786455:IX786472 ST786455:ST786472 ACP786455:ACP786472 AML786455:AML786472 AWH786455:AWH786472 BGD786455:BGD786472 BPZ786455:BPZ786472 BZV786455:BZV786472 CJR786455:CJR786472 CTN786455:CTN786472 DDJ786455:DDJ786472 DNF786455:DNF786472 DXB786455:DXB786472 EGX786455:EGX786472 EQT786455:EQT786472 FAP786455:FAP786472 FKL786455:FKL786472 FUH786455:FUH786472 GED786455:GED786472 GNZ786455:GNZ786472 GXV786455:GXV786472 HHR786455:HHR786472 HRN786455:HRN786472 IBJ786455:IBJ786472 ILF786455:ILF786472 IVB786455:IVB786472 JEX786455:JEX786472 JOT786455:JOT786472 JYP786455:JYP786472 KIL786455:KIL786472 KSH786455:KSH786472 LCD786455:LCD786472 LLZ786455:LLZ786472 LVV786455:LVV786472 MFR786455:MFR786472 MPN786455:MPN786472 MZJ786455:MZJ786472 NJF786455:NJF786472 NTB786455:NTB786472 OCX786455:OCX786472 OMT786455:OMT786472 OWP786455:OWP786472 PGL786455:PGL786472 PQH786455:PQH786472 QAD786455:QAD786472 QJZ786455:QJZ786472 QTV786455:QTV786472 RDR786455:RDR786472 RNN786455:RNN786472 RXJ786455:RXJ786472 SHF786455:SHF786472 SRB786455:SRB786472 TAX786455:TAX786472 TKT786455:TKT786472 TUP786455:TUP786472 UEL786455:UEL786472 UOH786455:UOH786472 UYD786455:UYD786472 VHZ786455:VHZ786472 VRV786455:VRV786472 WBR786455:WBR786472 WLN786455:WLN786472 WVJ786455:WVJ786472 B851991:B852008 IX851991:IX852008 ST851991:ST852008 ACP851991:ACP852008 AML851991:AML852008 AWH851991:AWH852008 BGD851991:BGD852008 BPZ851991:BPZ852008 BZV851991:BZV852008 CJR851991:CJR852008 CTN851991:CTN852008 DDJ851991:DDJ852008 DNF851991:DNF852008 DXB851991:DXB852008 EGX851991:EGX852008 EQT851991:EQT852008 FAP851991:FAP852008 FKL851991:FKL852008 FUH851991:FUH852008 GED851991:GED852008 GNZ851991:GNZ852008 GXV851991:GXV852008 HHR851991:HHR852008 HRN851991:HRN852008 IBJ851991:IBJ852008 ILF851991:ILF852008 IVB851991:IVB852008 JEX851991:JEX852008 JOT851991:JOT852008 JYP851991:JYP852008 KIL851991:KIL852008 KSH851991:KSH852008 LCD851991:LCD852008 LLZ851991:LLZ852008 LVV851991:LVV852008 MFR851991:MFR852008 MPN851991:MPN852008 MZJ851991:MZJ852008 NJF851991:NJF852008 NTB851991:NTB852008 OCX851991:OCX852008 OMT851991:OMT852008 OWP851991:OWP852008 PGL851991:PGL852008 PQH851991:PQH852008 QAD851991:QAD852008 QJZ851991:QJZ852008 QTV851991:QTV852008 RDR851991:RDR852008 RNN851991:RNN852008 RXJ851991:RXJ852008 SHF851991:SHF852008 SRB851991:SRB852008 TAX851991:TAX852008 TKT851991:TKT852008 TUP851991:TUP852008 UEL851991:UEL852008 UOH851991:UOH852008 UYD851991:UYD852008 VHZ851991:VHZ852008 VRV851991:VRV852008 WBR851991:WBR852008 WLN851991:WLN852008 WVJ851991:WVJ852008 B917527:B917544 IX917527:IX917544 ST917527:ST917544 ACP917527:ACP917544 AML917527:AML917544 AWH917527:AWH917544 BGD917527:BGD917544 BPZ917527:BPZ917544 BZV917527:BZV917544 CJR917527:CJR917544 CTN917527:CTN917544 DDJ917527:DDJ917544 DNF917527:DNF917544 DXB917527:DXB917544 EGX917527:EGX917544 EQT917527:EQT917544 FAP917527:FAP917544 FKL917527:FKL917544 FUH917527:FUH917544 GED917527:GED917544 GNZ917527:GNZ917544 GXV917527:GXV917544 HHR917527:HHR917544 HRN917527:HRN917544 IBJ917527:IBJ917544 ILF917527:ILF917544 IVB917527:IVB917544 JEX917527:JEX917544 JOT917527:JOT917544 JYP917527:JYP917544 KIL917527:KIL917544 KSH917527:KSH917544 LCD917527:LCD917544 LLZ917527:LLZ917544 LVV917527:LVV917544 MFR917527:MFR917544 MPN917527:MPN917544 MZJ917527:MZJ917544 NJF917527:NJF917544 NTB917527:NTB917544 OCX917527:OCX917544 OMT917527:OMT917544 OWP917527:OWP917544 PGL917527:PGL917544 PQH917527:PQH917544 QAD917527:QAD917544 QJZ917527:QJZ917544 QTV917527:QTV917544 RDR917527:RDR917544 RNN917527:RNN917544 RXJ917527:RXJ917544 SHF917527:SHF917544 SRB917527:SRB917544 TAX917527:TAX917544 TKT917527:TKT917544 TUP917527:TUP917544 UEL917527:UEL917544 UOH917527:UOH917544 UYD917527:UYD917544 VHZ917527:VHZ917544 VRV917527:VRV917544 WBR917527:WBR917544 WLN917527:WLN917544 WVJ917527:WVJ917544" xr:uid="{00000000-0002-0000-2400-000000000000}">
      <formula1>trung</formula1>
    </dataValidation>
    <dataValidation type="list" allowBlank="1" showInputMessage="1" showErrorMessage="1" sqref="B39" xr:uid="{00000000-0002-0000-2400-000001000000}">
      <formula1>bichphuong</formula1>
    </dataValidation>
  </dataValidation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401"/>
  <sheetViews>
    <sheetView topLeftCell="A11"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85"/>
      <c r="G3" s="102"/>
      <c r="H3" s="103"/>
    </row>
    <row r="4" spans="1:8" s="98" customFormat="1" ht="18" customHeight="1">
      <c r="A4" s="414"/>
      <c r="B4" s="414"/>
      <c r="C4" s="415" t="s">
        <v>1740</v>
      </c>
      <c r="D4" s="416"/>
      <c r="E4" s="416"/>
      <c r="F4" s="416"/>
      <c r="G4" s="416"/>
      <c r="H4" s="416"/>
    </row>
    <row r="5" spans="1:8" s="98" customFormat="1" ht="15.6">
      <c r="A5" s="104"/>
      <c r="B5" s="104"/>
      <c r="C5" s="184"/>
      <c r="D5" s="105"/>
      <c r="E5" s="106"/>
      <c r="F5" s="184"/>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2029</v>
      </c>
      <c r="B8" s="419"/>
      <c r="C8" s="419"/>
      <c r="D8" s="419"/>
      <c r="E8" s="419"/>
      <c r="F8" s="419"/>
      <c r="G8" s="419"/>
      <c r="H8" s="419"/>
    </row>
    <row r="9" spans="1:8" s="98" customFormat="1" ht="23.25" customHeight="1">
      <c r="A9" s="420" t="s">
        <v>2030</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2031</v>
      </c>
      <c r="C13" s="425"/>
      <c r="D13" s="425"/>
      <c r="E13" s="425"/>
      <c r="F13" s="425"/>
      <c r="G13" s="73">
        <f>G14</f>
        <v>0</v>
      </c>
      <c r="H13" s="74"/>
    </row>
    <row r="14" spans="1:8" s="131" customFormat="1" ht="40.5" customHeight="1">
      <c r="A14" s="123"/>
      <c r="B14" s="124" t="s">
        <v>2033</v>
      </c>
      <c r="C14" s="125" t="s">
        <v>1753</v>
      </c>
      <c r="D14" s="126">
        <v>4.8</v>
      </c>
      <c r="E14" s="127"/>
      <c r="F14" s="128"/>
      <c r="G14" s="129">
        <f>D14*E14*F14</f>
        <v>0</v>
      </c>
      <c r="H14" s="130"/>
    </row>
    <row r="15" spans="1:8" ht="27" customHeight="1">
      <c r="A15" s="75" t="s">
        <v>18</v>
      </c>
      <c r="B15" s="426" t="s">
        <v>1725</v>
      </c>
      <c r="C15" s="426"/>
      <c r="D15" s="426"/>
      <c r="E15" s="426"/>
      <c r="F15" s="426"/>
      <c r="G15" s="76">
        <f>SUM(G16:G16)</f>
        <v>0</v>
      </c>
      <c r="H15" s="11"/>
    </row>
    <row r="16" spans="1:8" ht="30.6" customHeight="1">
      <c r="A16" s="77"/>
      <c r="B16" s="78" t="s">
        <v>1728</v>
      </c>
      <c r="C16" s="13"/>
      <c r="D16" s="13"/>
      <c r="E16" s="13"/>
      <c r="F16" s="13"/>
      <c r="G16" s="79"/>
      <c r="H16" s="15"/>
    </row>
    <row r="17" spans="1:8" ht="24" customHeight="1">
      <c r="A17" s="75" t="s">
        <v>19</v>
      </c>
      <c r="B17" s="426" t="s">
        <v>1727</v>
      </c>
      <c r="C17" s="426"/>
      <c r="D17" s="426"/>
      <c r="E17" s="426"/>
      <c r="F17" s="426"/>
      <c r="G17" s="76">
        <f>SUM(G19:G19)</f>
        <v>388750</v>
      </c>
      <c r="H17" s="11"/>
    </row>
    <row r="18" spans="1:8" ht="37.5" customHeight="1">
      <c r="A18" s="75"/>
      <c r="B18" s="433" t="s">
        <v>2038</v>
      </c>
      <c r="C18" s="434"/>
      <c r="D18" s="434"/>
      <c r="E18" s="434"/>
      <c r="F18" s="435"/>
      <c r="G18" s="76"/>
      <c r="H18" s="11"/>
    </row>
    <row r="19" spans="1:8" s="12" customFormat="1" ht="31.2">
      <c r="A19" s="94">
        <v>1</v>
      </c>
      <c r="B19" s="154" t="s">
        <v>820</v>
      </c>
      <c r="C19" s="14" t="s">
        <v>1724</v>
      </c>
      <c r="D19" s="14">
        <v>1</v>
      </c>
      <c r="E19" s="79" t="str">
        <f>VLOOKUP(B19,'[20]Đơn giá cây cối'!$A$2:$C$1361,3,0)</f>
        <v>1.555.000</v>
      </c>
      <c r="F19" s="190">
        <v>0.25</v>
      </c>
      <c r="G19" s="79">
        <f>D19*E19*F19</f>
        <v>388750</v>
      </c>
      <c r="H19" s="95"/>
    </row>
    <row r="20" spans="1:8" ht="15.6">
      <c r="A20" s="80"/>
      <c r="B20" s="427" t="s">
        <v>62</v>
      </c>
      <c r="C20" s="428"/>
      <c r="D20" s="428"/>
      <c r="E20" s="428"/>
      <c r="F20" s="429"/>
      <c r="G20" s="81">
        <f>G13+G15+G17</f>
        <v>388750</v>
      </c>
      <c r="H20" s="82"/>
    </row>
    <row r="21" spans="1:8" ht="15.6">
      <c r="A21" s="80"/>
      <c r="B21" s="427" t="s">
        <v>1726</v>
      </c>
      <c r="C21" s="428"/>
      <c r="D21" s="428"/>
      <c r="E21" s="428"/>
      <c r="F21" s="429"/>
      <c r="G21" s="81">
        <f>ROUND(G20,-3)</f>
        <v>389000</v>
      </c>
      <c r="H21" s="82"/>
    </row>
    <row r="22" spans="1:8" ht="15.6">
      <c r="A22" s="430" t="str">
        <f>[18]!uni(G21)</f>
        <v xml:space="preserve">Ba trăm tám mươi chín nghìn đồng </v>
      </c>
      <c r="B22" s="431"/>
      <c r="C22" s="431"/>
      <c r="D22" s="431"/>
      <c r="E22" s="431"/>
      <c r="F22" s="431"/>
      <c r="G22" s="431"/>
      <c r="H22" s="432"/>
    </row>
    <row r="23" spans="1:8" ht="15.6">
      <c r="A23" s="196"/>
      <c r="B23" s="197"/>
      <c r="C23" s="197"/>
      <c r="D23" s="197"/>
      <c r="E23" s="197"/>
      <c r="F23" s="197"/>
      <c r="G23" s="197"/>
      <c r="H23" s="197"/>
    </row>
    <row r="24" spans="1:8" ht="15.6">
      <c r="A24" s="196"/>
      <c r="B24" s="197"/>
      <c r="C24" s="197"/>
      <c r="D24" s="197"/>
      <c r="E24" s="197"/>
      <c r="F24" s="197"/>
      <c r="G24" s="197"/>
      <c r="H24" s="197"/>
    </row>
    <row r="25" spans="1:8" ht="15.6">
      <c r="A25" s="196"/>
      <c r="B25" s="197"/>
      <c r="C25" s="197"/>
      <c r="D25" s="197"/>
      <c r="E25" s="197"/>
      <c r="F25" s="197"/>
      <c r="G25" s="197"/>
      <c r="H25" s="197"/>
    </row>
    <row r="26" spans="1:8" ht="15.6">
      <c r="A26" s="196"/>
      <c r="B26" s="197"/>
      <c r="C26" s="197"/>
      <c r="D26" s="197"/>
      <c r="E26" s="197"/>
      <c r="F26" s="197"/>
      <c r="G26" s="197"/>
      <c r="H26" s="197"/>
    </row>
    <row r="27" spans="1:8" ht="15.6">
      <c r="A27" s="196"/>
      <c r="B27" s="197"/>
      <c r="C27" s="197"/>
      <c r="D27" s="197"/>
      <c r="E27" s="197"/>
      <c r="F27" s="197"/>
      <c r="G27" s="197"/>
      <c r="H27" s="197"/>
    </row>
    <row r="28" spans="1:8" ht="15.6">
      <c r="A28" s="196"/>
      <c r="B28" s="197"/>
      <c r="C28" s="197"/>
      <c r="D28" s="197"/>
      <c r="E28" s="197"/>
      <c r="F28" s="197"/>
      <c r="G28" s="197"/>
      <c r="H28" s="197"/>
    </row>
    <row r="29" spans="1:8" ht="15.6">
      <c r="A29" s="196"/>
      <c r="B29" s="197"/>
      <c r="C29" s="197"/>
      <c r="D29" s="197"/>
      <c r="E29" s="197"/>
      <c r="F29" s="197"/>
      <c r="G29" s="197"/>
      <c r="H29" s="197"/>
    </row>
    <row r="30" spans="1:8" ht="15.6">
      <c r="A30" s="196"/>
      <c r="B30" s="197"/>
      <c r="C30" s="197"/>
      <c r="D30" s="197"/>
      <c r="E30" s="197"/>
      <c r="F30" s="197"/>
      <c r="G30" s="197"/>
      <c r="H30" s="197"/>
    </row>
    <row r="31" spans="1:8">
      <c r="A31" s="17"/>
      <c r="B31" s="17"/>
      <c r="C31" s="97"/>
      <c r="D31" s="20"/>
      <c r="E31" s="19"/>
      <c r="F31" s="97"/>
      <c r="G31" s="19"/>
      <c r="H31" s="17"/>
    </row>
    <row r="32" spans="1:8" s="109" customFormat="1" ht="16.5" customHeight="1">
      <c r="A32" s="108"/>
      <c r="B32" s="108"/>
      <c r="C32" s="424" t="s">
        <v>1742</v>
      </c>
      <c r="D32" s="424"/>
      <c r="E32" s="424"/>
      <c r="F32" s="424"/>
      <c r="G32" s="424"/>
      <c r="H32" s="424"/>
    </row>
    <row r="33" spans="1:8" s="109" customFormat="1" ht="16.5" customHeight="1">
      <c r="A33" s="423" t="s">
        <v>63</v>
      </c>
      <c r="B33" s="423"/>
      <c r="C33" s="424" t="s">
        <v>1743</v>
      </c>
      <c r="D33" s="424"/>
      <c r="E33" s="424"/>
      <c r="F33" s="424" t="s">
        <v>1744</v>
      </c>
      <c r="G33" s="424"/>
      <c r="H33" s="424"/>
    </row>
    <row r="34" spans="1:8" s="109" customFormat="1" ht="15.6">
      <c r="A34" s="108"/>
      <c r="B34" s="108"/>
      <c r="C34" s="108"/>
      <c r="D34" s="110"/>
      <c r="E34" s="111"/>
      <c r="F34" s="112"/>
      <c r="G34" s="111"/>
      <c r="H34" s="113"/>
    </row>
    <row r="35" spans="1:8" s="109" customFormat="1" ht="15.6">
      <c r="A35" s="108"/>
      <c r="B35" s="108"/>
      <c r="C35" s="108"/>
      <c r="D35" s="110"/>
      <c r="E35" s="111"/>
      <c r="F35" s="112"/>
      <c r="G35" s="114"/>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6.5" customHeight="1">
      <c r="A39" s="108"/>
      <c r="B39" s="186" t="s">
        <v>64</v>
      </c>
      <c r="C39" s="424"/>
      <c r="D39" s="424"/>
      <c r="E39" s="424"/>
      <c r="F39" s="424" t="s">
        <v>1745</v>
      </c>
      <c r="G39" s="424"/>
      <c r="H39" s="424"/>
    </row>
    <row r="40" spans="1:8" s="109" customFormat="1" ht="15.6">
      <c r="A40" s="108"/>
      <c r="B40" s="186"/>
      <c r="C40" s="183"/>
      <c r="D40" s="183"/>
      <c r="E40" s="183"/>
      <c r="F40" s="183"/>
      <c r="G40" s="183"/>
      <c r="H40" s="183"/>
    </row>
    <row r="41" spans="1:8" s="109" customFormat="1" ht="15" customHeight="1">
      <c r="A41" s="424" t="s">
        <v>1746</v>
      </c>
      <c r="B41" s="424"/>
      <c r="C41" s="424"/>
      <c r="D41" s="424"/>
      <c r="E41" s="424" t="s">
        <v>1747</v>
      </c>
      <c r="F41" s="424"/>
      <c r="G41" s="424"/>
      <c r="H41" s="424"/>
    </row>
    <row r="42" spans="1:8" s="109" customFormat="1" ht="33.6" customHeight="1">
      <c r="A42" s="424" t="s">
        <v>1748</v>
      </c>
      <c r="B42" s="424"/>
      <c r="C42" s="424"/>
      <c r="D42" s="424"/>
      <c r="E42" s="424" t="s">
        <v>65</v>
      </c>
      <c r="F42" s="424"/>
      <c r="G42" s="424"/>
      <c r="H42" s="424"/>
    </row>
    <row r="43" spans="1:8" s="109" customFormat="1" ht="15.6">
      <c r="A43" s="108"/>
      <c r="B43" s="108"/>
      <c r="C43" s="108"/>
      <c r="D43" s="110"/>
      <c r="E43" s="111"/>
      <c r="F43" s="112"/>
      <c r="G43" s="111"/>
      <c r="H43" s="113"/>
    </row>
    <row r="44" spans="1:8" s="109" customFormat="1" ht="15.6">
      <c r="A44" s="108"/>
      <c r="B44" s="108"/>
      <c r="C44" s="108"/>
      <c r="D44" s="110"/>
      <c r="E44" s="111"/>
      <c r="F44" s="112"/>
      <c r="G44" s="111"/>
      <c r="H44" s="113"/>
    </row>
    <row r="45" spans="1:8" s="109" customFormat="1" ht="15.6">
      <c r="A45" s="108"/>
      <c r="B45" s="108"/>
      <c r="C45" s="108"/>
      <c r="D45" s="110"/>
      <c r="E45" s="111"/>
      <c r="F45" s="112"/>
      <c r="G45" s="111"/>
      <c r="H45" s="113"/>
    </row>
    <row r="46" spans="1:8" s="109" customFormat="1" ht="15.6">
      <c r="A46" s="108"/>
      <c r="B46" s="108"/>
      <c r="C46" s="108"/>
      <c r="D46" s="110"/>
      <c r="E46" s="111"/>
      <c r="F46" s="112"/>
      <c r="G46" s="111"/>
      <c r="H46" s="113"/>
    </row>
    <row r="47" spans="1:8" s="109" customFormat="1" ht="15.6">
      <c r="A47" s="108"/>
      <c r="B47" s="108"/>
      <c r="C47" s="108"/>
      <c r="D47" s="110"/>
      <c r="E47" s="111"/>
      <c r="F47" s="112"/>
      <c r="G47" s="111"/>
      <c r="H47" s="113"/>
    </row>
    <row r="48" spans="1:8" s="109" customFormat="1" ht="15.6" customHeight="1">
      <c r="A48" s="108"/>
      <c r="B48" s="108"/>
      <c r="C48" s="108"/>
      <c r="D48" s="115"/>
      <c r="E48" s="439" t="s">
        <v>1749</v>
      </c>
      <c r="F48" s="439"/>
      <c r="G48" s="439"/>
      <c r="H48" s="439"/>
    </row>
    <row r="49" spans="1:8" s="109" customFormat="1" ht="16.5" customHeight="1">
      <c r="A49" s="424" t="s">
        <v>1751</v>
      </c>
      <c r="B49" s="424"/>
      <c r="C49" s="424"/>
      <c r="D49" s="424"/>
      <c r="E49" s="424" t="s">
        <v>1750</v>
      </c>
      <c r="F49" s="424"/>
      <c r="G49" s="424"/>
      <c r="H49" s="424"/>
    </row>
    <row r="50" spans="1:8" s="118" customFormat="1" ht="16.2" customHeight="1">
      <c r="A50" s="440"/>
      <c r="B50" s="440"/>
      <c r="C50" s="116"/>
      <c r="D50" s="117"/>
      <c r="E50" s="440"/>
      <c r="F50" s="440"/>
      <c r="G50" s="440"/>
      <c r="H50" s="440"/>
    </row>
    <row r="51" spans="1:8" s="118" customFormat="1" ht="15.75" customHeight="1">
      <c r="A51" s="440"/>
      <c r="B51" s="440"/>
      <c r="C51" s="440"/>
      <c r="D51" s="440"/>
      <c r="E51" s="440"/>
      <c r="F51" s="440"/>
      <c r="G51" s="440"/>
      <c r="H51" s="440"/>
    </row>
    <row r="52" spans="1:8" s="98" customFormat="1" ht="16.2" customHeight="1">
      <c r="A52" s="436"/>
      <c r="B52" s="436"/>
      <c r="C52" s="436"/>
      <c r="D52" s="436"/>
      <c r="E52" s="119"/>
      <c r="F52" s="120"/>
      <c r="G52" s="119"/>
      <c r="H52" s="121"/>
    </row>
    <row r="53" spans="1:8" s="98" customFormat="1" ht="16.2" customHeight="1">
      <c r="A53" s="436"/>
      <c r="B53" s="436"/>
      <c r="C53" s="436"/>
      <c r="D53" s="436"/>
      <c r="E53" s="119"/>
      <c r="F53" s="120"/>
      <c r="G53" s="119"/>
      <c r="H53" s="121"/>
    </row>
    <row r="54" spans="1:8" s="98" customFormat="1" ht="16.2" customHeight="1">
      <c r="A54" s="121"/>
      <c r="B54" s="121"/>
      <c r="C54" s="121"/>
      <c r="D54" s="122"/>
      <c r="E54" s="119"/>
      <c r="F54" s="120"/>
      <c r="G54" s="119"/>
      <c r="H54" s="121"/>
    </row>
    <row r="55" spans="1:8" ht="16.2" customHeight="1">
      <c r="A55" s="83"/>
      <c r="B55" s="83"/>
      <c r="C55" s="83"/>
      <c r="D55" s="84"/>
      <c r="E55" s="85"/>
      <c r="F55" s="86"/>
      <c r="G55" s="85"/>
      <c r="H55" s="83"/>
    </row>
    <row r="56" spans="1:8" ht="16.2" customHeight="1">
      <c r="A56" s="83"/>
      <c r="B56" s="83"/>
      <c r="C56" s="83"/>
      <c r="D56" s="84"/>
      <c r="E56" s="85"/>
      <c r="F56" s="86"/>
      <c r="G56" s="85"/>
      <c r="H56" s="83"/>
    </row>
    <row r="57" spans="1:8" ht="16.2" customHeight="1">
      <c r="A57" s="83"/>
      <c r="B57" s="83"/>
      <c r="C57" s="83"/>
      <c r="D57" s="84"/>
      <c r="E57" s="85"/>
      <c r="F57" s="86"/>
      <c r="G57" s="85"/>
      <c r="H57" s="83"/>
    </row>
    <row r="58" spans="1:8" ht="16.2" customHeight="1">
      <c r="A58" s="83"/>
      <c r="B58" s="83"/>
      <c r="C58" s="83"/>
      <c r="D58" s="84"/>
      <c r="E58" s="437"/>
      <c r="F58" s="437"/>
      <c r="G58" s="437"/>
      <c r="H58" s="437"/>
    </row>
    <row r="59" spans="1:8" ht="20.25" customHeight="1">
      <c r="A59" s="438"/>
      <c r="B59" s="438"/>
      <c r="C59" s="438"/>
      <c r="D59" s="438"/>
      <c r="E59" s="438"/>
      <c r="F59" s="438"/>
      <c r="G59" s="438"/>
      <c r="H59" s="438"/>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D73" s="18"/>
      <c r="E73" s="19"/>
      <c r="F73" s="97"/>
      <c r="G73" s="19"/>
    </row>
    <row r="74" spans="3:7" s="17" customFormat="1" ht="16.2" customHeight="1">
      <c r="D74" s="18"/>
      <c r="E74" s="19"/>
      <c r="F74" s="97"/>
      <c r="G74" s="19"/>
    </row>
    <row r="75" spans="3:7" s="17" customFormat="1" ht="16.2" customHeight="1">
      <c r="D75" s="18"/>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s="17" customFormat="1" ht="16.2" customHeight="1">
      <c r="C87" s="97"/>
      <c r="D87" s="20"/>
      <c r="E87" s="19"/>
      <c r="F87" s="97"/>
      <c r="G87" s="19"/>
    </row>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row r="235"/>
    <row r="236"/>
    <row r="237"/>
    <row r="238"/>
    <row r="239"/>
    <row r="240"/>
    <row r="241"/>
    <row r="242"/>
    <row r="243"/>
    <row r="244"/>
    <row r="245"/>
    <row r="246"/>
    <row r="247"/>
    <row r="248"/>
    <row r="249"/>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sheetData>
  <mergeCells count="41">
    <mergeCell ref="E58:H58"/>
    <mergeCell ref="A59:H59"/>
    <mergeCell ref="A50:B50"/>
    <mergeCell ref="E50:H50"/>
    <mergeCell ref="A51:D51"/>
    <mergeCell ref="E51:H51"/>
    <mergeCell ref="A52:D52"/>
    <mergeCell ref="A53:D53"/>
    <mergeCell ref="A49:D49"/>
    <mergeCell ref="E49:H49"/>
    <mergeCell ref="C32:H32"/>
    <mergeCell ref="A33:B33"/>
    <mergeCell ref="C33:E33"/>
    <mergeCell ref="F33:H33"/>
    <mergeCell ref="C39:E39"/>
    <mergeCell ref="F39:H39"/>
    <mergeCell ref="A41:D41"/>
    <mergeCell ref="E41:H41"/>
    <mergeCell ref="A42:D42"/>
    <mergeCell ref="E42:H42"/>
    <mergeCell ref="E48:H48"/>
    <mergeCell ref="A22:H22"/>
    <mergeCell ref="A6:H6"/>
    <mergeCell ref="A7:H7"/>
    <mergeCell ref="A8:H8"/>
    <mergeCell ref="A9:H9"/>
    <mergeCell ref="A10:H10"/>
    <mergeCell ref="A11:H11"/>
    <mergeCell ref="B13:F13"/>
    <mergeCell ref="B15:F15"/>
    <mergeCell ref="B17:F17"/>
    <mergeCell ref="B20:F20"/>
    <mergeCell ref="B21:F21"/>
    <mergeCell ref="B18:F18"/>
    <mergeCell ref="A4:B4"/>
    <mergeCell ref="C4:H4"/>
    <mergeCell ref="A1:B1"/>
    <mergeCell ref="C1:H1"/>
    <mergeCell ref="A2:B2"/>
    <mergeCell ref="C2:H2"/>
    <mergeCell ref="A3:B3"/>
  </mergeCells>
  <dataValidations count="2">
    <dataValidation type="list" allowBlank="1" showInputMessage="1" showErrorMessage="1" sqref="WVJ983051:WVJ983068 B983051:B983068 IX983051:IX983068 ST983051:ST983068 ACP983051:ACP983068 AML983051:AML983068 AWH983051:AWH983068 BGD983051:BGD983068 BPZ983051:BPZ983068 BZV983051:BZV983068 CJR983051:CJR983068 CTN983051:CTN983068 DDJ983051:DDJ983068 DNF983051:DNF983068 DXB983051:DXB983068 EGX983051:EGX983068 EQT983051:EQT983068 FAP983051:FAP983068 FKL983051:FKL983068 FUH983051:FUH983068 GED983051:GED983068 GNZ983051:GNZ983068 GXV983051:GXV983068 HHR983051:HHR983068 HRN983051:HRN983068 IBJ983051:IBJ983068 ILF983051:ILF983068 IVB983051:IVB983068 JEX983051:JEX983068 JOT983051:JOT983068 JYP983051:JYP983068 KIL983051:KIL983068 KSH983051:KSH983068 LCD983051:LCD983068 LLZ983051:LLZ983068 LVV983051:LVV983068 MFR983051:MFR983068 MPN983051:MPN983068 MZJ983051:MZJ983068 NJF983051:NJF983068 NTB983051:NTB983068 OCX983051:OCX983068 OMT983051:OMT983068 OWP983051:OWP983068 PGL983051:PGL983068 PQH983051:PQH983068 QAD983051:QAD983068 QJZ983051:QJZ983068 QTV983051:QTV983068 RDR983051:RDR983068 RNN983051:RNN983068 RXJ983051:RXJ983068 SHF983051:SHF983068 SRB983051:SRB983068 TAX983051:TAX983068 TKT983051:TKT983068 TUP983051:TUP983068 UEL983051:UEL983068 UOH983051:UOH983068 UYD983051:UYD983068 VHZ983051:VHZ983068 VRV983051:VRV983068 WBR983051:WBR983068 WLN983051:WLN983068 B65547:B65564 IX65547:IX65564 ST65547:ST65564 ACP65547:ACP65564 AML65547:AML65564 AWH65547:AWH65564 BGD65547:BGD65564 BPZ65547:BPZ65564 BZV65547:BZV65564 CJR65547:CJR65564 CTN65547:CTN65564 DDJ65547:DDJ65564 DNF65547:DNF65564 DXB65547:DXB65564 EGX65547:EGX65564 EQT65547:EQT65564 FAP65547:FAP65564 FKL65547:FKL65564 FUH65547:FUH65564 GED65547:GED65564 GNZ65547:GNZ65564 GXV65547:GXV65564 HHR65547:HHR65564 HRN65547:HRN65564 IBJ65547:IBJ65564 ILF65547:ILF65564 IVB65547:IVB65564 JEX65547:JEX65564 JOT65547:JOT65564 JYP65547:JYP65564 KIL65547:KIL65564 KSH65547:KSH65564 LCD65547:LCD65564 LLZ65547:LLZ65564 LVV65547:LVV65564 MFR65547:MFR65564 MPN65547:MPN65564 MZJ65547:MZJ65564 NJF65547:NJF65564 NTB65547:NTB65564 OCX65547:OCX65564 OMT65547:OMT65564 OWP65547:OWP65564 PGL65547:PGL65564 PQH65547:PQH65564 QAD65547:QAD65564 QJZ65547:QJZ65564 QTV65547:QTV65564 RDR65547:RDR65564 RNN65547:RNN65564 RXJ65547:RXJ65564 SHF65547:SHF65564 SRB65547:SRB65564 TAX65547:TAX65564 TKT65547:TKT65564 TUP65547:TUP65564 UEL65547:UEL65564 UOH65547:UOH65564 UYD65547:UYD65564 VHZ65547:VHZ65564 VRV65547:VRV65564 WBR65547:WBR65564 WLN65547:WLN65564 WVJ65547:WVJ65564 B131083:B131100 IX131083:IX131100 ST131083:ST131100 ACP131083:ACP131100 AML131083:AML131100 AWH131083:AWH131100 BGD131083:BGD131100 BPZ131083:BPZ131100 BZV131083:BZV131100 CJR131083:CJR131100 CTN131083:CTN131100 DDJ131083:DDJ131100 DNF131083:DNF131100 DXB131083:DXB131100 EGX131083:EGX131100 EQT131083:EQT131100 FAP131083:FAP131100 FKL131083:FKL131100 FUH131083:FUH131100 GED131083:GED131100 GNZ131083:GNZ131100 GXV131083:GXV131100 HHR131083:HHR131100 HRN131083:HRN131100 IBJ131083:IBJ131100 ILF131083:ILF131100 IVB131083:IVB131100 JEX131083:JEX131100 JOT131083:JOT131100 JYP131083:JYP131100 KIL131083:KIL131100 KSH131083:KSH131100 LCD131083:LCD131100 LLZ131083:LLZ131100 LVV131083:LVV131100 MFR131083:MFR131100 MPN131083:MPN131100 MZJ131083:MZJ131100 NJF131083:NJF131100 NTB131083:NTB131100 OCX131083:OCX131100 OMT131083:OMT131100 OWP131083:OWP131100 PGL131083:PGL131100 PQH131083:PQH131100 QAD131083:QAD131100 QJZ131083:QJZ131100 QTV131083:QTV131100 RDR131083:RDR131100 RNN131083:RNN131100 RXJ131083:RXJ131100 SHF131083:SHF131100 SRB131083:SRB131100 TAX131083:TAX131100 TKT131083:TKT131100 TUP131083:TUP131100 UEL131083:UEL131100 UOH131083:UOH131100 UYD131083:UYD131100 VHZ131083:VHZ131100 VRV131083:VRV131100 WBR131083:WBR131100 WLN131083:WLN131100 WVJ131083:WVJ131100 B196619:B196636 IX196619:IX196636 ST196619:ST196636 ACP196619:ACP196636 AML196619:AML196636 AWH196619:AWH196636 BGD196619:BGD196636 BPZ196619:BPZ196636 BZV196619:BZV196636 CJR196619:CJR196636 CTN196619:CTN196636 DDJ196619:DDJ196636 DNF196619:DNF196636 DXB196619:DXB196636 EGX196619:EGX196636 EQT196619:EQT196636 FAP196619:FAP196636 FKL196619:FKL196636 FUH196619:FUH196636 GED196619:GED196636 GNZ196619:GNZ196636 GXV196619:GXV196636 HHR196619:HHR196636 HRN196619:HRN196636 IBJ196619:IBJ196636 ILF196619:ILF196636 IVB196619:IVB196636 JEX196619:JEX196636 JOT196619:JOT196636 JYP196619:JYP196636 KIL196619:KIL196636 KSH196619:KSH196636 LCD196619:LCD196636 LLZ196619:LLZ196636 LVV196619:LVV196636 MFR196619:MFR196636 MPN196619:MPN196636 MZJ196619:MZJ196636 NJF196619:NJF196636 NTB196619:NTB196636 OCX196619:OCX196636 OMT196619:OMT196636 OWP196619:OWP196636 PGL196619:PGL196636 PQH196619:PQH196636 QAD196619:QAD196636 QJZ196619:QJZ196636 QTV196619:QTV196636 RDR196619:RDR196636 RNN196619:RNN196636 RXJ196619:RXJ196636 SHF196619:SHF196636 SRB196619:SRB196636 TAX196619:TAX196636 TKT196619:TKT196636 TUP196619:TUP196636 UEL196619:UEL196636 UOH196619:UOH196636 UYD196619:UYD196636 VHZ196619:VHZ196636 VRV196619:VRV196636 WBR196619:WBR196636 WLN196619:WLN196636 WVJ196619:WVJ196636 B262155:B262172 IX262155:IX262172 ST262155:ST262172 ACP262155:ACP262172 AML262155:AML262172 AWH262155:AWH262172 BGD262155:BGD262172 BPZ262155:BPZ262172 BZV262155:BZV262172 CJR262155:CJR262172 CTN262155:CTN262172 DDJ262155:DDJ262172 DNF262155:DNF262172 DXB262155:DXB262172 EGX262155:EGX262172 EQT262155:EQT262172 FAP262155:FAP262172 FKL262155:FKL262172 FUH262155:FUH262172 GED262155:GED262172 GNZ262155:GNZ262172 GXV262155:GXV262172 HHR262155:HHR262172 HRN262155:HRN262172 IBJ262155:IBJ262172 ILF262155:ILF262172 IVB262155:IVB262172 JEX262155:JEX262172 JOT262155:JOT262172 JYP262155:JYP262172 KIL262155:KIL262172 KSH262155:KSH262172 LCD262155:LCD262172 LLZ262155:LLZ262172 LVV262155:LVV262172 MFR262155:MFR262172 MPN262155:MPN262172 MZJ262155:MZJ262172 NJF262155:NJF262172 NTB262155:NTB262172 OCX262155:OCX262172 OMT262155:OMT262172 OWP262155:OWP262172 PGL262155:PGL262172 PQH262155:PQH262172 QAD262155:QAD262172 QJZ262155:QJZ262172 QTV262155:QTV262172 RDR262155:RDR262172 RNN262155:RNN262172 RXJ262155:RXJ262172 SHF262155:SHF262172 SRB262155:SRB262172 TAX262155:TAX262172 TKT262155:TKT262172 TUP262155:TUP262172 UEL262155:UEL262172 UOH262155:UOH262172 UYD262155:UYD262172 VHZ262155:VHZ262172 VRV262155:VRV262172 WBR262155:WBR262172 WLN262155:WLN262172 WVJ262155:WVJ262172 B327691:B327708 IX327691:IX327708 ST327691:ST327708 ACP327691:ACP327708 AML327691:AML327708 AWH327691:AWH327708 BGD327691:BGD327708 BPZ327691:BPZ327708 BZV327691:BZV327708 CJR327691:CJR327708 CTN327691:CTN327708 DDJ327691:DDJ327708 DNF327691:DNF327708 DXB327691:DXB327708 EGX327691:EGX327708 EQT327691:EQT327708 FAP327691:FAP327708 FKL327691:FKL327708 FUH327691:FUH327708 GED327691:GED327708 GNZ327691:GNZ327708 GXV327691:GXV327708 HHR327691:HHR327708 HRN327691:HRN327708 IBJ327691:IBJ327708 ILF327691:ILF327708 IVB327691:IVB327708 JEX327691:JEX327708 JOT327691:JOT327708 JYP327691:JYP327708 KIL327691:KIL327708 KSH327691:KSH327708 LCD327691:LCD327708 LLZ327691:LLZ327708 LVV327691:LVV327708 MFR327691:MFR327708 MPN327691:MPN327708 MZJ327691:MZJ327708 NJF327691:NJF327708 NTB327691:NTB327708 OCX327691:OCX327708 OMT327691:OMT327708 OWP327691:OWP327708 PGL327691:PGL327708 PQH327691:PQH327708 QAD327691:QAD327708 QJZ327691:QJZ327708 QTV327691:QTV327708 RDR327691:RDR327708 RNN327691:RNN327708 RXJ327691:RXJ327708 SHF327691:SHF327708 SRB327691:SRB327708 TAX327691:TAX327708 TKT327691:TKT327708 TUP327691:TUP327708 UEL327691:UEL327708 UOH327691:UOH327708 UYD327691:UYD327708 VHZ327691:VHZ327708 VRV327691:VRV327708 WBR327691:WBR327708 WLN327691:WLN327708 WVJ327691:WVJ327708 B393227:B393244 IX393227:IX393244 ST393227:ST393244 ACP393227:ACP393244 AML393227:AML393244 AWH393227:AWH393244 BGD393227:BGD393244 BPZ393227:BPZ393244 BZV393227:BZV393244 CJR393227:CJR393244 CTN393227:CTN393244 DDJ393227:DDJ393244 DNF393227:DNF393244 DXB393227:DXB393244 EGX393227:EGX393244 EQT393227:EQT393244 FAP393227:FAP393244 FKL393227:FKL393244 FUH393227:FUH393244 GED393227:GED393244 GNZ393227:GNZ393244 GXV393227:GXV393244 HHR393227:HHR393244 HRN393227:HRN393244 IBJ393227:IBJ393244 ILF393227:ILF393244 IVB393227:IVB393244 JEX393227:JEX393244 JOT393227:JOT393244 JYP393227:JYP393244 KIL393227:KIL393244 KSH393227:KSH393244 LCD393227:LCD393244 LLZ393227:LLZ393244 LVV393227:LVV393244 MFR393227:MFR393244 MPN393227:MPN393244 MZJ393227:MZJ393244 NJF393227:NJF393244 NTB393227:NTB393244 OCX393227:OCX393244 OMT393227:OMT393244 OWP393227:OWP393244 PGL393227:PGL393244 PQH393227:PQH393244 QAD393227:QAD393244 QJZ393227:QJZ393244 QTV393227:QTV393244 RDR393227:RDR393244 RNN393227:RNN393244 RXJ393227:RXJ393244 SHF393227:SHF393244 SRB393227:SRB393244 TAX393227:TAX393244 TKT393227:TKT393244 TUP393227:TUP393244 UEL393227:UEL393244 UOH393227:UOH393244 UYD393227:UYD393244 VHZ393227:VHZ393244 VRV393227:VRV393244 WBR393227:WBR393244 WLN393227:WLN393244 WVJ393227:WVJ393244 B458763:B458780 IX458763:IX458780 ST458763:ST458780 ACP458763:ACP458780 AML458763:AML458780 AWH458763:AWH458780 BGD458763:BGD458780 BPZ458763:BPZ458780 BZV458763:BZV458780 CJR458763:CJR458780 CTN458763:CTN458780 DDJ458763:DDJ458780 DNF458763:DNF458780 DXB458763:DXB458780 EGX458763:EGX458780 EQT458763:EQT458780 FAP458763:FAP458780 FKL458763:FKL458780 FUH458763:FUH458780 GED458763:GED458780 GNZ458763:GNZ458780 GXV458763:GXV458780 HHR458763:HHR458780 HRN458763:HRN458780 IBJ458763:IBJ458780 ILF458763:ILF458780 IVB458763:IVB458780 JEX458763:JEX458780 JOT458763:JOT458780 JYP458763:JYP458780 KIL458763:KIL458780 KSH458763:KSH458780 LCD458763:LCD458780 LLZ458763:LLZ458780 LVV458763:LVV458780 MFR458763:MFR458780 MPN458763:MPN458780 MZJ458763:MZJ458780 NJF458763:NJF458780 NTB458763:NTB458780 OCX458763:OCX458780 OMT458763:OMT458780 OWP458763:OWP458780 PGL458763:PGL458780 PQH458763:PQH458780 QAD458763:QAD458780 QJZ458763:QJZ458780 QTV458763:QTV458780 RDR458763:RDR458780 RNN458763:RNN458780 RXJ458763:RXJ458780 SHF458763:SHF458780 SRB458763:SRB458780 TAX458763:TAX458780 TKT458763:TKT458780 TUP458763:TUP458780 UEL458763:UEL458780 UOH458763:UOH458780 UYD458763:UYD458780 VHZ458763:VHZ458780 VRV458763:VRV458780 WBR458763:WBR458780 WLN458763:WLN458780 WVJ458763:WVJ458780 B524299:B524316 IX524299:IX524316 ST524299:ST524316 ACP524299:ACP524316 AML524299:AML524316 AWH524299:AWH524316 BGD524299:BGD524316 BPZ524299:BPZ524316 BZV524299:BZV524316 CJR524299:CJR524316 CTN524299:CTN524316 DDJ524299:DDJ524316 DNF524299:DNF524316 DXB524299:DXB524316 EGX524299:EGX524316 EQT524299:EQT524316 FAP524299:FAP524316 FKL524299:FKL524316 FUH524299:FUH524316 GED524299:GED524316 GNZ524299:GNZ524316 GXV524299:GXV524316 HHR524299:HHR524316 HRN524299:HRN524316 IBJ524299:IBJ524316 ILF524299:ILF524316 IVB524299:IVB524316 JEX524299:JEX524316 JOT524299:JOT524316 JYP524299:JYP524316 KIL524299:KIL524316 KSH524299:KSH524316 LCD524299:LCD524316 LLZ524299:LLZ524316 LVV524299:LVV524316 MFR524299:MFR524316 MPN524299:MPN524316 MZJ524299:MZJ524316 NJF524299:NJF524316 NTB524299:NTB524316 OCX524299:OCX524316 OMT524299:OMT524316 OWP524299:OWP524316 PGL524299:PGL524316 PQH524299:PQH524316 QAD524299:QAD524316 QJZ524299:QJZ524316 QTV524299:QTV524316 RDR524299:RDR524316 RNN524299:RNN524316 RXJ524299:RXJ524316 SHF524299:SHF524316 SRB524299:SRB524316 TAX524299:TAX524316 TKT524299:TKT524316 TUP524299:TUP524316 UEL524299:UEL524316 UOH524299:UOH524316 UYD524299:UYD524316 VHZ524299:VHZ524316 VRV524299:VRV524316 WBR524299:WBR524316 WLN524299:WLN524316 WVJ524299:WVJ524316 B589835:B589852 IX589835:IX589852 ST589835:ST589852 ACP589835:ACP589852 AML589835:AML589852 AWH589835:AWH589852 BGD589835:BGD589852 BPZ589835:BPZ589852 BZV589835:BZV589852 CJR589835:CJR589852 CTN589835:CTN589852 DDJ589835:DDJ589852 DNF589835:DNF589852 DXB589835:DXB589852 EGX589835:EGX589852 EQT589835:EQT589852 FAP589835:FAP589852 FKL589835:FKL589852 FUH589835:FUH589852 GED589835:GED589852 GNZ589835:GNZ589852 GXV589835:GXV589852 HHR589835:HHR589852 HRN589835:HRN589852 IBJ589835:IBJ589852 ILF589835:ILF589852 IVB589835:IVB589852 JEX589835:JEX589852 JOT589835:JOT589852 JYP589835:JYP589852 KIL589835:KIL589852 KSH589835:KSH589852 LCD589835:LCD589852 LLZ589835:LLZ589852 LVV589835:LVV589852 MFR589835:MFR589852 MPN589835:MPN589852 MZJ589835:MZJ589852 NJF589835:NJF589852 NTB589835:NTB589852 OCX589835:OCX589852 OMT589835:OMT589852 OWP589835:OWP589852 PGL589835:PGL589852 PQH589835:PQH589852 QAD589835:QAD589852 QJZ589835:QJZ589852 QTV589835:QTV589852 RDR589835:RDR589852 RNN589835:RNN589852 RXJ589835:RXJ589852 SHF589835:SHF589852 SRB589835:SRB589852 TAX589835:TAX589852 TKT589835:TKT589852 TUP589835:TUP589852 UEL589835:UEL589852 UOH589835:UOH589852 UYD589835:UYD589852 VHZ589835:VHZ589852 VRV589835:VRV589852 WBR589835:WBR589852 WLN589835:WLN589852 WVJ589835:WVJ589852 B655371:B655388 IX655371:IX655388 ST655371:ST655388 ACP655371:ACP655388 AML655371:AML655388 AWH655371:AWH655388 BGD655371:BGD655388 BPZ655371:BPZ655388 BZV655371:BZV655388 CJR655371:CJR655388 CTN655371:CTN655388 DDJ655371:DDJ655388 DNF655371:DNF655388 DXB655371:DXB655388 EGX655371:EGX655388 EQT655371:EQT655388 FAP655371:FAP655388 FKL655371:FKL655388 FUH655371:FUH655388 GED655371:GED655388 GNZ655371:GNZ655388 GXV655371:GXV655388 HHR655371:HHR655388 HRN655371:HRN655388 IBJ655371:IBJ655388 ILF655371:ILF655388 IVB655371:IVB655388 JEX655371:JEX655388 JOT655371:JOT655388 JYP655371:JYP655388 KIL655371:KIL655388 KSH655371:KSH655388 LCD655371:LCD655388 LLZ655371:LLZ655388 LVV655371:LVV655388 MFR655371:MFR655388 MPN655371:MPN655388 MZJ655371:MZJ655388 NJF655371:NJF655388 NTB655371:NTB655388 OCX655371:OCX655388 OMT655371:OMT655388 OWP655371:OWP655388 PGL655371:PGL655388 PQH655371:PQH655388 QAD655371:QAD655388 QJZ655371:QJZ655388 QTV655371:QTV655388 RDR655371:RDR655388 RNN655371:RNN655388 RXJ655371:RXJ655388 SHF655371:SHF655388 SRB655371:SRB655388 TAX655371:TAX655388 TKT655371:TKT655388 TUP655371:TUP655388 UEL655371:UEL655388 UOH655371:UOH655388 UYD655371:UYD655388 VHZ655371:VHZ655388 VRV655371:VRV655388 WBR655371:WBR655388 WLN655371:WLN655388 WVJ655371:WVJ655388 B720907:B720924 IX720907:IX720924 ST720907:ST720924 ACP720907:ACP720924 AML720907:AML720924 AWH720907:AWH720924 BGD720907:BGD720924 BPZ720907:BPZ720924 BZV720907:BZV720924 CJR720907:CJR720924 CTN720907:CTN720924 DDJ720907:DDJ720924 DNF720907:DNF720924 DXB720907:DXB720924 EGX720907:EGX720924 EQT720907:EQT720924 FAP720907:FAP720924 FKL720907:FKL720924 FUH720907:FUH720924 GED720907:GED720924 GNZ720907:GNZ720924 GXV720907:GXV720924 HHR720907:HHR720924 HRN720907:HRN720924 IBJ720907:IBJ720924 ILF720907:ILF720924 IVB720907:IVB720924 JEX720907:JEX720924 JOT720907:JOT720924 JYP720907:JYP720924 KIL720907:KIL720924 KSH720907:KSH720924 LCD720907:LCD720924 LLZ720907:LLZ720924 LVV720907:LVV720924 MFR720907:MFR720924 MPN720907:MPN720924 MZJ720907:MZJ720924 NJF720907:NJF720924 NTB720907:NTB720924 OCX720907:OCX720924 OMT720907:OMT720924 OWP720907:OWP720924 PGL720907:PGL720924 PQH720907:PQH720924 QAD720907:QAD720924 QJZ720907:QJZ720924 QTV720907:QTV720924 RDR720907:RDR720924 RNN720907:RNN720924 RXJ720907:RXJ720924 SHF720907:SHF720924 SRB720907:SRB720924 TAX720907:TAX720924 TKT720907:TKT720924 TUP720907:TUP720924 UEL720907:UEL720924 UOH720907:UOH720924 UYD720907:UYD720924 VHZ720907:VHZ720924 VRV720907:VRV720924 WBR720907:WBR720924 WLN720907:WLN720924 WVJ720907:WVJ720924 B786443:B786460 IX786443:IX786460 ST786443:ST786460 ACP786443:ACP786460 AML786443:AML786460 AWH786443:AWH786460 BGD786443:BGD786460 BPZ786443:BPZ786460 BZV786443:BZV786460 CJR786443:CJR786460 CTN786443:CTN786460 DDJ786443:DDJ786460 DNF786443:DNF786460 DXB786443:DXB786460 EGX786443:EGX786460 EQT786443:EQT786460 FAP786443:FAP786460 FKL786443:FKL786460 FUH786443:FUH786460 GED786443:GED786460 GNZ786443:GNZ786460 GXV786443:GXV786460 HHR786443:HHR786460 HRN786443:HRN786460 IBJ786443:IBJ786460 ILF786443:ILF786460 IVB786443:IVB786460 JEX786443:JEX786460 JOT786443:JOT786460 JYP786443:JYP786460 KIL786443:KIL786460 KSH786443:KSH786460 LCD786443:LCD786460 LLZ786443:LLZ786460 LVV786443:LVV786460 MFR786443:MFR786460 MPN786443:MPN786460 MZJ786443:MZJ786460 NJF786443:NJF786460 NTB786443:NTB786460 OCX786443:OCX786460 OMT786443:OMT786460 OWP786443:OWP786460 PGL786443:PGL786460 PQH786443:PQH786460 QAD786443:QAD786460 QJZ786443:QJZ786460 QTV786443:QTV786460 RDR786443:RDR786460 RNN786443:RNN786460 RXJ786443:RXJ786460 SHF786443:SHF786460 SRB786443:SRB786460 TAX786443:TAX786460 TKT786443:TKT786460 TUP786443:TUP786460 UEL786443:UEL786460 UOH786443:UOH786460 UYD786443:UYD786460 VHZ786443:VHZ786460 VRV786443:VRV786460 WBR786443:WBR786460 WLN786443:WLN786460 WVJ786443:WVJ786460 B851979:B851996 IX851979:IX851996 ST851979:ST851996 ACP851979:ACP851996 AML851979:AML851996 AWH851979:AWH851996 BGD851979:BGD851996 BPZ851979:BPZ851996 BZV851979:BZV851996 CJR851979:CJR851996 CTN851979:CTN851996 DDJ851979:DDJ851996 DNF851979:DNF851996 DXB851979:DXB851996 EGX851979:EGX851996 EQT851979:EQT851996 FAP851979:FAP851996 FKL851979:FKL851996 FUH851979:FUH851996 GED851979:GED851996 GNZ851979:GNZ851996 GXV851979:GXV851996 HHR851979:HHR851996 HRN851979:HRN851996 IBJ851979:IBJ851996 ILF851979:ILF851996 IVB851979:IVB851996 JEX851979:JEX851996 JOT851979:JOT851996 JYP851979:JYP851996 KIL851979:KIL851996 KSH851979:KSH851996 LCD851979:LCD851996 LLZ851979:LLZ851996 LVV851979:LVV851996 MFR851979:MFR851996 MPN851979:MPN851996 MZJ851979:MZJ851996 NJF851979:NJF851996 NTB851979:NTB851996 OCX851979:OCX851996 OMT851979:OMT851996 OWP851979:OWP851996 PGL851979:PGL851996 PQH851979:PQH851996 QAD851979:QAD851996 QJZ851979:QJZ851996 QTV851979:QTV851996 RDR851979:RDR851996 RNN851979:RNN851996 RXJ851979:RXJ851996 SHF851979:SHF851996 SRB851979:SRB851996 TAX851979:TAX851996 TKT851979:TKT851996 TUP851979:TUP851996 UEL851979:UEL851996 UOH851979:UOH851996 UYD851979:UYD851996 VHZ851979:VHZ851996 VRV851979:VRV851996 WBR851979:WBR851996 WLN851979:WLN851996 WVJ851979:WVJ851996 B917515:B917532 IX917515:IX917532 ST917515:ST917532 ACP917515:ACP917532 AML917515:AML917532 AWH917515:AWH917532 BGD917515:BGD917532 BPZ917515:BPZ917532 BZV917515:BZV917532 CJR917515:CJR917532 CTN917515:CTN917532 DDJ917515:DDJ917532 DNF917515:DNF917532 DXB917515:DXB917532 EGX917515:EGX917532 EQT917515:EQT917532 FAP917515:FAP917532 FKL917515:FKL917532 FUH917515:FUH917532 GED917515:GED917532 GNZ917515:GNZ917532 GXV917515:GXV917532 HHR917515:HHR917532 HRN917515:HRN917532 IBJ917515:IBJ917532 ILF917515:ILF917532 IVB917515:IVB917532 JEX917515:JEX917532 JOT917515:JOT917532 JYP917515:JYP917532 KIL917515:KIL917532 KSH917515:KSH917532 LCD917515:LCD917532 LLZ917515:LLZ917532 LVV917515:LVV917532 MFR917515:MFR917532 MPN917515:MPN917532 MZJ917515:MZJ917532 NJF917515:NJF917532 NTB917515:NTB917532 OCX917515:OCX917532 OMT917515:OMT917532 OWP917515:OWP917532 PGL917515:PGL917532 PQH917515:PQH917532 QAD917515:QAD917532 QJZ917515:QJZ917532 QTV917515:QTV917532 RDR917515:RDR917532 RNN917515:RNN917532 RXJ917515:RXJ917532 SHF917515:SHF917532 SRB917515:SRB917532 TAX917515:TAX917532 TKT917515:TKT917532 TUP917515:TUP917532 UEL917515:UEL917532 UOH917515:UOH917532 UYD917515:UYD917532 VHZ917515:VHZ917532 VRV917515:VRV917532 WBR917515:WBR917532 WLN917515:WLN917532 WVJ917515:WVJ917532" xr:uid="{00000000-0002-0000-2500-000000000000}">
      <formula1>trung</formula1>
    </dataValidation>
    <dataValidation type="list" allowBlank="1" showInputMessage="1" showErrorMessage="1" sqref="B19" xr:uid="{00000000-0002-0000-2500-000001000000}">
      <formula1>bichphuong</formula1>
    </dataValidation>
  </dataValidation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392"/>
  <sheetViews>
    <sheetView topLeftCell="A12"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66"/>
      <c r="G3" s="102"/>
      <c r="H3" s="103"/>
    </row>
    <row r="4" spans="1:8" s="98" customFormat="1" ht="18" customHeight="1">
      <c r="A4" s="414"/>
      <c r="B4" s="414"/>
      <c r="C4" s="415" t="s">
        <v>1740</v>
      </c>
      <c r="D4" s="416"/>
      <c r="E4" s="416"/>
      <c r="F4" s="416"/>
      <c r="G4" s="416"/>
      <c r="H4" s="416"/>
    </row>
    <row r="5" spans="1:8" s="98" customFormat="1" ht="15.6">
      <c r="A5" s="104"/>
      <c r="B5" s="104"/>
      <c r="C5" s="165"/>
      <c r="D5" s="105"/>
      <c r="E5" s="106"/>
      <c r="F5" s="165"/>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1948</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1949</v>
      </c>
      <c r="C13" s="425"/>
      <c r="D13" s="425"/>
      <c r="E13" s="425"/>
      <c r="F13" s="425"/>
      <c r="G13" s="73">
        <f>G14</f>
        <v>1180000</v>
      </c>
      <c r="H13" s="74"/>
    </row>
    <row r="14" spans="1:8" s="131" customFormat="1" ht="40.5" customHeight="1">
      <c r="A14" s="123"/>
      <c r="B14" s="124" t="s">
        <v>1757</v>
      </c>
      <c r="C14" s="125" t="s">
        <v>1753</v>
      </c>
      <c r="D14" s="126">
        <v>0.1</v>
      </c>
      <c r="E14" s="127">
        <v>11800000</v>
      </c>
      <c r="F14" s="128">
        <v>1</v>
      </c>
      <c r="G14" s="129">
        <f>D14*E14*F14</f>
        <v>1180000</v>
      </c>
      <c r="H14" s="130"/>
    </row>
    <row r="15" spans="1:8" ht="27" customHeight="1">
      <c r="A15" s="75" t="s">
        <v>18</v>
      </c>
      <c r="B15" s="426" t="s">
        <v>1725</v>
      </c>
      <c r="C15" s="426"/>
      <c r="D15" s="426"/>
      <c r="E15" s="426"/>
      <c r="F15" s="426"/>
      <c r="G15" s="76">
        <f>SUM(G16:G20)</f>
        <v>3460551.6412333334</v>
      </c>
      <c r="H15" s="11"/>
    </row>
    <row r="16" spans="1:8" ht="46.8">
      <c r="A16" s="77">
        <v>1</v>
      </c>
      <c r="B16" s="78" t="s">
        <v>1950</v>
      </c>
      <c r="C16" s="14" t="s">
        <v>1754</v>
      </c>
      <c r="D16" s="132">
        <f>(1.5*1.65*0.11)+(1.5*1.85*0.11)</f>
        <v>0.5774999999999999</v>
      </c>
      <c r="E16" s="15">
        <v>2126713</v>
      </c>
      <c r="F16" s="14">
        <v>1</v>
      </c>
      <c r="G16" s="79">
        <f t="shared" ref="G16:G17" si="0">D16*E16*F16</f>
        <v>1228176.7574999998</v>
      </c>
      <c r="H16" s="15"/>
    </row>
    <row r="17" spans="1:8" s="179" customFormat="1" ht="31.2">
      <c r="A17" s="77"/>
      <c r="B17" s="78" t="s">
        <v>1988</v>
      </c>
      <c r="C17" s="14" t="s">
        <v>66</v>
      </c>
      <c r="D17" s="132">
        <f>(1.5*1.65*2)+(1.5*1.85*2)</f>
        <v>10.5</v>
      </c>
      <c r="E17" s="15">
        <v>141099</v>
      </c>
      <c r="F17" s="14">
        <v>1</v>
      </c>
      <c r="G17" s="79">
        <f t="shared" si="0"/>
        <v>1481539.5</v>
      </c>
      <c r="H17" s="15"/>
    </row>
    <row r="18" spans="1:8" ht="31.2">
      <c r="A18" s="77">
        <v>2</v>
      </c>
      <c r="B18" s="78" t="s">
        <v>1917</v>
      </c>
      <c r="C18" s="14" t="s">
        <v>1754</v>
      </c>
      <c r="D18" s="132">
        <f>0.22*0.22*2</f>
        <v>9.6799999999999997E-2</v>
      </c>
      <c r="E18" s="15">
        <v>2623803</v>
      </c>
      <c r="F18" s="14">
        <v>1</v>
      </c>
      <c r="G18" s="79">
        <f t="shared" ref="G18:G19" si="1">D18*E18*F18</f>
        <v>253984.13039999999</v>
      </c>
      <c r="H18" s="15"/>
    </row>
    <row r="19" spans="1:8" ht="30.6" customHeight="1">
      <c r="A19" s="77"/>
      <c r="B19" s="78" t="s">
        <v>1989</v>
      </c>
      <c r="C19" s="14" t="s">
        <v>66</v>
      </c>
      <c r="D19" s="132">
        <f>0.22*2*4</f>
        <v>1.76</v>
      </c>
      <c r="E19" s="15">
        <v>250492</v>
      </c>
      <c r="F19" s="14">
        <v>1</v>
      </c>
      <c r="G19" s="79">
        <f t="shared" si="1"/>
        <v>440865.92</v>
      </c>
      <c r="H19" s="15"/>
    </row>
    <row r="20" spans="1:8" ht="46.8">
      <c r="A20" s="77">
        <v>3</v>
      </c>
      <c r="B20" s="78" t="s">
        <v>2057</v>
      </c>
      <c r="C20" s="14" t="s">
        <v>1755</v>
      </c>
      <c r="D20" s="132">
        <f>(8.44/6)*2</f>
        <v>2.813333333333333</v>
      </c>
      <c r="E20" s="15">
        <v>19900</v>
      </c>
      <c r="F20" s="14">
        <v>1</v>
      </c>
      <c r="G20" s="79">
        <f t="shared" ref="G20" si="2">D20*E20*F20</f>
        <v>55985.333333333328</v>
      </c>
      <c r="H20" s="15"/>
    </row>
    <row r="21" spans="1:8" ht="24" customHeight="1">
      <c r="A21" s="75" t="s">
        <v>19</v>
      </c>
      <c r="B21" s="426" t="s">
        <v>1727</v>
      </c>
      <c r="C21" s="426"/>
      <c r="D21" s="426"/>
      <c r="E21" s="426"/>
      <c r="F21" s="426"/>
      <c r="G21" s="76">
        <f>SUM(G22:G22)</f>
        <v>90000</v>
      </c>
      <c r="H21" s="11"/>
    </row>
    <row r="22" spans="1:8" s="12" customFormat="1" ht="16.8">
      <c r="A22" s="94">
        <v>1</v>
      </c>
      <c r="B22" s="56" t="s">
        <v>1951</v>
      </c>
      <c r="C22" s="14" t="s">
        <v>66</v>
      </c>
      <c r="D22" s="14">
        <v>3</v>
      </c>
      <c r="E22" s="79">
        <v>30000</v>
      </c>
      <c r="F22" s="137">
        <v>1</v>
      </c>
      <c r="G22" s="79">
        <f>D22*E22*F22</f>
        <v>90000</v>
      </c>
      <c r="H22" s="95"/>
    </row>
    <row r="23" spans="1:8" ht="15.6">
      <c r="A23" s="80"/>
      <c r="B23" s="427" t="s">
        <v>62</v>
      </c>
      <c r="C23" s="428"/>
      <c r="D23" s="428"/>
      <c r="E23" s="428"/>
      <c r="F23" s="429"/>
      <c r="G23" s="81">
        <f>G13+G15+G21</f>
        <v>4730551.6412333334</v>
      </c>
      <c r="H23" s="82"/>
    </row>
    <row r="24" spans="1:8" ht="15.6">
      <c r="A24" s="80"/>
      <c r="B24" s="427" t="s">
        <v>1726</v>
      </c>
      <c r="C24" s="428"/>
      <c r="D24" s="428"/>
      <c r="E24" s="428"/>
      <c r="F24" s="429"/>
      <c r="G24" s="81">
        <f>ROUND(G23,-3)</f>
        <v>4731000</v>
      </c>
      <c r="H24" s="82"/>
    </row>
    <row r="25" spans="1:8" ht="15.6">
      <c r="A25" s="430" t="e">
        <f ca="1">[19]!vnd(G24)</f>
        <v>#NAME?</v>
      </c>
      <c r="B25" s="431"/>
      <c r="C25" s="431"/>
      <c r="D25" s="431"/>
      <c r="E25" s="431"/>
      <c r="F25" s="431"/>
      <c r="G25" s="431"/>
      <c r="H25" s="432"/>
    </row>
    <row r="26" spans="1:8">
      <c r="A26" s="17"/>
      <c r="B26" s="17"/>
      <c r="C26" s="97"/>
      <c r="D26" s="20"/>
      <c r="E26" s="19"/>
      <c r="F26" s="97"/>
      <c r="G26" s="19"/>
      <c r="H26" s="17"/>
    </row>
    <row r="27" spans="1:8" s="109" customFormat="1" ht="16.5" customHeight="1">
      <c r="A27" s="108"/>
      <c r="B27" s="108"/>
      <c r="C27" s="424" t="s">
        <v>1742</v>
      </c>
      <c r="D27" s="424"/>
      <c r="E27" s="424"/>
      <c r="F27" s="424"/>
      <c r="G27" s="424"/>
      <c r="H27" s="424"/>
    </row>
    <row r="28" spans="1:8" s="109" customFormat="1" ht="16.5" customHeight="1">
      <c r="A28" s="423" t="s">
        <v>63</v>
      </c>
      <c r="B28" s="423"/>
      <c r="C28" s="424" t="s">
        <v>1743</v>
      </c>
      <c r="D28" s="424"/>
      <c r="E28" s="424"/>
      <c r="F28" s="424" t="s">
        <v>1744</v>
      </c>
      <c r="G28" s="424"/>
      <c r="H28" s="424"/>
    </row>
    <row r="29" spans="1:8" s="109" customFormat="1" ht="15.6">
      <c r="A29" s="108"/>
      <c r="B29" s="108"/>
      <c r="C29" s="108"/>
      <c r="D29" s="110"/>
      <c r="E29" s="111"/>
      <c r="F29" s="112"/>
      <c r="G29" s="111"/>
      <c r="H29" s="113"/>
    </row>
    <row r="30" spans="1:8" s="109" customFormat="1" ht="15.6">
      <c r="A30" s="108"/>
      <c r="B30" s="108"/>
      <c r="C30" s="108"/>
      <c r="D30" s="110"/>
      <c r="E30" s="111"/>
      <c r="F30" s="112"/>
      <c r="G30" s="114"/>
      <c r="H30" s="113"/>
    </row>
    <row r="31" spans="1:8" s="109" customFormat="1" ht="15.6">
      <c r="A31" s="108"/>
      <c r="B31" s="108"/>
      <c r="C31" s="108"/>
      <c r="D31" s="110"/>
      <c r="E31" s="111"/>
      <c r="F31" s="112"/>
      <c r="G31" s="111"/>
      <c r="H31" s="113"/>
    </row>
    <row r="32" spans="1:8" s="109" customFormat="1" ht="15.6">
      <c r="A32" s="108"/>
      <c r="B32" s="108"/>
      <c r="C32" s="108"/>
      <c r="D32" s="110"/>
      <c r="E32" s="111"/>
      <c r="F32" s="112"/>
      <c r="G32" s="111"/>
      <c r="H32" s="113"/>
    </row>
    <row r="33" spans="1:8" s="109" customFormat="1" ht="15.6">
      <c r="A33" s="108"/>
      <c r="B33" s="108"/>
      <c r="C33" s="108"/>
      <c r="D33" s="110"/>
      <c r="E33" s="111"/>
      <c r="F33" s="112"/>
      <c r="G33" s="111"/>
      <c r="H33" s="113"/>
    </row>
    <row r="34" spans="1:8" s="109" customFormat="1" ht="16.5" customHeight="1">
      <c r="A34" s="108"/>
      <c r="B34" s="163" t="s">
        <v>64</v>
      </c>
      <c r="C34" s="424"/>
      <c r="D34" s="424"/>
      <c r="E34" s="424"/>
      <c r="F34" s="424" t="s">
        <v>1745</v>
      </c>
      <c r="G34" s="424"/>
      <c r="H34" s="424"/>
    </row>
    <row r="35" spans="1:8" s="109" customFormat="1" ht="15.6">
      <c r="A35" s="108"/>
      <c r="B35" s="163"/>
      <c r="C35" s="164"/>
      <c r="D35" s="164"/>
      <c r="E35" s="164"/>
      <c r="F35" s="164"/>
      <c r="G35" s="164"/>
      <c r="H35" s="164"/>
    </row>
    <row r="36" spans="1:8" s="109" customFormat="1" ht="15" customHeight="1">
      <c r="A36" s="424" t="s">
        <v>1746</v>
      </c>
      <c r="B36" s="424"/>
      <c r="C36" s="424"/>
      <c r="D36" s="424"/>
      <c r="E36" s="424" t="s">
        <v>1747</v>
      </c>
      <c r="F36" s="424"/>
      <c r="G36" s="424"/>
      <c r="H36" s="424"/>
    </row>
    <row r="37" spans="1:8" s="109" customFormat="1" ht="33.6" customHeight="1">
      <c r="A37" s="424" t="s">
        <v>1748</v>
      </c>
      <c r="B37" s="424"/>
      <c r="C37" s="424"/>
      <c r="D37" s="424"/>
      <c r="E37" s="424" t="s">
        <v>65</v>
      </c>
      <c r="F37" s="424"/>
      <c r="G37" s="424"/>
      <c r="H37" s="424"/>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ustomHeight="1">
      <c r="A43" s="108"/>
      <c r="B43" s="108"/>
      <c r="C43" s="108"/>
      <c r="D43" s="115"/>
      <c r="E43" s="439" t="s">
        <v>1749</v>
      </c>
      <c r="F43" s="439"/>
      <c r="G43" s="439"/>
      <c r="H43" s="439"/>
    </row>
    <row r="44" spans="1:8" s="109" customFormat="1" ht="16.5" customHeight="1">
      <c r="A44" s="424" t="s">
        <v>1751</v>
      </c>
      <c r="B44" s="424"/>
      <c r="C44" s="424"/>
      <c r="D44" s="424"/>
      <c r="E44" s="424" t="s">
        <v>1750</v>
      </c>
      <c r="F44" s="424"/>
      <c r="G44" s="424"/>
      <c r="H44" s="424"/>
    </row>
    <row r="45" spans="1:8" s="118" customFormat="1" ht="16.2" customHeight="1">
      <c r="A45" s="440"/>
      <c r="B45" s="440"/>
      <c r="C45" s="116"/>
      <c r="D45" s="117"/>
      <c r="E45" s="440"/>
      <c r="F45" s="440"/>
      <c r="G45" s="440"/>
      <c r="H45" s="440"/>
    </row>
    <row r="46" spans="1:8" s="118" customFormat="1" ht="15.75" customHeight="1">
      <c r="A46" s="440"/>
      <c r="B46" s="440"/>
      <c r="C46" s="440"/>
      <c r="D46" s="440"/>
      <c r="E46" s="440"/>
      <c r="F46" s="440"/>
      <c r="G46" s="440"/>
      <c r="H46" s="440"/>
    </row>
    <row r="47" spans="1:8" s="98" customFormat="1" ht="16.2" customHeight="1">
      <c r="A47" s="436"/>
      <c r="B47" s="436"/>
      <c r="C47" s="436"/>
      <c r="D47" s="436"/>
      <c r="E47" s="119"/>
      <c r="F47" s="120"/>
      <c r="G47" s="119"/>
      <c r="H47" s="121"/>
    </row>
    <row r="48" spans="1:8" s="98" customFormat="1" ht="16.2" customHeight="1">
      <c r="A48" s="436"/>
      <c r="B48" s="436"/>
      <c r="C48" s="436"/>
      <c r="D48" s="436"/>
      <c r="E48" s="119"/>
      <c r="F48" s="120"/>
      <c r="G48" s="119"/>
      <c r="H48" s="121"/>
    </row>
    <row r="49" spans="1:8" s="98" customFormat="1" ht="16.2" customHeight="1">
      <c r="A49" s="121"/>
      <c r="B49" s="121"/>
      <c r="C49" s="121"/>
      <c r="D49" s="122"/>
      <c r="E49" s="119"/>
      <c r="F49" s="120"/>
      <c r="G49" s="119"/>
      <c r="H49" s="121"/>
    </row>
    <row r="50" spans="1:8" ht="16.2" customHeight="1">
      <c r="A50" s="83"/>
      <c r="B50" s="83"/>
      <c r="C50" s="83"/>
      <c r="D50" s="84"/>
      <c r="E50" s="85"/>
      <c r="F50" s="86"/>
      <c r="G50" s="85"/>
      <c r="H50" s="83"/>
    </row>
    <row r="51" spans="1:8" ht="16.2" customHeight="1">
      <c r="A51" s="83"/>
      <c r="B51" s="83"/>
      <c r="C51" s="83"/>
      <c r="D51" s="84"/>
      <c r="E51" s="85"/>
      <c r="F51" s="86"/>
      <c r="G51" s="85"/>
      <c r="H51" s="83"/>
    </row>
    <row r="52" spans="1:8" ht="16.2" customHeight="1">
      <c r="A52" s="83"/>
      <c r="B52" s="83"/>
      <c r="C52" s="83"/>
      <c r="D52" s="84"/>
      <c r="E52" s="85"/>
      <c r="F52" s="86"/>
      <c r="G52" s="85"/>
      <c r="H52" s="83"/>
    </row>
    <row r="53" spans="1:8" ht="16.2" customHeight="1">
      <c r="A53" s="83"/>
      <c r="B53" s="83"/>
      <c r="C53" s="83"/>
      <c r="D53" s="84"/>
      <c r="E53" s="437"/>
      <c r="F53" s="437"/>
      <c r="G53" s="437"/>
      <c r="H53" s="437"/>
    </row>
    <row r="54" spans="1:8" ht="20.25" customHeight="1">
      <c r="A54" s="438"/>
      <c r="B54" s="438"/>
      <c r="C54" s="438"/>
      <c r="D54" s="438"/>
      <c r="E54" s="438"/>
      <c r="F54" s="438"/>
      <c r="G54" s="438"/>
      <c r="H54" s="438"/>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ht="16.2" customHeight="1"/>
    <row r="84" spans="3:7" ht="16.2" customHeight="1"/>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row r="230"/>
    <row r="231"/>
    <row r="232"/>
    <row r="233"/>
    <row r="234"/>
    <row r="235"/>
    <row r="236"/>
    <row r="237"/>
    <row r="238"/>
    <row r="239"/>
    <row r="240"/>
    <row r="241"/>
    <row r="242"/>
    <row r="243"/>
    <row r="244"/>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sheetData>
  <mergeCells count="40">
    <mergeCell ref="A4:B4"/>
    <mergeCell ref="C4:H4"/>
    <mergeCell ref="A1:B1"/>
    <mergeCell ref="C1:H1"/>
    <mergeCell ref="A2:B2"/>
    <mergeCell ref="C2:H2"/>
    <mergeCell ref="A3:B3"/>
    <mergeCell ref="A25:H25"/>
    <mergeCell ref="A6:H6"/>
    <mergeCell ref="A7:H7"/>
    <mergeCell ref="A8:H8"/>
    <mergeCell ref="A9:H9"/>
    <mergeCell ref="A10:H10"/>
    <mergeCell ref="A11:H11"/>
    <mergeCell ref="B13:F13"/>
    <mergeCell ref="B15:F15"/>
    <mergeCell ref="B21:F21"/>
    <mergeCell ref="B23:F23"/>
    <mergeCell ref="B24:F24"/>
    <mergeCell ref="A44:D44"/>
    <mergeCell ref="E44:H44"/>
    <mergeCell ref="C27:H27"/>
    <mergeCell ref="A28:B28"/>
    <mergeCell ref="C28:E28"/>
    <mergeCell ref="F28:H28"/>
    <mergeCell ref="C34:E34"/>
    <mergeCell ref="F34:H34"/>
    <mergeCell ref="A36:D36"/>
    <mergeCell ref="E36:H36"/>
    <mergeCell ref="A37:D37"/>
    <mergeCell ref="E37:H37"/>
    <mergeCell ref="E43:H43"/>
    <mergeCell ref="E53:H53"/>
    <mergeCell ref="A54:H54"/>
    <mergeCell ref="A45:B45"/>
    <mergeCell ref="E45:H45"/>
    <mergeCell ref="A46:D46"/>
    <mergeCell ref="E46:H46"/>
    <mergeCell ref="A47:D47"/>
    <mergeCell ref="A48:D48"/>
  </mergeCells>
  <dataValidations count="2">
    <dataValidation type="list" allowBlank="1" showInputMessage="1" showErrorMessage="1" sqref="B22" xr:uid="{00000000-0002-0000-2600-000000000000}">
      <formula1>bichphuong</formula1>
    </dataValidation>
    <dataValidation type="list" allowBlank="1" showInputMessage="1" showErrorMessage="1" sqref="WVJ983046:WVJ983063 B983046:B983063 IX983046:IX983063 ST983046:ST983063 ACP983046:ACP983063 AML983046:AML983063 AWH983046:AWH983063 BGD983046:BGD983063 BPZ983046:BPZ983063 BZV983046:BZV983063 CJR983046:CJR983063 CTN983046:CTN983063 DDJ983046:DDJ983063 DNF983046:DNF983063 DXB983046:DXB983063 EGX983046:EGX983063 EQT983046:EQT983063 FAP983046:FAP983063 FKL983046:FKL983063 FUH983046:FUH983063 GED983046:GED983063 GNZ983046:GNZ983063 GXV983046:GXV983063 HHR983046:HHR983063 HRN983046:HRN983063 IBJ983046:IBJ983063 ILF983046:ILF983063 IVB983046:IVB983063 JEX983046:JEX983063 JOT983046:JOT983063 JYP983046:JYP983063 KIL983046:KIL983063 KSH983046:KSH983063 LCD983046:LCD983063 LLZ983046:LLZ983063 LVV983046:LVV983063 MFR983046:MFR983063 MPN983046:MPN983063 MZJ983046:MZJ983063 NJF983046:NJF983063 NTB983046:NTB983063 OCX983046:OCX983063 OMT983046:OMT983063 OWP983046:OWP983063 PGL983046:PGL983063 PQH983046:PQH983063 QAD983046:QAD983063 QJZ983046:QJZ983063 QTV983046:QTV983063 RDR983046:RDR983063 RNN983046:RNN983063 RXJ983046:RXJ983063 SHF983046:SHF983063 SRB983046:SRB983063 TAX983046:TAX983063 TKT983046:TKT983063 TUP983046:TUP983063 UEL983046:UEL983063 UOH983046:UOH983063 UYD983046:UYD983063 VHZ983046:VHZ983063 VRV983046:VRV983063 WBR983046:WBR983063 WLN983046:WLN983063 B65542:B65559 IX65542:IX65559 ST65542:ST65559 ACP65542:ACP65559 AML65542:AML65559 AWH65542:AWH65559 BGD65542:BGD65559 BPZ65542:BPZ65559 BZV65542:BZV65559 CJR65542:CJR65559 CTN65542:CTN65559 DDJ65542:DDJ65559 DNF65542:DNF65559 DXB65542:DXB65559 EGX65542:EGX65559 EQT65542:EQT65559 FAP65542:FAP65559 FKL65542:FKL65559 FUH65542:FUH65559 GED65542:GED65559 GNZ65542:GNZ65559 GXV65542:GXV65559 HHR65542:HHR65559 HRN65542:HRN65559 IBJ65542:IBJ65559 ILF65542:ILF65559 IVB65542:IVB65559 JEX65542:JEX65559 JOT65542:JOT65559 JYP65542:JYP65559 KIL65542:KIL65559 KSH65542:KSH65559 LCD65542:LCD65559 LLZ65542:LLZ65559 LVV65542:LVV65559 MFR65542:MFR65559 MPN65542:MPN65559 MZJ65542:MZJ65559 NJF65542:NJF65559 NTB65542:NTB65559 OCX65542:OCX65559 OMT65542:OMT65559 OWP65542:OWP65559 PGL65542:PGL65559 PQH65542:PQH65559 QAD65542:QAD65559 QJZ65542:QJZ65559 QTV65542:QTV65559 RDR65542:RDR65559 RNN65542:RNN65559 RXJ65542:RXJ65559 SHF65542:SHF65559 SRB65542:SRB65559 TAX65542:TAX65559 TKT65542:TKT65559 TUP65542:TUP65559 UEL65542:UEL65559 UOH65542:UOH65559 UYD65542:UYD65559 VHZ65542:VHZ65559 VRV65542:VRV65559 WBR65542:WBR65559 WLN65542:WLN65559 WVJ65542:WVJ65559 B131078:B131095 IX131078:IX131095 ST131078:ST131095 ACP131078:ACP131095 AML131078:AML131095 AWH131078:AWH131095 BGD131078:BGD131095 BPZ131078:BPZ131095 BZV131078:BZV131095 CJR131078:CJR131095 CTN131078:CTN131095 DDJ131078:DDJ131095 DNF131078:DNF131095 DXB131078:DXB131095 EGX131078:EGX131095 EQT131078:EQT131095 FAP131078:FAP131095 FKL131078:FKL131095 FUH131078:FUH131095 GED131078:GED131095 GNZ131078:GNZ131095 GXV131078:GXV131095 HHR131078:HHR131095 HRN131078:HRN131095 IBJ131078:IBJ131095 ILF131078:ILF131095 IVB131078:IVB131095 JEX131078:JEX131095 JOT131078:JOT131095 JYP131078:JYP131095 KIL131078:KIL131095 KSH131078:KSH131095 LCD131078:LCD131095 LLZ131078:LLZ131095 LVV131078:LVV131095 MFR131078:MFR131095 MPN131078:MPN131095 MZJ131078:MZJ131095 NJF131078:NJF131095 NTB131078:NTB131095 OCX131078:OCX131095 OMT131078:OMT131095 OWP131078:OWP131095 PGL131078:PGL131095 PQH131078:PQH131095 QAD131078:QAD131095 QJZ131078:QJZ131095 QTV131078:QTV131095 RDR131078:RDR131095 RNN131078:RNN131095 RXJ131078:RXJ131095 SHF131078:SHF131095 SRB131078:SRB131095 TAX131078:TAX131095 TKT131078:TKT131095 TUP131078:TUP131095 UEL131078:UEL131095 UOH131078:UOH131095 UYD131078:UYD131095 VHZ131078:VHZ131095 VRV131078:VRV131095 WBR131078:WBR131095 WLN131078:WLN131095 WVJ131078:WVJ131095 B196614:B196631 IX196614:IX196631 ST196614:ST196631 ACP196614:ACP196631 AML196614:AML196631 AWH196614:AWH196631 BGD196614:BGD196631 BPZ196614:BPZ196631 BZV196614:BZV196631 CJR196614:CJR196631 CTN196614:CTN196631 DDJ196614:DDJ196631 DNF196614:DNF196631 DXB196614:DXB196631 EGX196614:EGX196631 EQT196614:EQT196631 FAP196614:FAP196631 FKL196614:FKL196631 FUH196614:FUH196631 GED196614:GED196631 GNZ196614:GNZ196631 GXV196614:GXV196631 HHR196614:HHR196631 HRN196614:HRN196631 IBJ196614:IBJ196631 ILF196614:ILF196631 IVB196614:IVB196631 JEX196614:JEX196631 JOT196614:JOT196631 JYP196614:JYP196631 KIL196614:KIL196631 KSH196614:KSH196631 LCD196614:LCD196631 LLZ196614:LLZ196631 LVV196614:LVV196631 MFR196614:MFR196631 MPN196614:MPN196631 MZJ196614:MZJ196631 NJF196614:NJF196631 NTB196614:NTB196631 OCX196614:OCX196631 OMT196614:OMT196631 OWP196614:OWP196631 PGL196614:PGL196631 PQH196614:PQH196631 QAD196614:QAD196631 QJZ196614:QJZ196631 QTV196614:QTV196631 RDR196614:RDR196631 RNN196614:RNN196631 RXJ196614:RXJ196631 SHF196614:SHF196631 SRB196614:SRB196631 TAX196614:TAX196631 TKT196614:TKT196631 TUP196614:TUP196631 UEL196614:UEL196631 UOH196614:UOH196631 UYD196614:UYD196631 VHZ196614:VHZ196631 VRV196614:VRV196631 WBR196614:WBR196631 WLN196614:WLN196631 WVJ196614:WVJ196631 B262150:B262167 IX262150:IX262167 ST262150:ST262167 ACP262150:ACP262167 AML262150:AML262167 AWH262150:AWH262167 BGD262150:BGD262167 BPZ262150:BPZ262167 BZV262150:BZV262167 CJR262150:CJR262167 CTN262150:CTN262167 DDJ262150:DDJ262167 DNF262150:DNF262167 DXB262150:DXB262167 EGX262150:EGX262167 EQT262150:EQT262167 FAP262150:FAP262167 FKL262150:FKL262167 FUH262150:FUH262167 GED262150:GED262167 GNZ262150:GNZ262167 GXV262150:GXV262167 HHR262150:HHR262167 HRN262150:HRN262167 IBJ262150:IBJ262167 ILF262150:ILF262167 IVB262150:IVB262167 JEX262150:JEX262167 JOT262150:JOT262167 JYP262150:JYP262167 KIL262150:KIL262167 KSH262150:KSH262167 LCD262150:LCD262167 LLZ262150:LLZ262167 LVV262150:LVV262167 MFR262150:MFR262167 MPN262150:MPN262167 MZJ262150:MZJ262167 NJF262150:NJF262167 NTB262150:NTB262167 OCX262150:OCX262167 OMT262150:OMT262167 OWP262150:OWP262167 PGL262150:PGL262167 PQH262150:PQH262167 QAD262150:QAD262167 QJZ262150:QJZ262167 QTV262150:QTV262167 RDR262150:RDR262167 RNN262150:RNN262167 RXJ262150:RXJ262167 SHF262150:SHF262167 SRB262150:SRB262167 TAX262150:TAX262167 TKT262150:TKT262167 TUP262150:TUP262167 UEL262150:UEL262167 UOH262150:UOH262167 UYD262150:UYD262167 VHZ262150:VHZ262167 VRV262150:VRV262167 WBR262150:WBR262167 WLN262150:WLN262167 WVJ262150:WVJ262167 B327686:B327703 IX327686:IX327703 ST327686:ST327703 ACP327686:ACP327703 AML327686:AML327703 AWH327686:AWH327703 BGD327686:BGD327703 BPZ327686:BPZ327703 BZV327686:BZV327703 CJR327686:CJR327703 CTN327686:CTN327703 DDJ327686:DDJ327703 DNF327686:DNF327703 DXB327686:DXB327703 EGX327686:EGX327703 EQT327686:EQT327703 FAP327686:FAP327703 FKL327686:FKL327703 FUH327686:FUH327703 GED327686:GED327703 GNZ327686:GNZ327703 GXV327686:GXV327703 HHR327686:HHR327703 HRN327686:HRN327703 IBJ327686:IBJ327703 ILF327686:ILF327703 IVB327686:IVB327703 JEX327686:JEX327703 JOT327686:JOT327703 JYP327686:JYP327703 KIL327686:KIL327703 KSH327686:KSH327703 LCD327686:LCD327703 LLZ327686:LLZ327703 LVV327686:LVV327703 MFR327686:MFR327703 MPN327686:MPN327703 MZJ327686:MZJ327703 NJF327686:NJF327703 NTB327686:NTB327703 OCX327686:OCX327703 OMT327686:OMT327703 OWP327686:OWP327703 PGL327686:PGL327703 PQH327686:PQH327703 QAD327686:QAD327703 QJZ327686:QJZ327703 QTV327686:QTV327703 RDR327686:RDR327703 RNN327686:RNN327703 RXJ327686:RXJ327703 SHF327686:SHF327703 SRB327686:SRB327703 TAX327686:TAX327703 TKT327686:TKT327703 TUP327686:TUP327703 UEL327686:UEL327703 UOH327686:UOH327703 UYD327686:UYD327703 VHZ327686:VHZ327703 VRV327686:VRV327703 WBR327686:WBR327703 WLN327686:WLN327703 WVJ327686:WVJ327703 B393222:B393239 IX393222:IX393239 ST393222:ST393239 ACP393222:ACP393239 AML393222:AML393239 AWH393222:AWH393239 BGD393222:BGD393239 BPZ393222:BPZ393239 BZV393222:BZV393239 CJR393222:CJR393239 CTN393222:CTN393239 DDJ393222:DDJ393239 DNF393222:DNF393239 DXB393222:DXB393239 EGX393222:EGX393239 EQT393222:EQT393239 FAP393222:FAP393239 FKL393222:FKL393239 FUH393222:FUH393239 GED393222:GED393239 GNZ393222:GNZ393239 GXV393222:GXV393239 HHR393222:HHR393239 HRN393222:HRN393239 IBJ393222:IBJ393239 ILF393222:ILF393239 IVB393222:IVB393239 JEX393222:JEX393239 JOT393222:JOT393239 JYP393222:JYP393239 KIL393222:KIL393239 KSH393222:KSH393239 LCD393222:LCD393239 LLZ393222:LLZ393239 LVV393222:LVV393239 MFR393222:MFR393239 MPN393222:MPN393239 MZJ393222:MZJ393239 NJF393222:NJF393239 NTB393222:NTB393239 OCX393222:OCX393239 OMT393222:OMT393239 OWP393222:OWP393239 PGL393222:PGL393239 PQH393222:PQH393239 QAD393222:QAD393239 QJZ393222:QJZ393239 QTV393222:QTV393239 RDR393222:RDR393239 RNN393222:RNN393239 RXJ393222:RXJ393239 SHF393222:SHF393239 SRB393222:SRB393239 TAX393222:TAX393239 TKT393222:TKT393239 TUP393222:TUP393239 UEL393222:UEL393239 UOH393222:UOH393239 UYD393222:UYD393239 VHZ393222:VHZ393239 VRV393222:VRV393239 WBR393222:WBR393239 WLN393222:WLN393239 WVJ393222:WVJ393239 B458758:B458775 IX458758:IX458775 ST458758:ST458775 ACP458758:ACP458775 AML458758:AML458775 AWH458758:AWH458775 BGD458758:BGD458775 BPZ458758:BPZ458775 BZV458758:BZV458775 CJR458758:CJR458775 CTN458758:CTN458775 DDJ458758:DDJ458775 DNF458758:DNF458775 DXB458758:DXB458775 EGX458758:EGX458775 EQT458758:EQT458775 FAP458758:FAP458775 FKL458758:FKL458775 FUH458758:FUH458775 GED458758:GED458775 GNZ458758:GNZ458775 GXV458758:GXV458775 HHR458758:HHR458775 HRN458758:HRN458775 IBJ458758:IBJ458775 ILF458758:ILF458775 IVB458758:IVB458775 JEX458758:JEX458775 JOT458758:JOT458775 JYP458758:JYP458775 KIL458758:KIL458775 KSH458758:KSH458775 LCD458758:LCD458775 LLZ458758:LLZ458775 LVV458758:LVV458775 MFR458758:MFR458775 MPN458758:MPN458775 MZJ458758:MZJ458775 NJF458758:NJF458775 NTB458758:NTB458775 OCX458758:OCX458775 OMT458758:OMT458775 OWP458758:OWP458775 PGL458758:PGL458775 PQH458758:PQH458775 QAD458758:QAD458775 QJZ458758:QJZ458775 QTV458758:QTV458775 RDR458758:RDR458775 RNN458758:RNN458775 RXJ458758:RXJ458775 SHF458758:SHF458775 SRB458758:SRB458775 TAX458758:TAX458775 TKT458758:TKT458775 TUP458758:TUP458775 UEL458758:UEL458775 UOH458758:UOH458775 UYD458758:UYD458775 VHZ458758:VHZ458775 VRV458758:VRV458775 WBR458758:WBR458775 WLN458758:WLN458775 WVJ458758:WVJ458775 B524294:B524311 IX524294:IX524311 ST524294:ST524311 ACP524294:ACP524311 AML524294:AML524311 AWH524294:AWH524311 BGD524294:BGD524311 BPZ524294:BPZ524311 BZV524294:BZV524311 CJR524294:CJR524311 CTN524294:CTN524311 DDJ524294:DDJ524311 DNF524294:DNF524311 DXB524294:DXB524311 EGX524294:EGX524311 EQT524294:EQT524311 FAP524294:FAP524311 FKL524294:FKL524311 FUH524294:FUH524311 GED524294:GED524311 GNZ524294:GNZ524311 GXV524294:GXV524311 HHR524294:HHR524311 HRN524294:HRN524311 IBJ524294:IBJ524311 ILF524294:ILF524311 IVB524294:IVB524311 JEX524294:JEX524311 JOT524294:JOT524311 JYP524294:JYP524311 KIL524294:KIL524311 KSH524294:KSH524311 LCD524294:LCD524311 LLZ524294:LLZ524311 LVV524294:LVV524311 MFR524294:MFR524311 MPN524294:MPN524311 MZJ524294:MZJ524311 NJF524294:NJF524311 NTB524294:NTB524311 OCX524294:OCX524311 OMT524294:OMT524311 OWP524294:OWP524311 PGL524294:PGL524311 PQH524294:PQH524311 QAD524294:QAD524311 QJZ524294:QJZ524311 QTV524294:QTV524311 RDR524294:RDR524311 RNN524294:RNN524311 RXJ524294:RXJ524311 SHF524294:SHF524311 SRB524294:SRB524311 TAX524294:TAX524311 TKT524294:TKT524311 TUP524294:TUP524311 UEL524294:UEL524311 UOH524294:UOH524311 UYD524294:UYD524311 VHZ524294:VHZ524311 VRV524294:VRV524311 WBR524294:WBR524311 WLN524294:WLN524311 WVJ524294:WVJ524311 B589830:B589847 IX589830:IX589847 ST589830:ST589847 ACP589830:ACP589847 AML589830:AML589847 AWH589830:AWH589847 BGD589830:BGD589847 BPZ589830:BPZ589847 BZV589830:BZV589847 CJR589830:CJR589847 CTN589830:CTN589847 DDJ589830:DDJ589847 DNF589830:DNF589847 DXB589830:DXB589847 EGX589830:EGX589847 EQT589830:EQT589847 FAP589830:FAP589847 FKL589830:FKL589847 FUH589830:FUH589847 GED589830:GED589847 GNZ589830:GNZ589847 GXV589830:GXV589847 HHR589830:HHR589847 HRN589830:HRN589847 IBJ589830:IBJ589847 ILF589830:ILF589847 IVB589830:IVB589847 JEX589830:JEX589847 JOT589830:JOT589847 JYP589830:JYP589847 KIL589830:KIL589847 KSH589830:KSH589847 LCD589830:LCD589847 LLZ589830:LLZ589847 LVV589830:LVV589847 MFR589830:MFR589847 MPN589830:MPN589847 MZJ589830:MZJ589847 NJF589830:NJF589847 NTB589830:NTB589847 OCX589830:OCX589847 OMT589830:OMT589847 OWP589830:OWP589847 PGL589830:PGL589847 PQH589830:PQH589847 QAD589830:QAD589847 QJZ589830:QJZ589847 QTV589830:QTV589847 RDR589830:RDR589847 RNN589830:RNN589847 RXJ589830:RXJ589847 SHF589830:SHF589847 SRB589830:SRB589847 TAX589830:TAX589847 TKT589830:TKT589847 TUP589830:TUP589847 UEL589830:UEL589847 UOH589830:UOH589847 UYD589830:UYD589847 VHZ589830:VHZ589847 VRV589830:VRV589847 WBR589830:WBR589847 WLN589830:WLN589847 WVJ589830:WVJ589847 B655366:B655383 IX655366:IX655383 ST655366:ST655383 ACP655366:ACP655383 AML655366:AML655383 AWH655366:AWH655383 BGD655366:BGD655383 BPZ655366:BPZ655383 BZV655366:BZV655383 CJR655366:CJR655383 CTN655366:CTN655383 DDJ655366:DDJ655383 DNF655366:DNF655383 DXB655366:DXB655383 EGX655366:EGX655383 EQT655366:EQT655383 FAP655366:FAP655383 FKL655366:FKL655383 FUH655366:FUH655383 GED655366:GED655383 GNZ655366:GNZ655383 GXV655366:GXV655383 HHR655366:HHR655383 HRN655366:HRN655383 IBJ655366:IBJ655383 ILF655366:ILF655383 IVB655366:IVB655383 JEX655366:JEX655383 JOT655366:JOT655383 JYP655366:JYP655383 KIL655366:KIL655383 KSH655366:KSH655383 LCD655366:LCD655383 LLZ655366:LLZ655383 LVV655366:LVV655383 MFR655366:MFR655383 MPN655366:MPN655383 MZJ655366:MZJ655383 NJF655366:NJF655383 NTB655366:NTB655383 OCX655366:OCX655383 OMT655366:OMT655383 OWP655366:OWP655383 PGL655366:PGL655383 PQH655366:PQH655383 QAD655366:QAD655383 QJZ655366:QJZ655383 QTV655366:QTV655383 RDR655366:RDR655383 RNN655366:RNN655383 RXJ655366:RXJ655383 SHF655366:SHF655383 SRB655366:SRB655383 TAX655366:TAX655383 TKT655366:TKT655383 TUP655366:TUP655383 UEL655366:UEL655383 UOH655366:UOH655383 UYD655366:UYD655383 VHZ655366:VHZ655383 VRV655366:VRV655383 WBR655366:WBR655383 WLN655366:WLN655383 WVJ655366:WVJ655383 B720902:B720919 IX720902:IX720919 ST720902:ST720919 ACP720902:ACP720919 AML720902:AML720919 AWH720902:AWH720919 BGD720902:BGD720919 BPZ720902:BPZ720919 BZV720902:BZV720919 CJR720902:CJR720919 CTN720902:CTN720919 DDJ720902:DDJ720919 DNF720902:DNF720919 DXB720902:DXB720919 EGX720902:EGX720919 EQT720902:EQT720919 FAP720902:FAP720919 FKL720902:FKL720919 FUH720902:FUH720919 GED720902:GED720919 GNZ720902:GNZ720919 GXV720902:GXV720919 HHR720902:HHR720919 HRN720902:HRN720919 IBJ720902:IBJ720919 ILF720902:ILF720919 IVB720902:IVB720919 JEX720902:JEX720919 JOT720902:JOT720919 JYP720902:JYP720919 KIL720902:KIL720919 KSH720902:KSH720919 LCD720902:LCD720919 LLZ720902:LLZ720919 LVV720902:LVV720919 MFR720902:MFR720919 MPN720902:MPN720919 MZJ720902:MZJ720919 NJF720902:NJF720919 NTB720902:NTB720919 OCX720902:OCX720919 OMT720902:OMT720919 OWP720902:OWP720919 PGL720902:PGL720919 PQH720902:PQH720919 QAD720902:QAD720919 QJZ720902:QJZ720919 QTV720902:QTV720919 RDR720902:RDR720919 RNN720902:RNN720919 RXJ720902:RXJ720919 SHF720902:SHF720919 SRB720902:SRB720919 TAX720902:TAX720919 TKT720902:TKT720919 TUP720902:TUP720919 UEL720902:UEL720919 UOH720902:UOH720919 UYD720902:UYD720919 VHZ720902:VHZ720919 VRV720902:VRV720919 WBR720902:WBR720919 WLN720902:WLN720919 WVJ720902:WVJ720919 B786438:B786455 IX786438:IX786455 ST786438:ST786455 ACP786438:ACP786455 AML786438:AML786455 AWH786438:AWH786455 BGD786438:BGD786455 BPZ786438:BPZ786455 BZV786438:BZV786455 CJR786438:CJR786455 CTN786438:CTN786455 DDJ786438:DDJ786455 DNF786438:DNF786455 DXB786438:DXB786455 EGX786438:EGX786455 EQT786438:EQT786455 FAP786438:FAP786455 FKL786438:FKL786455 FUH786438:FUH786455 GED786438:GED786455 GNZ786438:GNZ786455 GXV786438:GXV786455 HHR786438:HHR786455 HRN786438:HRN786455 IBJ786438:IBJ786455 ILF786438:ILF786455 IVB786438:IVB786455 JEX786438:JEX786455 JOT786438:JOT786455 JYP786438:JYP786455 KIL786438:KIL786455 KSH786438:KSH786455 LCD786438:LCD786455 LLZ786438:LLZ786455 LVV786438:LVV786455 MFR786438:MFR786455 MPN786438:MPN786455 MZJ786438:MZJ786455 NJF786438:NJF786455 NTB786438:NTB786455 OCX786438:OCX786455 OMT786438:OMT786455 OWP786438:OWP786455 PGL786438:PGL786455 PQH786438:PQH786455 QAD786438:QAD786455 QJZ786438:QJZ786455 QTV786438:QTV786455 RDR786438:RDR786455 RNN786438:RNN786455 RXJ786438:RXJ786455 SHF786438:SHF786455 SRB786438:SRB786455 TAX786438:TAX786455 TKT786438:TKT786455 TUP786438:TUP786455 UEL786438:UEL786455 UOH786438:UOH786455 UYD786438:UYD786455 VHZ786438:VHZ786455 VRV786438:VRV786455 WBR786438:WBR786455 WLN786438:WLN786455 WVJ786438:WVJ786455 B851974:B851991 IX851974:IX851991 ST851974:ST851991 ACP851974:ACP851991 AML851974:AML851991 AWH851974:AWH851991 BGD851974:BGD851991 BPZ851974:BPZ851991 BZV851974:BZV851991 CJR851974:CJR851991 CTN851974:CTN851991 DDJ851974:DDJ851991 DNF851974:DNF851991 DXB851974:DXB851991 EGX851974:EGX851991 EQT851974:EQT851991 FAP851974:FAP851991 FKL851974:FKL851991 FUH851974:FUH851991 GED851974:GED851991 GNZ851974:GNZ851991 GXV851974:GXV851991 HHR851974:HHR851991 HRN851974:HRN851991 IBJ851974:IBJ851991 ILF851974:ILF851991 IVB851974:IVB851991 JEX851974:JEX851991 JOT851974:JOT851991 JYP851974:JYP851991 KIL851974:KIL851991 KSH851974:KSH851991 LCD851974:LCD851991 LLZ851974:LLZ851991 LVV851974:LVV851991 MFR851974:MFR851991 MPN851974:MPN851991 MZJ851974:MZJ851991 NJF851974:NJF851991 NTB851974:NTB851991 OCX851974:OCX851991 OMT851974:OMT851991 OWP851974:OWP851991 PGL851974:PGL851991 PQH851974:PQH851991 QAD851974:QAD851991 QJZ851974:QJZ851991 QTV851974:QTV851991 RDR851974:RDR851991 RNN851974:RNN851991 RXJ851974:RXJ851991 SHF851974:SHF851991 SRB851974:SRB851991 TAX851974:TAX851991 TKT851974:TKT851991 TUP851974:TUP851991 UEL851974:UEL851991 UOH851974:UOH851991 UYD851974:UYD851991 VHZ851974:VHZ851991 VRV851974:VRV851991 WBR851974:WBR851991 WLN851974:WLN851991 WVJ851974:WVJ851991 B917510:B917527 IX917510:IX917527 ST917510:ST917527 ACP917510:ACP917527 AML917510:AML917527 AWH917510:AWH917527 BGD917510:BGD917527 BPZ917510:BPZ917527 BZV917510:BZV917527 CJR917510:CJR917527 CTN917510:CTN917527 DDJ917510:DDJ917527 DNF917510:DNF917527 DXB917510:DXB917527 EGX917510:EGX917527 EQT917510:EQT917527 FAP917510:FAP917527 FKL917510:FKL917527 FUH917510:FUH917527 GED917510:GED917527 GNZ917510:GNZ917527 GXV917510:GXV917527 HHR917510:HHR917527 HRN917510:HRN917527 IBJ917510:IBJ917527 ILF917510:ILF917527 IVB917510:IVB917527 JEX917510:JEX917527 JOT917510:JOT917527 JYP917510:JYP917527 KIL917510:KIL917527 KSH917510:KSH917527 LCD917510:LCD917527 LLZ917510:LLZ917527 LVV917510:LVV917527 MFR917510:MFR917527 MPN917510:MPN917527 MZJ917510:MZJ917527 NJF917510:NJF917527 NTB917510:NTB917527 OCX917510:OCX917527 OMT917510:OMT917527 OWP917510:OWP917527 PGL917510:PGL917527 PQH917510:PQH917527 QAD917510:QAD917527 QJZ917510:QJZ917527 QTV917510:QTV917527 RDR917510:RDR917527 RNN917510:RNN917527 RXJ917510:RXJ917527 SHF917510:SHF917527 SRB917510:SRB917527 TAX917510:TAX917527 TKT917510:TKT917527 TUP917510:TUP917527 UEL917510:UEL917527 UOH917510:UOH917527 UYD917510:UYD917527 VHZ917510:VHZ917527 VRV917510:VRV917527 WBR917510:WBR917527 WLN917510:WLN917527 WVJ917510:WVJ917527" xr:uid="{00000000-0002-0000-2600-000001000000}">
      <formula1>trung</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361"/>
  <sheetViews>
    <sheetView topLeftCell="A1296" workbookViewId="0">
      <selection activeCell="C35" sqref="C35"/>
    </sheetView>
  </sheetViews>
  <sheetFormatPr defaultColWidth="8.8984375" defaultRowHeight="15.6"/>
  <cols>
    <col min="1" max="1" width="67.5" customWidth="1"/>
    <col min="2" max="2" width="18" customWidth="1"/>
    <col min="3" max="3" width="11.09765625" customWidth="1"/>
    <col min="6" max="6" width="8.8984375" style="24"/>
  </cols>
  <sheetData>
    <row r="1" spans="1:6" ht="31.8">
      <c r="A1" s="21" t="s">
        <v>68</v>
      </c>
      <c r="B1" s="22" t="s">
        <v>21</v>
      </c>
      <c r="C1" s="23" t="s">
        <v>69</v>
      </c>
      <c r="D1" s="24" t="s">
        <v>27</v>
      </c>
      <c r="E1" s="24"/>
      <c r="F1" s="24" t="s">
        <v>28</v>
      </c>
    </row>
    <row r="2" spans="1:6">
      <c r="A2" s="21" t="s">
        <v>70</v>
      </c>
      <c r="B2" s="25"/>
      <c r="C2" s="26"/>
      <c r="D2">
        <f ca="1">IFERROR(SEARCH(INDIRECT(CELL("address")),A2),0)</f>
        <v>0</v>
      </c>
      <c r="E2" t="str">
        <f ca="1">IF(D2=0,"",COUNTIF($D$2:D2,"&gt;0"))</f>
        <v/>
      </c>
      <c r="F2" s="24" t="str">
        <f t="shared" ref="F2:F27" ca="1" si="0">IFERROR(INDEX(A:A,MATCH(ROW(D1),E:E,0)),"")</f>
        <v/>
      </c>
    </row>
    <row r="3" spans="1:6">
      <c r="A3" s="27" t="s">
        <v>71</v>
      </c>
      <c r="B3" s="25" t="s">
        <v>22</v>
      </c>
      <c r="C3" s="28">
        <v>10000</v>
      </c>
      <c r="D3">
        <f t="shared" ref="D3:D53" ca="1" si="1">IFERROR(SEARCH(INDIRECT(CELL("address")),A3),0)</f>
        <v>0</v>
      </c>
      <c r="E3" t="str">
        <f ca="1">IF(D3=0,"",COUNTIF($D$2:D3,"&gt;0"))</f>
        <v/>
      </c>
      <c r="F3" s="24" t="str">
        <f t="shared" ca="1" si="0"/>
        <v/>
      </c>
    </row>
    <row r="4" spans="1:6">
      <c r="A4" s="27" t="s">
        <v>72</v>
      </c>
      <c r="B4" s="25" t="s">
        <v>22</v>
      </c>
      <c r="C4" s="28">
        <v>8000</v>
      </c>
      <c r="D4">
        <f t="shared" ca="1" si="1"/>
        <v>0</v>
      </c>
      <c r="E4" t="str">
        <f ca="1">IF(D4=0,"",COUNTIF($D$2:D4,"&gt;0"))</f>
        <v/>
      </c>
      <c r="F4" s="24" t="str">
        <f t="shared" ca="1" si="0"/>
        <v/>
      </c>
    </row>
    <row r="5" spans="1:6">
      <c r="A5" s="27" t="s">
        <v>29</v>
      </c>
      <c r="B5" s="25" t="s">
        <v>22</v>
      </c>
      <c r="C5" s="28">
        <v>13000</v>
      </c>
      <c r="D5">
        <f t="shared" ca="1" si="1"/>
        <v>0</v>
      </c>
      <c r="E5" t="str">
        <f ca="1">IF(D5=0,"",COUNTIF($D$2:D5,"&gt;0"))</f>
        <v/>
      </c>
      <c r="F5" s="24" t="str">
        <f t="shared" ca="1" si="0"/>
        <v/>
      </c>
    </row>
    <row r="6" spans="1:6">
      <c r="A6" s="27" t="s">
        <v>73</v>
      </c>
      <c r="B6" s="25" t="s">
        <v>22</v>
      </c>
      <c r="C6" s="28">
        <v>7900</v>
      </c>
      <c r="D6">
        <f t="shared" ca="1" si="1"/>
        <v>0</v>
      </c>
      <c r="E6" t="str">
        <f ca="1">IF(D6=0,"",COUNTIF($D$2:D6,"&gt;0"))</f>
        <v/>
      </c>
      <c r="F6" s="24" t="str">
        <f t="shared" ca="1" si="0"/>
        <v/>
      </c>
    </row>
    <row r="7" spans="1:6">
      <c r="A7" s="21" t="s">
        <v>74</v>
      </c>
      <c r="B7" s="25"/>
      <c r="C7" s="26"/>
      <c r="D7">
        <f t="shared" ca="1" si="1"/>
        <v>0</v>
      </c>
      <c r="E7" t="str">
        <f ca="1">IF(D7=0,"",COUNTIF($D$2:D7,"&gt;0"))</f>
        <v/>
      </c>
      <c r="F7" s="24" t="str">
        <f t="shared" ca="1" si="0"/>
        <v/>
      </c>
    </row>
    <row r="8" spans="1:6">
      <c r="A8" s="27" t="s">
        <v>23</v>
      </c>
      <c r="B8" s="25" t="s">
        <v>22</v>
      </c>
      <c r="C8" s="28">
        <v>11800</v>
      </c>
      <c r="D8">
        <f t="shared" ca="1" si="1"/>
        <v>0</v>
      </c>
      <c r="E8" t="str">
        <f ca="1">IF(D8=0,"",COUNTIF($D$2:D8,"&gt;0"))</f>
        <v/>
      </c>
      <c r="F8" s="24" t="str">
        <f t="shared" ca="1" si="0"/>
        <v/>
      </c>
    </row>
    <row r="9" spans="1:6">
      <c r="A9" s="27" t="s">
        <v>75</v>
      </c>
      <c r="B9" s="25" t="s">
        <v>22</v>
      </c>
      <c r="C9" s="28">
        <v>12800</v>
      </c>
      <c r="D9">
        <f t="shared" ca="1" si="1"/>
        <v>0</v>
      </c>
      <c r="E9" t="str">
        <f ca="1">IF(D9=0,"",COUNTIF($D$2:D9,"&gt;0"))</f>
        <v/>
      </c>
      <c r="F9" s="24" t="str">
        <f t="shared" ca="1" si="0"/>
        <v/>
      </c>
    </row>
    <row r="10" spans="1:6">
      <c r="A10" s="27" t="s">
        <v>76</v>
      </c>
      <c r="B10" s="25" t="s">
        <v>22</v>
      </c>
      <c r="C10" s="28">
        <v>11000</v>
      </c>
      <c r="D10">
        <f t="shared" ca="1" si="1"/>
        <v>0</v>
      </c>
      <c r="E10" t="str">
        <f ca="1">IF(D10=0,"",COUNTIF($D$2:D10,"&gt;0"))</f>
        <v/>
      </c>
      <c r="F10" s="24" t="str">
        <f t="shared" ca="1" si="0"/>
        <v/>
      </c>
    </row>
    <row r="11" spans="1:6">
      <c r="A11" s="27" t="s">
        <v>30</v>
      </c>
      <c r="B11" s="25" t="s">
        <v>22</v>
      </c>
      <c r="C11" s="28">
        <v>22900</v>
      </c>
      <c r="D11">
        <f t="shared" ca="1" si="1"/>
        <v>0</v>
      </c>
      <c r="E11" t="str">
        <f ca="1">IF(D11=0,"",COUNTIF($D$2:D11,"&gt;0"))</f>
        <v/>
      </c>
      <c r="F11" s="24" t="str">
        <f t="shared" ca="1" si="0"/>
        <v/>
      </c>
    </row>
    <row r="12" spans="1:6">
      <c r="A12" s="27" t="s">
        <v>77</v>
      </c>
      <c r="B12" s="25" t="s">
        <v>22</v>
      </c>
      <c r="C12" s="28">
        <v>10600</v>
      </c>
      <c r="D12">
        <f t="shared" ca="1" si="1"/>
        <v>0</v>
      </c>
      <c r="E12" t="str">
        <f ca="1">IF(D12=0,"",COUNTIF($D$2:D12,"&gt;0"))</f>
        <v/>
      </c>
      <c r="F12" s="24" t="str">
        <f t="shared" ca="1" si="0"/>
        <v/>
      </c>
    </row>
    <row r="13" spans="1:6">
      <c r="A13" s="27" t="s">
        <v>24</v>
      </c>
      <c r="B13" s="25" t="s">
        <v>22</v>
      </c>
      <c r="C13" s="28">
        <v>22000</v>
      </c>
      <c r="D13">
        <f t="shared" ca="1" si="1"/>
        <v>0</v>
      </c>
      <c r="E13" t="str">
        <f ca="1">IF(D13=0,"",COUNTIF($D$2:D13,"&gt;0"))</f>
        <v/>
      </c>
      <c r="F13" s="24" t="str">
        <f t="shared" ca="1" si="0"/>
        <v/>
      </c>
    </row>
    <row r="14" spans="1:6">
      <c r="A14" s="27" t="s">
        <v>78</v>
      </c>
      <c r="B14" s="25" t="s">
        <v>22</v>
      </c>
      <c r="C14" s="28">
        <v>21500</v>
      </c>
      <c r="D14">
        <f t="shared" ca="1" si="1"/>
        <v>0</v>
      </c>
      <c r="E14" t="str">
        <f ca="1">IF(D14=0,"",COUNTIF($D$2:D14,"&gt;0"))</f>
        <v/>
      </c>
      <c r="F14" s="24" t="str">
        <f t="shared" ca="1" si="0"/>
        <v/>
      </c>
    </row>
    <row r="15" spans="1:6">
      <c r="A15" s="27" t="s">
        <v>79</v>
      </c>
      <c r="B15" s="25" t="s">
        <v>22</v>
      </c>
      <c r="C15" s="28">
        <v>14700</v>
      </c>
      <c r="D15">
        <f t="shared" ca="1" si="1"/>
        <v>0</v>
      </c>
      <c r="E15" t="str">
        <f ca="1">IF(D15=0,"",COUNTIF($D$2:D15,"&gt;0"))</f>
        <v/>
      </c>
      <c r="F15" s="24" t="str">
        <f t="shared" ca="1" si="0"/>
        <v/>
      </c>
    </row>
    <row r="16" spans="1:6">
      <c r="A16" s="27" t="s">
        <v>80</v>
      </c>
      <c r="B16" s="25" t="s">
        <v>22</v>
      </c>
      <c r="C16" s="28">
        <v>38700</v>
      </c>
      <c r="D16">
        <f t="shared" ca="1" si="1"/>
        <v>0</v>
      </c>
      <c r="E16" t="str">
        <f ca="1">IF(D16=0,"",COUNTIF($D$2:D16,"&gt;0"))</f>
        <v/>
      </c>
      <c r="F16" s="24" t="str">
        <f t="shared" ca="1" si="0"/>
        <v/>
      </c>
    </row>
    <row r="17" spans="1:6">
      <c r="A17" s="27" t="s">
        <v>81</v>
      </c>
      <c r="B17" s="25" t="s">
        <v>22</v>
      </c>
      <c r="C17" s="28">
        <v>6700</v>
      </c>
      <c r="D17">
        <f t="shared" ca="1" si="1"/>
        <v>0</v>
      </c>
      <c r="E17" t="str">
        <f ca="1">IF(D17=0,"",COUNTIF($D$2:D17,"&gt;0"))</f>
        <v/>
      </c>
      <c r="F17" s="24" t="str">
        <f t="shared" ca="1" si="0"/>
        <v/>
      </c>
    </row>
    <row r="18" spans="1:6">
      <c r="A18" s="27" t="s">
        <v>82</v>
      </c>
      <c r="B18" s="25" t="s">
        <v>22</v>
      </c>
      <c r="C18" s="28">
        <v>6000</v>
      </c>
      <c r="D18">
        <f t="shared" ca="1" si="1"/>
        <v>0</v>
      </c>
      <c r="E18" t="str">
        <f ca="1">IF(D18=0,"",COUNTIF($D$2:D18,"&gt;0"))</f>
        <v/>
      </c>
      <c r="F18" s="24" t="str">
        <f t="shared" ca="1" si="0"/>
        <v/>
      </c>
    </row>
    <row r="19" spans="1:6">
      <c r="A19" s="27" t="s">
        <v>83</v>
      </c>
      <c r="B19" s="25" t="s">
        <v>22</v>
      </c>
      <c r="C19" s="28">
        <v>8100</v>
      </c>
      <c r="D19">
        <f t="shared" ca="1" si="1"/>
        <v>0</v>
      </c>
      <c r="E19" t="str">
        <f ca="1">IF(D19=0,"",COUNTIF($D$2:D19,"&gt;0"))</f>
        <v/>
      </c>
      <c r="F19" s="24" t="str">
        <f t="shared" ca="1" si="0"/>
        <v/>
      </c>
    </row>
    <row r="20" spans="1:6">
      <c r="A20" s="27" t="s">
        <v>84</v>
      </c>
      <c r="B20" s="25" t="s">
        <v>22</v>
      </c>
      <c r="C20" s="28">
        <v>7000</v>
      </c>
      <c r="D20">
        <f t="shared" ca="1" si="1"/>
        <v>0</v>
      </c>
      <c r="E20" t="str">
        <f ca="1">IF(D20=0,"",COUNTIF($D$2:D20,"&gt;0"))</f>
        <v/>
      </c>
      <c r="F20" s="24" t="str">
        <f t="shared" ca="1" si="0"/>
        <v/>
      </c>
    </row>
    <row r="21" spans="1:6">
      <c r="A21" s="27" t="s">
        <v>85</v>
      </c>
      <c r="B21" s="25" t="s">
        <v>22</v>
      </c>
      <c r="C21" s="28">
        <v>13000</v>
      </c>
      <c r="D21">
        <f t="shared" ca="1" si="1"/>
        <v>0</v>
      </c>
      <c r="E21" t="str">
        <f ca="1">IF(D21=0,"",COUNTIF($D$2:D21,"&gt;0"))</f>
        <v/>
      </c>
      <c r="F21" s="24" t="str">
        <f t="shared" ca="1" si="0"/>
        <v/>
      </c>
    </row>
    <row r="22" spans="1:6">
      <c r="A22" s="27" t="s">
        <v>86</v>
      </c>
      <c r="B22" s="25" t="s">
        <v>22</v>
      </c>
      <c r="C22" s="28">
        <v>15600</v>
      </c>
      <c r="D22">
        <f t="shared" ca="1" si="1"/>
        <v>0</v>
      </c>
      <c r="E22" t="str">
        <f ca="1">IF(D22=0,"",COUNTIF($D$2:D22,"&gt;0"))</f>
        <v/>
      </c>
      <c r="F22" s="24" t="str">
        <f t="shared" ca="1" si="0"/>
        <v/>
      </c>
    </row>
    <row r="23" spans="1:6">
      <c r="A23" s="27" t="s">
        <v>87</v>
      </c>
      <c r="B23" s="25" t="s">
        <v>22</v>
      </c>
      <c r="C23" s="28">
        <v>13200</v>
      </c>
      <c r="D23">
        <f t="shared" ca="1" si="1"/>
        <v>0</v>
      </c>
      <c r="E23" t="str">
        <f ca="1">IF(D23=0,"",COUNTIF($D$2:D23,"&gt;0"))</f>
        <v/>
      </c>
      <c r="F23" s="24" t="str">
        <f t="shared" ca="1" si="0"/>
        <v/>
      </c>
    </row>
    <row r="24" spans="1:6">
      <c r="A24" s="27" t="s">
        <v>88</v>
      </c>
      <c r="B24" s="25" t="s">
        <v>22</v>
      </c>
      <c r="C24" s="28">
        <v>14000</v>
      </c>
      <c r="D24">
        <f t="shared" ca="1" si="1"/>
        <v>0</v>
      </c>
      <c r="E24" t="str">
        <f ca="1">IF(D24=0,"",COUNTIF($D$2:D24,"&gt;0"))</f>
        <v/>
      </c>
      <c r="F24" s="24" t="str">
        <f t="shared" ca="1" si="0"/>
        <v/>
      </c>
    </row>
    <row r="25" spans="1:6">
      <c r="A25" s="27" t="s">
        <v>89</v>
      </c>
      <c r="B25" s="25" t="s">
        <v>22</v>
      </c>
      <c r="C25" s="28">
        <v>13300</v>
      </c>
      <c r="D25">
        <f t="shared" ca="1" si="1"/>
        <v>0</v>
      </c>
      <c r="E25" t="str">
        <f ca="1">IF(D25=0,"",COUNTIF($D$2:D25,"&gt;0"))</f>
        <v/>
      </c>
      <c r="F25" s="24" t="str">
        <f t="shared" ca="1" si="0"/>
        <v/>
      </c>
    </row>
    <row r="26" spans="1:6">
      <c r="A26" s="27" t="s">
        <v>90</v>
      </c>
      <c r="B26" s="25" t="s">
        <v>22</v>
      </c>
      <c r="C26" s="28">
        <v>13400</v>
      </c>
      <c r="D26">
        <f t="shared" ca="1" si="1"/>
        <v>0</v>
      </c>
      <c r="E26" t="str">
        <f ca="1">IF(D26=0,"",COUNTIF($D$2:D26,"&gt;0"))</f>
        <v/>
      </c>
      <c r="F26" s="24" t="str">
        <f t="shared" ca="1" si="0"/>
        <v/>
      </c>
    </row>
    <row r="27" spans="1:6">
      <c r="A27" s="27" t="s">
        <v>91</v>
      </c>
      <c r="B27" s="25" t="s">
        <v>22</v>
      </c>
      <c r="C27" s="29">
        <v>13500</v>
      </c>
      <c r="D27">
        <f t="shared" ca="1" si="1"/>
        <v>0</v>
      </c>
      <c r="E27" t="str">
        <f ca="1">IF(D27=0,"",COUNTIF($D$2:D27,"&gt;0"))</f>
        <v/>
      </c>
      <c r="F27" s="24" t="str">
        <f t="shared" ca="1" si="0"/>
        <v/>
      </c>
    </row>
    <row r="28" spans="1:6">
      <c r="A28" s="27" t="s">
        <v>92</v>
      </c>
      <c r="B28" s="25" t="s">
        <v>22</v>
      </c>
      <c r="C28" s="30">
        <v>11600</v>
      </c>
      <c r="D28">
        <f t="shared" ca="1" si="1"/>
        <v>0</v>
      </c>
      <c r="E28" t="str">
        <f ca="1">IF(D28=0,"",COUNTIF($D$2:D28,"&gt;0"))</f>
        <v/>
      </c>
      <c r="F28" s="24" t="str">
        <f>IFERROR(INDEX(A:A,MATCH(ROW(#REF!),E:E,0)),"")</f>
        <v/>
      </c>
    </row>
    <row r="29" spans="1:6">
      <c r="A29" s="27" t="s">
        <v>93</v>
      </c>
      <c r="B29" s="25" t="s">
        <v>22</v>
      </c>
      <c r="C29" s="28">
        <v>11000</v>
      </c>
      <c r="D29">
        <f t="shared" ca="1" si="1"/>
        <v>0</v>
      </c>
      <c r="E29" t="str">
        <f ca="1">IF(D29=0,"",COUNTIF($D$2:D29,"&gt;0"))</f>
        <v/>
      </c>
      <c r="F29" s="24" t="str">
        <f ca="1">IFERROR(INDEX(A:A,MATCH(ROW(D28),E:E,0)),"")</f>
        <v/>
      </c>
    </row>
    <row r="30" spans="1:6">
      <c r="A30" s="27" t="s">
        <v>94</v>
      </c>
      <c r="B30" s="25" t="s">
        <v>22</v>
      </c>
      <c r="C30" s="28">
        <v>18000</v>
      </c>
      <c r="D30">
        <f t="shared" ca="1" si="1"/>
        <v>0</v>
      </c>
      <c r="E30" t="str">
        <f ca="1">IF(D30=0,"",COUNTIF($D$2:D30,"&gt;0"))</f>
        <v/>
      </c>
      <c r="F30" s="24" t="str">
        <f ca="1">IFERROR(INDEX(A:A,MATCH(ROW(D29),E:E,0)),"")</f>
        <v/>
      </c>
    </row>
    <row r="31" spans="1:6">
      <c r="A31" s="27" t="s">
        <v>95</v>
      </c>
      <c r="B31" s="25" t="s">
        <v>22</v>
      </c>
      <c r="C31" s="28">
        <v>11500</v>
      </c>
      <c r="D31">
        <f t="shared" ca="1" si="1"/>
        <v>0</v>
      </c>
      <c r="E31" t="str">
        <f ca="1">IF(D31=0,"",COUNTIF($D$2:D31,"&gt;0"))</f>
        <v/>
      </c>
      <c r="F31" s="24" t="str">
        <f>IFERROR(INDEX(A:A,MATCH(ROW(#REF!),E:E,0)),"")</f>
        <v/>
      </c>
    </row>
    <row r="32" spans="1:6">
      <c r="A32" s="27" t="s">
        <v>96</v>
      </c>
      <c r="B32" s="25" t="s">
        <v>22</v>
      </c>
      <c r="C32" s="28">
        <v>42700</v>
      </c>
      <c r="D32">
        <f t="shared" ca="1" si="1"/>
        <v>0</v>
      </c>
      <c r="E32" t="str">
        <f ca="1">IF(D32=0,"",COUNTIF($D$2:D32,"&gt;0"))</f>
        <v/>
      </c>
      <c r="F32" s="24" t="str">
        <f t="shared" ref="F32:F40" ca="1" si="2">IFERROR(INDEX(A:A,MATCH(ROW(D31),E:E,0)),"")</f>
        <v/>
      </c>
    </row>
    <row r="33" spans="1:6">
      <c r="A33" s="27" t="s">
        <v>97</v>
      </c>
      <c r="B33" s="25" t="s">
        <v>22</v>
      </c>
      <c r="C33" s="28">
        <v>18000</v>
      </c>
      <c r="D33">
        <f t="shared" ca="1" si="1"/>
        <v>0</v>
      </c>
      <c r="E33" t="str">
        <f ca="1">IF(D33=0,"",COUNTIF($D$2:D33,"&gt;0"))</f>
        <v/>
      </c>
      <c r="F33" s="24" t="str">
        <f t="shared" ca="1" si="2"/>
        <v/>
      </c>
    </row>
    <row r="34" spans="1:6">
      <c r="A34" s="31" t="s">
        <v>32</v>
      </c>
      <c r="B34" s="25" t="s">
        <v>22</v>
      </c>
      <c r="C34" s="32">
        <v>15300</v>
      </c>
      <c r="D34">
        <f t="shared" ca="1" si="1"/>
        <v>0</v>
      </c>
      <c r="E34" t="str">
        <f ca="1">IF(D34=0,"",COUNTIF($D$2:D34,"&gt;0"))</f>
        <v/>
      </c>
      <c r="F34" s="24" t="str">
        <f t="shared" ca="1" si="2"/>
        <v/>
      </c>
    </row>
    <row r="35" spans="1:6">
      <c r="A35" s="31" t="s">
        <v>98</v>
      </c>
      <c r="B35" s="25" t="s">
        <v>22</v>
      </c>
      <c r="C35" s="32">
        <v>13200</v>
      </c>
      <c r="D35">
        <f t="shared" ca="1" si="1"/>
        <v>0</v>
      </c>
      <c r="E35" t="str">
        <f ca="1">IF(D35=0,"",COUNTIF($D$2:D35,"&gt;0"))</f>
        <v/>
      </c>
      <c r="F35" s="24" t="str">
        <f t="shared" ca="1" si="2"/>
        <v/>
      </c>
    </row>
    <row r="36" spans="1:6">
      <c r="A36" s="31" t="s">
        <v>33</v>
      </c>
      <c r="B36" s="25" t="s">
        <v>22</v>
      </c>
      <c r="C36" s="32">
        <v>16300</v>
      </c>
      <c r="D36">
        <f t="shared" ca="1" si="1"/>
        <v>0</v>
      </c>
      <c r="E36" t="str">
        <f ca="1">IF(D36=0,"",COUNTIF($D$2:D36,"&gt;0"))</f>
        <v/>
      </c>
      <c r="F36" s="24" t="str">
        <f t="shared" ca="1" si="2"/>
        <v/>
      </c>
    </row>
    <row r="37" spans="1:6">
      <c r="A37" s="31" t="s">
        <v>99</v>
      </c>
      <c r="B37" s="25" t="s">
        <v>22</v>
      </c>
      <c r="C37" s="32">
        <v>16800</v>
      </c>
      <c r="D37">
        <f t="shared" ca="1" si="1"/>
        <v>0</v>
      </c>
      <c r="E37" t="str">
        <f ca="1">IF(D37=0,"",COUNTIF($D$2:D37,"&gt;0"))</f>
        <v/>
      </c>
      <c r="F37" s="24" t="str">
        <f t="shared" ca="1" si="2"/>
        <v/>
      </c>
    </row>
    <row r="38" spans="1:6">
      <c r="A38" s="31" t="s">
        <v>100</v>
      </c>
      <c r="B38" s="25" t="s">
        <v>22</v>
      </c>
      <c r="C38" s="32">
        <v>15100</v>
      </c>
      <c r="D38">
        <f t="shared" ca="1" si="1"/>
        <v>0</v>
      </c>
      <c r="E38" t="str">
        <f ca="1">IF(D38=0,"",COUNTIF($D$2:D38,"&gt;0"))</f>
        <v/>
      </c>
      <c r="F38" s="24" t="str">
        <f t="shared" ca="1" si="2"/>
        <v/>
      </c>
    </row>
    <row r="39" spans="1:6">
      <c r="A39" s="31" t="s">
        <v>34</v>
      </c>
      <c r="B39" s="25" t="s">
        <v>22</v>
      </c>
      <c r="C39" s="32">
        <v>12200</v>
      </c>
      <c r="D39">
        <f t="shared" ca="1" si="1"/>
        <v>0</v>
      </c>
      <c r="E39" t="str">
        <f ca="1">IF(D39=0,"",COUNTIF($D$2:D39,"&gt;0"))</f>
        <v/>
      </c>
      <c r="F39" s="24" t="str">
        <f t="shared" ca="1" si="2"/>
        <v/>
      </c>
    </row>
    <row r="40" spans="1:6">
      <c r="A40" s="31" t="s">
        <v>101</v>
      </c>
      <c r="B40" s="25" t="s">
        <v>22</v>
      </c>
      <c r="C40" s="32">
        <v>18500</v>
      </c>
      <c r="D40">
        <f t="shared" ca="1" si="1"/>
        <v>0</v>
      </c>
      <c r="E40" t="str">
        <f ca="1">IF(D40=0,"",COUNTIF($D$2:D40,"&gt;0"))</f>
        <v/>
      </c>
      <c r="F40" s="24" t="str">
        <f t="shared" ca="1" si="2"/>
        <v/>
      </c>
    </row>
    <row r="41" spans="1:6">
      <c r="A41" s="31" t="s">
        <v>102</v>
      </c>
      <c r="B41" s="25" t="s">
        <v>22</v>
      </c>
      <c r="C41" s="32">
        <v>23500</v>
      </c>
      <c r="D41">
        <f t="shared" ca="1" si="1"/>
        <v>0</v>
      </c>
      <c r="E41" t="str">
        <f ca="1">IF(D41=0,"",COUNTIF($D$2:D41,"&gt;0"))</f>
        <v/>
      </c>
      <c r="F41" s="24" t="str">
        <f>IFERROR(INDEX(A:A,MATCH(ROW(#REF!),E:E,0)),"")</f>
        <v/>
      </c>
    </row>
    <row r="42" spans="1:6">
      <c r="A42" s="31" t="s">
        <v>103</v>
      </c>
      <c r="B42" s="25" t="s">
        <v>22</v>
      </c>
      <c r="C42" s="32">
        <v>5900</v>
      </c>
      <c r="D42">
        <f t="shared" ca="1" si="1"/>
        <v>0</v>
      </c>
      <c r="E42" t="str">
        <f ca="1">IF(D42=0,"",COUNTIF($D$2:D42,"&gt;0"))</f>
        <v/>
      </c>
      <c r="F42" s="24" t="str">
        <f t="shared" ref="F42:F48" ca="1" si="3">IFERROR(INDEX(A:A,MATCH(ROW(D41),E:E,0)),"")</f>
        <v/>
      </c>
    </row>
    <row r="43" spans="1:6">
      <c r="A43" s="31" t="s">
        <v>35</v>
      </c>
      <c r="B43" s="25" t="s">
        <v>22</v>
      </c>
      <c r="C43" s="32">
        <v>22200</v>
      </c>
      <c r="D43">
        <f t="shared" ca="1" si="1"/>
        <v>0</v>
      </c>
      <c r="E43" t="str">
        <f ca="1">IF(D43=0,"",COUNTIF($D$2:D43,"&gt;0"))</f>
        <v/>
      </c>
      <c r="F43" s="24" t="str">
        <f t="shared" ca="1" si="3"/>
        <v/>
      </c>
    </row>
    <row r="44" spans="1:6">
      <c r="A44" s="31" t="s">
        <v>36</v>
      </c>
      <c r="B44" s="25" t="s">
        <v>22</v>
      </c>
      <c r="C44" s="32">
        <v>24000</v>
      </c>
      <c r="D44">
        <f t="shared" ca="1" si="1"/>
        <v>0</v>
      </c>
      <c r="E44" t="str">
        <f ca="1">IF(D44=0,"",COUNTIF($D$2:D44,"&gt;0"))</f>
        <v/>
      </c>
      <c r="F44" s="24" t="str">
        <f t="shared" ca="1" si="3"/>
        <v/>
      </c>
    </row>
    <row r="45" spans="1:6">
      <c r="A45" s="31" t="s">
        <v>37</v>
      </c>
      <c r="B45" s="25" t="s">
        <v>22</v>
      </c>
      <c r="C45" s="32">
        <v>29700</v>
      </c>
      <c r="D45">
        <f t="shared" ca="1" si="1"/>
        <v>0</v>
      </c>
      <c r="E45" t="str">
        <f ca="1">IF(D45=0,"",COUNTIF($D$2:D45,"&gt;0"))</f>
        <v/>
      </c>
      <c r="F45" s="24" t="str">
        <f t="shared" ca="1" si="3"/>
        <v/>
      </c>
    </row>
    <row r="46" spans="1:6">
      <c r="A46" s="31" t="s">
        <v>104</v>
      </c>
      <c r="B46" s="25" t="s">
        <v>22</v>
      </c>
      <c r="C46" s="32">
        <v>39000</v>
      </c>
      <c r="D46">
        <f t="shared" ca="1" si="1"/>
        <v>0</v>
      </c>
      <c r="E46" t="str">
        <f ca="1">IF(D46=0,"",COUNTIF($D$2:D46,"&gt;0"))</f>
        <v/>
      </c>
      <c r="F46" s="24" t="str">
        <f t="shared" ca="1" si="3"/>
        <v/>
      </c>
    </row>
    <row r="47" spans="1:6">
      <c r="A47" s="31" t="s">
        <v>105</v>
      </c>
      <c r="B47" s="25" t="s">
        <v>22</v>
      </c>
      <c r="C47" s="32">
        <v>32900</v>
      </c>
      <c r="D47">
        <f t="shared" ca="1" si="1"/>
        <v>0</v>
      </c>
      <c r="E47" t="str">
        <f ca="1">IF(D47=0,"",COUNTIF($D$2:D47,"&gt;0"))</f>
        <v/>
      </c>
      <c r="F47" s="24" t="str">
        <f t="shared" ca="1" si="3"/>
        <v/>
      </c>
    </row>
    <row r="48" spans="1:6">
      <c r="A48" s="31" t="s">
        <v>106</v>
      </c>
      <c r="B48" s="25" t="s">
        <v>22</v>
      </c>
      <c r="C48" s="32">
        <v>27100</v>
      </c>
      <c r="D48">
        <f t="shared" ca="1" si="1"/>
        <v>0</v>
      </c>
      <c r="E48" t="str">
        <f ca="1">IF(D48=0,"",COUNTIF($D$2:D48,"&gt;0"))</f>
        <v/>
      </c>
      <c r="F48" s="24" t="str">
        <f t="shared" ca="1" si="3"/>
        <v/>
      </c>
    </row>
    <row r="49" spans="1:6">
      <c r="A49" s="31" t="s">
        <v>107</v>
      </c>
      <c r="B49" s="25" t="s">
        <v>22</v>
      </c>
      <c r="C49" s="32">
        <v>23200</v>
      </c>
      <c r="D49">
        <f t="shared" ca="1" si="1"/>
        <v>0</v>
      </c>
      <c r="E49" t="str">
        <f ca="1">IF(D49=0,"",COUNTIF($D$2:D49,"&gt;0"))</f>
        <v/>
      </c>
      <c r="F49" s="24" t="str">
        <f>IFERROR(INDEX(A:A,MATCH(ROW(#REF!),E:E,0)),"")</f>
        <v/>
      </c>
    </row>
    <row r="50" spans="1:6">
      <c r="A50" s="31" t="s">
        <v>108</v>
      </c>
      <c r="B50" s="25" t="s">
        <v>22</v>
      </c>
      <c r="C50" s="32">
        <v>9800</v>
      </c>
      <c r="D50">
        <f t="shared" ca="1" si="1"/>
        <v>0</v>
      </c>
      <c r="E50" t="str">
        <f ca="1">IF(D50=0,"",COUNTIF($D$2:D50,"&gt;0"))</f>
        <v/>
      </c>
      <c r="F50" s="24" t="str">
        <f ca="1">IFERROR(INDEX(A:A,MATCH(ROW(D49),E:E,0)),"")</f>
        <v/>
      </c>
    </row>
    <row r="51" spans="1:6">
      <c r="A51" s="31" t="s">
        <v>109</v>
      </c>
      <c r="B51" s="25" t="s">
        <v>22</v>
      </c>
      <c r="C51" s="32">
        <v>11800</v>
      </c>
      <c r="D51">
        <f t="shared" ca="1" si="1"/>
        <v>0</v>
      </c>
      <c r="E51" t="str">
        <f ca="1">IF(D51=0,"",COUNTIF($D$2:D51,"&gt;0"))</f>
        <v/>
      </c>
      <c r="F51" s="24" t="str">
        <f ca="1">IFERROR(INDEX(A:A,MATCH(ROW(D50),E:E,0)),"")</f>
        <v/>
      </c>
    </row>
    <row r="52" spans="1:6">
      <c r="A52" s="31" t="s">
        <v>110</v>
      </c>
      <c r="B52" s="25" t="s">
        <v>22</v>
      </c>
      <c r="C52" s="32">
        <v>17100</v>
      </c>
      <c r="D52">
        <f t="shared" ca="1" si="1"/>
        <v>0</v>
      </c>
      <c r="E52" t="str">
        <f ca="1">IF(D52=0,"",COUNTIF($D$2:D52,"&gt;0"))</f>
        <v/>
      </c>
      <c r="F52" s="24" t="str">
        <f ca="1">IFERROR(INDEX(A:A,MATCH(ROW(D51),E:E,0)),"")</f>
        <v/>
      </c>
    </row>
    <row r="53" spans="1:6">
      <c r="A53" s="31" t="s">
        <v>111</v>
      </c>
      <c r="B53" s="25" t="s">
        <v>22</v>
      </c>
      <c r="C53" s="32">
        <v>22500</v>
      </c>
      <c r="D53">
        <f t="shared" ca="1" si="1"/>
        <v>0</v>
      </c>
      <c r="E53" t="str">
        <f ca="1">IF(D53=0,"",COUNTIF($D$2:D53,"&gt;0"))</f>
        <v/>
      </c>
      <c r="F53" s="24" t="str">
        <f>IFERROR(INDEX(A:A,MATCH(ROW(#REF!),E:E,0)),"")</f>
        <v/>
      </c>
    </row>
    <row r="54" spans="1:6">
      <c r="A54" s="31" t="s">
        <v>112</v>
      </c>
      <c r="B54" s="25" t="s">
        <v>22</v>
      </c>
      <c r="C54" s="32">
        <v>15200</v>
      </c>
      <c r="D54">
        <f t="shared" ref="D54:D77" ca="1" si="4">IFERROR(SEARCH(INDIRECT(CELL("address")),A54),0)</f>
        <v>0</v>
      </c>
      <c r="E54" t="str">
        <f ca="1">IF(D54=0,"",COUNTIF($D$2:D54,"&gt;0"))</f>
        <v/>
      </c>
      <c r="F54" s="24" t="str">
        <f>IFERROR(INDEX(A:A,MATCH(ROW(#REF!),E:E,0)),"")</f>
        <v/>
      </c>
    </row>
    <row r="55" spans="1:6">
      <c r="A55" s="31" t="s">
        <v>113</v>
      </c>
      <c r="B55" s="25" t="s">
        <v>22</v>
      </c>
      <c r="C55" s="32">
        <v>15200</v>
      </c>
      <c r="D55">
        <f t="shared" ca="1" si="4"/>
        <v>0</v>
      </c>
      <c r="E55" t="str">
        <f ca="1">IF(D55=0,"",COUNTIF($D$2:D55,"&gt;0"))</f>
        <v/>
      </c>
      <c r="F55" s="24" t="str">
        <f ca="1">IFERROR(INDEX(A:A,MATCH(ROW(D54),E:E,0)),"")</f>
        <v/>
      </c>
    </row>
    <row r="56" spans="1:6">
      <c r="A56" s="31" t="s">
        <v>114</v>
      </c>
      <c r="B56" s="25" t="s">
        <v>22</v>
      </c>
      <c r="C56" s="32">
        <v>12300</v>
      </c>
      <c r="D56">
        <f t="shared" ca="1" si="4"/>
        <v>0</v>
      </c>
      <c r="E56" t="str">
        <f ca="1">IF(D56=0,"",COUNTIF($D$2:D56,"&gt;0"))</f>
        <v/>
      </c>
      <c r="F56" s="24" t="str">
        <f ca="1">IFERROR(INDEX(A:A,MATCH(ROW(D55),E:E,0)),"")</f>
        <v/>
      </c>
    </row>
    <row r="57" spans="1:6">
      <c r="A57" s="31" t="s">
        <v>38</v>
      </c>
      <c r="B57" s="25" t="s">
        <v>22</v>
      </c>
      <c r="C57" s="32">
        <v>19400</v>
      </c>
      <c r="D57">
        <f t="shared" ca="1" si="4"/>
        <v>0</v>
      </c>
      <c r="E57" t="str">
        <f ca="1">IF(D57=0,"",COUNTIF($D$2:D57,"&gt;0"))</f>
        <v/>
      </c>
      <c r="F57" s="24" t="str">
        <f ca="1">IFERROR(INDEX(A:A,MATCH(ROW(D56),E:E,0)),"")</f>
        <v/>
      </c>
    </row>
    <row r="58" spans="1:6">
      <c r="A58" s="31" t="s">
        <v>115</v>
      </c>
      <c r="B58" s="25" t="s">
        <v>22</v>
      </c>
      <c r="C58" s="32">
        <v>25500</v>
      </c>
      <c r="D58">
        <f t="shared" ca="1" si="4"/>
        <v>0</v>
      </c>
      <c r="E58" t="str">
        <f ca="1">IF(D58=0,"",COUNTIF($D$2:D58,"&gt;0"))</f>
        <v/>
      </c>
      <c r="F58" s="24" t="str">
        <f>IFERROR(INDEX(A:A,MATCH(ROW(#REF!),E:E,0)),"")</f>
        <v/>
      </c>
    </row>
    <row r="59" spans="1:6">
      <c r="A59" s="31" t="s">
        <v>116</v>
      </c>
      <c r="B59" s="25" t="s">
        <v>22</v>
      </c>
      <c r="C59" s="32">
        <v>24900</v>
      </c>
      <c r="D59">
        <f t="shared" ca="1" si="4"/>
        <v>0</v>
      </c>
      <c r="E59" t="str">
        <f ca="1">IF(D59=0,"",COUNTIF($D$2:D59,"&gt;0"))</f>
        <v/>
      </c>
      <c r="F59" s="24" t="str">
        <f ca="1">IFERROR(INDEX(A:A,MATCH(ROW(D58),E:E,0)),"")</f>
        <v/>
      </c>
    </row>
    <row r="60" spans="1:6">
      <c r="A60" s="31" t="s">
        <v>117</v>
      </c>
      <c r="B60" s="25" t="s">
        <v>22</v>
      </c>
      <c r="C60" s="32">
        <v>26000</v>
      </c>
      <c r="D60">
        <f t="shared" ca="1" si="4"/>
        <v>0</v>
      </c>
      <c r="E60" t="str">
        <f ca="1">IF(D60=0,"",COUNTIF($D$2:D60,"&gt;0"))</f>
        <v/>
      </c>
      <c r="F60" s="24" t="str">
        <f ca="1">IFERROR(INDEX(A:A,MATCH(ROW(D59),E:E,0)),"")</f>
        <v/>
      </c>
    </row>
    <row r="61" spans="1:6">
      <c r="A61" s="31" t="s">
        <v>118</v>
      </c>
      <c r="B61" s="25" t="s">
        <v>22</v>
      </c>
      <c r="C61" s="32">
        <v>12500</v>
      </c>
      <c r="D61">
        <f t="shared" ca="1" si="4"/>
        <v>0</v>
      </c>
      <c r="E61" t="str">
        <f ca="1">IF(D61=0,"",COUNTIF($D$2:D61,"&gt;0"))</f>
        <v/>
      </c>
      <c r="F61" s="24" t="str">
        <f>IFERROR(INDEX(A:A,MATCH(ROW(#REF!),E:E,0)),"")</f>
        <v/>
      </c>
    </row>
    <row r="62" spans="1:6">
      <c r="A62" s="33" t="s">
        <v>39</v>
      </c>
      <c r="B62" s="25" t="s">
        <v>22</v>
      </c>
      <c r="C62" s="34">
        <v>12400</v>
      </c>
      <c r="D62">
        <f t="shared" ca="1" si="4"/>
        <v>0</v>
      </c>
      <c r="E62" t="str">
        <f ca="1">IF(D62=0,"",COUNTIF($D$2:D62,"&gt;0"))</f>
        <v/>
      </c>
      <c r="F62" s="24" t="str">
        <f t="shared" ref="F62:F67" ca="1" si="5">IFERROR(INDEX(A:A,MATCH(ROW(D61),E:E,0)),"")</f>
        <v/>
      </c>
    </row>
    <row r="63" spans="1:6">
      <c r="A63" s="31" t="s">
        <v>119</v>
      </c>
      <c r="B63" s="25" t="s">
        <v>22</v>
      </c>
      <c r="C63" s="32">
        <v>18600</v>
      </c>
      <c r="D63">
        <f t="shared" ca="1" si="4"/>
        <v>0</v>
      </c>
      <c r="E63" t="str">
        <f ca="1">IF(D63=0,"",COUNTIF($D$2:D63,"&gt;0"))</f>
        <v/>
      </c>
      <c r="F63" s="24" t="str">
        <f t="shared" ca="1" si="5"/>
        <v/>
      </c>
    </row>
    <row r="64" spans="1:6">
      <c r="A64" s="31" t="s">
        <v>40</v>
      </c>
      <c r="B64" s="25" t="s">
        <v>22</v>
      </c>
      <c r="C64" s="32">
        <v>11100</v>
      </c>
      <c r="D64">
        <f t="shared" ca="1" si="4"/>
        <v>0</v>
      </c>
      <c r="E64" t="str">
        <f ca="1">IF(D64=0,"",COUNTIF($D$2:D64,"&gt;0"))</f>
        <v/>
      </c>
      <c r="F64" s="24" t="str">
        <f t="shared" ca="1" si="5"/>
        <v/>
      </c>
    </row>
    <row r="65" spans="1:6">
      <c r="A65" s="31" t="s">
        <v>41</v>
      </c>
      <c r="B65" s="25" t="s">
        <v>22</v>
      </c>
      <c r="C65" s="32">
        <v>10800</v>
      </c>
      <c r="D65">
        <f t="shared" ca="1" si="4"/>
        <v>0</v>
      </c>
      <c r="E65" t="str">
        <f ca="1">IF(D65=0,"",COUNTIF($D$2:D65,"&gt;0"))</f>
        <v/>
      </c>
      <c r="F65" s="24" t="str">
        <f t="shared" ca="1" si="5"/>
        <v/>
      </c>
    </row>
    <row r="66" spans="1:6">
      <c r="A66" s="31" t="s">
        <v>42</v>
      </c>
      <c r="B66" s="25" t="s">
        <v>22</v>
      </c>
      <c r="C66" s="32">
        <v>8300</v>
      </c>
      <c r="D66">
        <f t="shared" ca="1" si="4"/>
        <v>0</v>
      </c>
      <c r="E66" t="str">
        <f ca="1">IF(D66=0,"",COUNTIF($D$2:D66,"&gt;0"))</f>
        <v/>
      </c>
      <c r="F66" s="24" t="str">
        <f t="shared" ca="1" si="5"/>
        <v/>
      </c>
    </row>
    <row r="67" spans="1:6">
      <c r="A67" s="31" t="s">
        <v>120</v>
      </c>
      <c r="B67" s="25" t="s">
        <v>22</v>
      </c>
      <c r="C67" s="32">
        <v>20500</v>
      </c>
      <c r="D67">
        <f t="shared" ca="1" si="4"/>
        <v>0</v>
      </c>
      <c r="E67" t="str">
        <f ca="1">IF(D67=0,"",COUNTIF($D$2:D67,"&gt;0"))</f>
        <v/>
      </c>
      <c r="F67" s="24" t="str">
        <f t="shared" ca="1" si="5"/>
        <v/>
      </c>
    </row>
    <row r="68" spans="1:6">
      <c r="A68" s="31" t="s">
        <v>121</v>
      </c>
      <c r="B68" s="25" t="s">
        <v>22</v>
      </c>
      <c r="C68" s="32">
        <v>42600</v>
      </c>
      <c r="D68">
        <f t="shared" ca="1" si="4"/>
        <v>0</v>
      </c>
      <c r="E68" t="str">
        <f ca="1">IF(D68=0,"",COUNTIF($D$2:D68,"&gt;0"))</f>
        <v/>
      </c>
      <c r="F68" s="24" t="str">
        <f>IFERROR(INDEX(A:A,MATCH(ROW(#REF!),E:E,0)),"")</f>
        <v/>
      </c>
    </row>
    <row r="69" spans="1:6">
      <c r="A69" s="31" t="s">
        <v>43</v>
      </c>
      <c r="B69" s="25" t="s">
        <v>22</v>
      </c>
      <c r="C69" s="32">
        <v>16100</v>
      </c>
      <c r="D69">
        <f t="shared" ca="1" si="4"/>
        <v>0</v>
      </c>
      <c r="E69" t="str">
        <f ca="1">IF(D69=0,"",COUNTIF($D$2:D69,"&gt;0"))</f>
        <v/>
      </c>
      <c r="F69" s="24" t="str">
        <f t="shared" ref="F69:F100" ca="1" si="6">IFERROR(INDEX(A:A,MATCH(ROW(D68),E:E,0)),"")</f>
        <v/>
      </c>
    </row>
    <row r="70" spans="1:6">
      <c r="A70" s="27" t="s">
        <v>44</v>
      </c>
      <c r="B70" s="25" t="s">
        <v>22</v>
      </c>
      <c r="C70" s="28">
        <v>17900</v>
      </c>
      <c r="D70">
        <f t="shared" ca="1" si="4"/>
        <v>0</v>
      </c>
      <c r="E70" t="str">
        <f ca="1">IF(D70=0,"",COUNTIF($D$2:D70,"&gt;0"))</f>
        <v/>
      </c>
      <c r="F70" s="24" t="str">
        <f t="shared" ca="1" si="6"/>
        <v/>
      </c>
    </row>
    <row r="71" spans="1:6">
      <c r="A71" s="27" t="s">
        <v>122</v>
      </c>
      <c r="B71" s="25" t="s">
        <v>22</v>
      </c>
      <c r="C71" s="28">
        <v>17000</v>
      </c>
      <c r="D71">
        <f t="shared" ca="1" si="4"/>
        <v>0</v>
      </c>
      <c r="E71" t="str">
        <f ca="1">IF(D71=0,"",COUNTIF($D$2:D71,"&gt;0"))</f>
        <v/>
      </c>
      <c r="F71" s="24" t="str">
        <f t="shared" ca="1" si="6"/>
        <v/>
      </c>
    </row>
    <row r="72" spans="1:6">
      <c r="A72" s="27" t="s">
        <v>123</v>
      </c>
      <c r="B72" s="25" t="s">
        <v>22</v>
      </c>
      <c r="C72" s="28">
        <v>16500</v>
      </c>
      <c r="D72">
        <f t="shared" ca="1" si="4"/>
        <v>0</v>
      </c>
      <c r="E72" t="str">
        <f ca="1">IF(D72=0,"",COUNTIF($D$2:D72,"&gt;0"))</f>
        <v/>
      </c>
      <c r="F72" s="24" t="str">
        <f t="shared" ca="1" si="6"/>
        <v/>
      </c>
    </row>
    <row r="73" spans="1:6">
      <c r="A73" s="27" t="s">
        <v>50</v>
      </c>
      <c r="B73" s="25" t="s">
        <v>22</v>
      </c>
      <c r="C73" s="28">
        <v>15000</v>
      </c>
      <c r="D73">
        <f t="shared" ca="1" si="4"/>
        <v>0</v>
      </c>
      <c r="E73" t="str">
        <f ca="1">IF(D73=0,"",COUNTIF($D$2:D73,"&gt;0"))</f>
        <v/>
      </c>
      <c r="F73" s="24" t="str">
        <f t="shared" ca="1" si="6"/>
        <v/>
      </c>
    </row>
    <row r="74" spans="1:6">
      <c r="A74" s="27" t="s">
        <v>45</v>
      </c>
      <c r="B74" s="25" t="s">
        <v>22</v>
      </c>
      <c r="C74" s="28">
        <v>37100</v>
      </c>
      <c r="D74">
        <f t="shared" ca="1" si="4"/>
        <v>0</v>
      </c>
      <c r="E74" t="str">
        <f ca="1">IF(D74=0,"",COUNTIF($D$2:D74,"&gt;0"))</f>
        <v/>
      </c>
      <c r="F74" s="24" t="str">
        <f t="shared" ca="1" si="6"/>
        <v/>
      </c>
    </row>
    <row r="75" spans="1:6">
      <c r="A75" s="27" t="s">
        <v>124</v>
      </c>
      <c r="B75" s="25" t="s">
        <v>22</v>
      </c>
      <c r="C75" s="28">
        <v>27700</v>
      </c>
      <c r="D75">
        <f t="shared" ca="1" si="4"/>
        <v>0</v>
      </c>
      <c r="E75" t="str">
        <f ca="1">IF(D75=0,"",COUNTIF($D$2:D75,"&gt;0"))</f>
        <v/>
      </c>
      <c r="F75" s="24" t="str">
        <f t="shared" ca="1" si="6"/>
        <v/>
      </c>
    </row>
    <row r="76" spans="1:6">
      <c r="A76" s="27" t="s">
        <v>46</v>
      </c>
      <c r="B76" s="25" t="s">
        <v>22</v>
      </c>
      <c r="C76" s="28">
        <v>29400</v>
      </c>
      <c r="D76">
        <f t="shared" ca="1" si="4"/>
        <v>0</v>
      </c>
      <c r="E76" t="str">
        <f ca="1">IF(D76=0,"",COUNTIF($D$2:D76,"&gt;0"))</f>
        <v/>
      </c>
      <c r="F76" s="24" t="str">
        <f t="shared" ca="1" si="6"/>
        <v/>
      </c>
    </row>
    <row r="77" spans="1:6">
      <c r="A77" s="27" t="s">
        <v>47</v>
      </c>
      <c r="B77" s="25" t="s">
        <v>22</v>
      </c>
      <c r="C77" s="28">
        <v>22000</v>
      </c>
      <c r="D77">
        <f t="shared" ca="1" si="4"/>
        <v>0</v>
      </c>
      <c r="E77" t="str">
        <f ca="1">IF(D77=0,"",COUNTIF($D$2:D77,"&gt;0"))</f>
        <v/>
      </c>
      <c r="F77" s="24" t="str">
        <f t="shared" ca="1" si="6"/>
        <v/>
      </c>
    </row>
    <row r="78" spans="1:6">
      <c r="A78" s="27" t="s">
        <v>48</v>
      </c>
      <c r="B78" s="25" t="s">
        <v>22</v>
      </c>
      <c r="C78" s="28">
        <v>24300</v>
      </c>
      <c r="D78">
        <f t="shared" ref="D78:D133" ca="1" si="7">IFERROR(SEARCH(INDIRECT(CELL("address")),A78),0)</f>
        <v>0</v>
      </c>
      <c r="E78" t="str">
        <f ca="1">IF(D78=0,"",COUNTIF($D$2:D78,"&gt;0"))</f>
        <v/>
      </c>
      <c r="F78" s="24" t="str">
        <f t="shared" ca="1" si="6"/>
        <v/>
      </c>
    </row>
    <row r="79" spans="1:6">
      <c r="A79" s="27" t="s">
        <v>125</v>
      </c>
      <c r="B79" s="25" t="s">
        <v>22</v>
      </c>
      <c r="C79" s="28">
        <v>25300</v>
      </c>
      <c r="D79">
        <f t="shared" ca="1" si="7"/>
        <v>0</v>
      </c>
      <c r="E79" t="str">
        <f ca="1">IF(D79=0,"",COUNTIF($D$2:D79,"&gt;0"))</f>
        <v/>
      </c>
      <c r="F79" s="24" t="str">
        <f t="shared" ca="1" si="6"/>
        <v/>
      </c>
    </row>
    <row r="80" spans="1:6">
      <c r="A80" s="27" t="s">
        <v>126</v>
      </c>
      <c r="B80" s="25" t="s">
        <v>22</v>
      </c>
      <c r="C80" s="28">
        <v>18700</v>
      </c>
      <c r="D80">
        <f t="shared" ca="1" si="7"/>
        <v>0</v>
      </c>
      <c r="E80" t="str">
        <f ca="1">IF(D80=0,"",COUNTIF($D$2:D80,"&gt;0"))</f>
        <v/>
      </c>
      <c r="F80" s="24" t="str">
        <f t="shared" ca="1" si="6"/>
        <v/>
      </c>
    </row>
    <row r="81" spans="1:6">
      <c r="A81" s="27" t="s">
        <v>127</v>
      </c>
      <c r="B81" s="25" t="s">
        <v>22</v>
      </c>
      <c r="C81" s="28">
        <v>9400</v>
      </c>
      <c r="D81">
        <f t="shared" ca="1" si="7"/>
        <v>0</v>
      </c>
      <c r="E81" t="str">
        <f ca="1">IF(D81=0,"",COUNTIF($D$2:D81,"&gt;0"))</f>
        <v/>
      </c>
      <c r="F81" s="24" t="str">
        <f t="shared" ca="1" si="6"/>
        <v/>
      </c>
    </row>
    <row r="82" spans="1:6">
      <c r="A82" s="27" t="s">
        <v>49</v>
      </c>
      <c r="B82" s="25" t="s">
        <v>22</v>
      </c>
      <c r="C82" s="28">
        <v>16000</v>
      </c>
      <c r="D82">
        <f t="shared" ca="1" si="7"/>
        <v>0</v>
      </c>
      <c r="E82" t="str">
        <f ca="1">IF(D82=0,"",COUNTIF($D$2:D82,"&gt;0"))</f>
        <v/>
      </c>
      <c r="F82" s="24" t="str">
        <f t="shared" ca="1" si="6"/>
        <v/>
      </c>
    </row>
    <row r="83" spans="1:6">
      <c r="A83" s="27" t="s">
        <v>128</v>
      </c>
      <c r="B83" s="25" t="s">
        <v>22</v>
      </c>
      <c r="C83" s="28">
        <v>22900</v>
      </c>
      <c r="D83">
        <f t="shared" ca="1" si="7"/>
        <v>0</v>
      </c>
      <c r="E83" t="str">
        <f ca="1">IF(D83=0,"",COUNTIF($D$2:D83,"&gt;0"))</f>
        <v/>
      </c>
      <c r="F83" s="24" t="str">
        <f t="shared" ca="1" si="6"/>
        <v/>
      </c>
    </row>
    <row r="84" spans="1:6">
      <c r="A84" s="27" t="s">
        <v>129</v>
      </c>
      <c r="B84" s="25" t="s">
        <v>22</v>
      </c>
      <c r="C84" s="28">
        <v>11500</v>
      </c>
      <c r="D84">
        <f t="shared" ca="1" si="7"/>
        <v>0</v>
      </c>
      <c r="E84" t="str">
        <f ca="1">IF(D84=0,"",COUNTIF($D$2:D84,"&gt;0"))</f>
        <v/>
      </c>
      <c r="F84" s="24" t="str">
        <f t="shared" ca="1" si="6"/>
        <v/>
      </c>
    </row>
    <row r="85" spans="1:6">
      <c r="A85" s="27" t="s">
        <v>130</v>
      </c>
      <c r="B85" s="25" t="s">
        <v>22</v>
      </c>
      <c r="C85" s="28">
        <v>10700</v>
      </c>
      <c r="D85">
        <f t="shared" ca="1" si="7"/>
        <v>0</v>
      </c>
      <c r="E85" t="str">
        <f ca="1">IF(D85=0,"",COUNTIF($D$2:D85,"&gt;0"))</f>
        <v/>
      </c>
      <c r="F85" s="24" t="str">
        <f t="shared" ca="1" si="6"/>
        <v/>
      </c>
    </row>
    <row r="86" spans="1:6">
      <c r="A86" s="27" t="s">
        <v>131</v>
      </c>
      <c r="B86" s="25" t="s">
        <v>22</v>
      </c>
      <c r="C86" s="28">
        <v>10200</v>
      </c>
      <c r="D86">
        <f t="shared" ca="1" si="7"/>
        <v>0</v>
      </c>
      <c r="E86" t="str">
        <f ca="1">IF(D86=0,"",COUNTIF($D$2:D86,"&gt;0"))</f>
        <v/>
      </c>
      <c r="F86" s="24" t="str">
        <f t="shared" ca="1" si="6"/>
        <v/>
      </c>
    </row>
    <row r="87" spans="1:6">
      <c r="A87" s="27" t="s">
        <v>132</v>
      </c>
      <c r="B87" s="25" t="s">
        <v>22</v>
      </c>
      <c r="C87" s="28">
        <v>14200</v>
      </c>
      <c r="D87">
        <f t="shared" ca="1" si="7"/>
        <v>0</v>
      </c>
      <c r="E87" t="str">
        <f ca="1">IF(D87=0,"",COUNTIF($D$2:D87,"&gt;0"))</f>
        <v/>
      </c>
      <c r="F87" s="24" t="str">
        <f t="shared" ca="1" si="6"/>
        <v/>
      </c>
    </row>
    <row r="88" spans="1:6">
      <c r="A88" s="27" t="s">
        <v>133</v>
      </c>
      <c r="B88" s="25" t="s">
        <v>22</v>
      </c>
      <c r="C88" s="28">
        <v>7100</v>
      </c>
      <c r="D88">
        <f t="shared" ca="1" si="7"/>
        <v>0</v>
      </c>
      <c r="E88" t="str">
        <f ca="1">IF(D88=0,"",COUNTIF($D$2:D88,"&gt;0"))</f>
        <v/>
      </c>
      <c r="F88" s="24" t="str">
        <f t="shared" ca="1" si="6"/>
        <v/>
      </c>
    </row>
    <row r="89" spans="1:6">
      <c r="A89" s="27" t="s">
        <v>134</v>
      </c>
      <c r="B89" s="25" t="s">
        <v>22</v>
      </c>
      <c r="C89" s="28">
        <v>7100</v>
      </c>
      <c r="D89">
        <f t="shared" ca="1" si="7"/>
        <v>0</v>
      </c>
      <c r="E89" t="str">
        <f ca="1">IF(D89=0,"",COUNTIF($D$2:D89,"&gt;0"))</f>
        <v/>
      </c>
      <c r="F89" s="24" t="str">
        <f t="shared" ca="1" si="6"/>
        <v/>
      </c>
    </row>
    <row r="90" spans="1:6">
      <c r="A90" s="27" t="s">
        <v>135</v>
      </c>
      <c r="B90" s="25" t="s">
        <v>22</v>
      </c>
      <c r="C90" s="28">
        <v>7100</v>
      </c>
      <c r="D90">
        <f t="shared" ca="1" si="7"/>
        <v>0</v>
      </c>
      <c r="E90" t="str">
        <f ca="1">IF(D90=0,"",COUNTIF($D$2:D90,"&gt;0"))</f>
        <v/>
      </c>
      <c r="F90" s="24" t="str">
        <f t="shared" ca="1" si="6"/>
        <v/>
      </c>
    </row>
    <row r="91" spans="1:6">
      <c r="A91" s="21" t="s">
        <v>136</v>
      </c>
      <c r="B91" s="25"/>
      <c r="C91" s="26"/>
      <c r="D91">
        <f t="shared" ca="1" si="7"/>
        <v>0</v>
      </c>
      <c r="E91" t="str">
        <f ca="1">IF(D91=0,"",COUNTIF($D$2:D91,"&gt;0"))</f>
        <v/>
      </c>
      <c r="F91" s="24" t="str">
        <f t="shared" ca="1" si="6"/>
        <v/>
      </c>
    </row>
    <row r="92" spans="1:6">
      <c r="A92" s="27" t="s">
        <v>137</v>
      </c>
      <c r="B92" s="25" t="s">
        <v>22</v>
      </c>
      <c r="C92" s="28">
        <v>57200</v>
      </c>
      <c r="D92">
        <f t="shared" ca="1" si="7"/>
        <v>0</v>
      </c>
      <c r="E92" t="str">
        <f ca="1">IF(D92=0,"",COUNTIF($D$2:D92,"&gt;0"))</f>
        <v/>
      </c>
      <c r="F92" s="24" t="str">
        <f t="shared" ca="1" si="6"/>
        <v/>
      </c>
    </row>
    <row r="93" spans="1:6">
      <c r="A93" s="27" t="s">
        <v>138</v>
      </c>
      <c r="B93" s="25" t="s">
        <v>22</v>
      </c>
      <c r="C93" s="28">
        <v>89300</v>
      </c>
      <c r="D93">
        <f t="shared" ca="1" si="7"/>
        <v>0</v>
      </c>
      <c r="E93" t="str">
        <f ca="1">IF(D93=0,"",COUNTIF($D$2:D93,"&gt;0"))</f>
        <v/>
      </c>
      <c r="F93" s="24" t="str">
        <f t="shared" ca="1" si="6"/>
        <v/>
      </c>
    </row>
    <row r="94" spans="1:6">
      <c r="A94" s="27" t="s">
        <v>139</v>
      </c>
      <c r="B94" s="25" t="s">
        <v>22</v>
      </c>
      <c r="C94" s="28">
        <v>139300</v>
      </c>
      <c r="D94">
        <f t="shared" ca="1" si="7"/>
        <v>0</v>
      </c>
      <c r="E94" t="str">
        <f ca="1">IF(D94=0,"",COUNTIF($D$2:D94,"&gt;0"))</f>
        <v/>
      </c>
      <c r="F94" s="24" t="str">
        <f t="shared" ca="1" si="6"/>
        <v/>
      </c>
    </row>
    <row r="95" spans="1:6">
      <c r="A95" s="27" t="s">
        <v>140</v>
      </c>
      <c r="B95" s="25" t="s">
        <v>22</v>
      </c>
      <c r="C95" s="28">
        <v>362000</v>
      </c>
      <c r="D95">
        <f t="shared" ca="1" si="7"/>
        <v>0</v>
      </c>
      <c r="E95" t="str">
        <f ca="1">IF(D95=0,"",COUNTIF($D$2:D95,"&gt;0"))</f>
        <v/>
      </c>
      <c r="F95" s="24" t="str">
        <f t="shared" ca="1" si="6"/>
        <v/>
      </c>
    </row>
    <row r="96" spans="1:6">
      <c r="A96" s="27" t="s">
        <v>141</v>
      </c>
      <c r="B96" s="25" t="s">
        <v>22</v>
      </c>
      <c r="C96" s="28">
        <v>98500</v>
      </c>
      <c r="D96">
        <f t="shared" ca="1" si="7"/>
        <v>0</v>
      </c>
      <c r="E96" t="str">
        <f ca="1">IF(D96=0,"",COUNTIF($D$2:D96,"&gt;0"))</f>
        <v/>
      </c>
      <c r="F96" s="24" t="str">
        <f t="shared" ca="1" si="6"/>
        <v/>
      </c>
    </row>
    <row r="97" spans="1:6">
      <c r="A97" s="27" t="s">
        <v>142</v>
      </c>
      <c r="B97" s="25" t="s">
        <v>22</v>
      </c>
      <c r="C97" s="28">
        <v>75000</v>
      </c>
      <c r="D97">
        <f t="shared" ca="1" si="7"/>
        <v>0</v>
      </c>
      <c r="E97" t="str">
        <f ca="1">IF(D97=0,"",COUNTIF($D$2:D97,"&gt;0"))</f>
        <v/>
      </c>
      <c r="F97" s="24" t="str">
        <f t="shared" ca="1" si="6"/>
        <v/>
      </c>
    </row>
    <row r="98" spans="1:6">
      <c r="A98" s="27" t="s">
        <v>143</v>
      </c>
      <c r="B98" s="25" t="s">
        <v>22</v>
      </c>
      <c r="C98" s="28">
        <v>94100</v>
      </c>
      <c r="D98">
        <f t="shared" ca="1" si="7"/>
        <v>0</v>
      </c>
      <c r="E98" t="str">
        <f ca="1">IF(D98=0,"",COUNTIF($D$2:D98,"&gt;0"))</f>
        <v/>
      </c>
      <c r="F98" s="24" t="str">
        <f t="shared" ca="1" si="6"/>
        <v/>
      </c>
    </row>
    <row r="99" spans="1:6">
      <c r="A99" s="27" t="s">
        <v>144</v>
      </c>
      <c r="B99" s="25" t="s">
        <v>22</v>
      </c>
      <c r="C99" s="28">
        <v>167600</v>
      </c>
      <c r="D99">
        <f t="shared" ca="1" si="7"/>
        <v>0</v>
      </c>
      <c r="E99" t="str">
        <f ca="1">IF(D99=0,"",COUNTIF($D$2:D99,"&gt;0"))</f>
        <v/>
      </c>
      <c r="F99" s="24" t="str">
        <f t="shared" ca="1" si="6"/>
        <v/>
      </c>
    </row>
    <row r="100" spans="1:6">
      <c r="A100" s="27" t="s">
        <v>145</v>
      </c>
      <c r="B100" s="25" t="s">
        <v>22</v>
      </c>
      <c r="C100" s="28">
        <v>17800</v>
      </c>
      <c r="D100">
        <f t="shared" ca="1" si="7"/>
        <v>0</v>
      </c>
      <c r="E100" t="str">
        <f ca="1">IF(D100=0,"",COUNTIF($D$2:D100,"&gt;0"))</f>
        <v/>
      </c>
      <c r="F100" s="24" t="str">
        <f t="shared" ca="1" si="6"/>
        <v/>
      </c>
    </row>
    <row r="101" spans="1:6">
      <c r="A101" s="27" t="s">
        <v>146</v>
      </c>
      <c r="B101" s="25" t="s">
        <v>22</v>
      </c>
      <c r="C101" s="28">
        <v>73300</v>
      </c>
      <c r="D101">
        <f t="shared" ca="1" si="7"/>
        <v>0</v>
      </c>
      <c r="E101" t="str">
        <f ca="1">IF(D101=0,"",COUNTIF($D$2:D101,"&gt;0"))</f>
        <v/>
      </c>
      <c r="F101" s="24" t="str">
        <f t="shared" ref="F101:F132" ca="1" si="8">IFERROR(INDEX(A:A,MATCH(ROW(D100),E:E,0)),"")</f>
        <v/>
      </c>
    </row>
    <row r="102" spans="1:6">
      <c r="A102" s="27" t="s">
        <v>147</v>
      </c>
      <c r="B102" s="25" t="s">
        <v>22</v>
      </c>
      <c r="C102" s="28">
        <v>9800</v>
      </c>
      <c r="D102">
        <f t="shared" ca="1" si="7"/>
        <v>0</v>
      </c>
      <c r="E102" t="str">
        <f ca="1">IF(D102=0,"",COUNTIF($D$2:D102,"&gt;0"))</f>
        <v/>
      </c>
      <c r="F102" s="24" t="str">
        <f t="shared" ca="1" si="8"/>
        <v/>
      </c>
    </row>
    <row r="103" spans="1:6">
      <c r="A103" s="27" t="s">
        <v>148</v>
      </c>
      <c r="B103" s="25" t="s">
        <v>22</v>
      </c>
      <c r="C103" s="28">
        <v>90000</v>
      </c>
      <c r="D103">
        <f t="shared" ca="1" si="7"/>
        <v>0</v>
      </c>
      <c r="E103" t="str">
        <f ca="1">IF(D103=0,"",COUNTIF($D$2:D103,"&gt;0"))</f>
        <v/>
      </c>
      <c r="F103" s="24" t="str">
        <f t="shared" ca="1" si="8"/>
        <v/>
      </c>
    </row>
    <row r="104" spans="1:6">
      <c r="A104" s="27" t="s">
        <v>149</v>
      </c>
      <c r="B104" s="25" t="s">
        <v>22</v>
      </c>
      <c r="C104" s="28">
        <v>9300</v>
      </c>
      <c r="D104">
        <f t="shared" ca="1" si="7"/>
        <v>0</v>
      </c>
      <c r="E104" t="str">
        <f ca="1">IF(D104=0,"",COUNTIF($D$2:D104,"&gt;0"))</f>
        <v/>
      </c>
      <c r="F104" s="24" t="str">
        <f t="shared" ca="1" si="8"/>
        <v/>
      </c>
    </row>
    <row r="105" spans="1:6">
      <c r="A105" s="27" t="s">
        <v>150</v>
      </c>
      <c r="B105" s="25" t="s">
        <v>22</v>
      </c>
      <c r="C105" s="28">
        <v>6800</v>
      </c>
      <c r="D105">
        <f t="shared" ca="1" si="7"/>
        <v>0</v>
      </c>
      <c r="E105" t="str">
        <f ca="1">IF(D105=0,"",COUNTIF($D$2:D105,"&gt;0"))</f>
        <v/>
      </c>
      <c r="F105" s="24" t="str">
        <f t="shared" ca="1" si="8"/>
        <v/>
      </c>
    </row>
    <row r="106" spans="1:6">
      <c r="A106" s="27" t="s">
        <v>151</v>
      </c>
      <c r="B106" s="25" t="s">
        <v>22</v>
      </c>
      <c r="C106" s="26"/>
      <c r="D106">
        <f t="shared" ca="1" si="7"/>
        <v>0</v>
      </c>
      <c r="E106" t="str">
        <f ca="1">IF(D106=0,"",COUNTIF($D$2:D106,"&gt;0"))</f>
        <v/>
      </c>
      <c r="F106" s="24" t="str">
        <f t="shared" ca="1" si="8"/>
        <v/>
      </c>
    </row>
    <row r="107" spans="1:6">
      <c r="A107" s="27" t="s">
        <v>152</v>
      </c>
      <c r="B107" s="25" t="s">
        <v>22</v>
      </c>
      <c r="C107" s="28">
        <v>35000</v>
      </c>
      <c r="D107">
        <f t="shared" ca="1" si="7"/>
        <v>0</v>
      </c>
      <c r="E107" t="str">
        <f ca="1">IF(D107=0,"",COUNTIF($D$2:D107,"&gt;0"))</f>
        <v/>
      </c>
      <c r="F107" s="24" t="str">
        <f t="shared" ca="1" si="8"/>
        <v/>
      </c>
    </row>
    <row r="108" spans="1:6">
      <c r="A108" s="27" t="s">
        <v>153</v>
      </c>
      <c r="B108" s="25" t="s">
        <v>22</v>
      </c>
      <c r="C108" s="28">
        <v>95000</v>
      </c>
      <c r="D108">
        <f t="shared" ca="1" si="7"/>
        <v>0</v>
      </c>
      <c r="E108" t="str">
        <f ca="1">IF(D108=0,"",COUNTIF($D$2:D108,"&gt;0"))</f>
        <v/>
      </c>
      <c r="F108" s="24" t="str">
        <f t="shared" ca="1" si="8"/>
        <v/>
      </c>
    </row>
    <row r="109" spans="1:6">
      <c r="A109" s="27" t="s">
        <v>154</v>
      </c>
      <c r="B109" s="25" t="s">
        <v>22</v>
      </c>
      <c r="C109" s="28">
        <v>25000</v>
      </c>
      <c r="D109">
        <f t="shared" ca="1" si="7"/>
        <v>0</v>
      </c>
      <c r="E109" t="str">
        <f ca="1">IF(D109=0,"",COUNTIF($D$2:D109,"&gt;0"))</f>
        <v/>
      </c>
      <c r="F109" s="24" t="str">
        <f t="shared" ca="1" si="8"/>
        <v/>
      </c>
    </row>
    <row r="110" spans="1:6">
      <c r="A110" s="27" t="s">
        <v>155</v>
      </c>
      <c r="B110" s="25" t="s">
        <v>22</v>
      </c>
      <c r="C110" s="28">
        <v>55000</v>
      </c>
      <c r="D110">
        <f t="shared" ca="1" si="7"/>
        <v>0</v>
      </c>
      <c r="E110" t="str">
        <f ca="1">IF(D110=0,"",COUNTIF($D$2:D110,"&gt;0"))</f>
        <v/>
      </c>
      <c r="F110" s="24" t="str">
        <f t="shared" ca="1" si="8"/>
        <v/>
      </c>
    </row>
    <row r="111" spans="1:6">
      <c r="A111" s="27" t="s">
        <v>156</v>
      </c>
      <c r="B111" s="25" t="s">
        <v>22</v>
      </c>
      <c r="C111" s="26"/>
      <c r="D111">
        <f t="shared" ca="1" si="7"/>
        <v>0</v>
      </c>
      <c r="E111" t="str">
        <f ca="1">IF(D111=0,"",COUNTIF($D$2:D111,"&gt;0"))</f>
        <v/>
      </c>
      <c r="F111" s="24" t="str">
        <f t="shared" ca="1" si="8"/>
        <v/>
      </c>
    </row>
    <row r="112" spans="1:6">
      <c r="A112" s="27" t="s">
        <v>157</v>
      </c>
      <c r="B112" s="25" t="s">
        <v>22</v>
      </c>
      <c r="C112" s="28">
        <v>20000</v>
      </c>
      <c r="D112">
        <f t="shared" ca="1" si="7"/>
        <v>0</v>
      </c>
      <c r="E112" t="str">
        <f ca="1">IF(D112=0,"",COUNTIF($D$2:D112,"&gt;0"))</f>
        <v/>
      </c>
      <c r="F112" s="24" t="str">
        <f t="shared" ca="1" si="8"/>
        <v/>
      </c>
    </row>
    <row r="113" spans="1:6">
      <c r="A113" s="27" t="s">
        <v>158</v>
      </c>
      <c r="B113" s="25" t="s">
        <v>22</v>
      </c>
      <c r="C113" s="28">
        <v>40000</v>
      </c>
      <c r="D113">
        <f t="shared" ca="1" si="7"/>
        <v>0</v>
      </c>
      <c r="E113" t="str">
        <f ca="1">IF(D113=0,"",COUNTIF($D$2:D113,"&gt;0"))</f>
        <v/>
      </c>
      <c r="F113" s="24" t="str">
        <f t="shared" ca="1" si="8"/>
        <v/>
      </c>
    </row>
    <row r="114" spans="1:6">
      <c r="A114" s="21" t="s">
        <v>159</v>
      </c>
      <c r="B114" s="25"/>
      <c r="C114" s="26"/>
      <c r="D114">
        <f t="shared" ca="1" si="7"/>
        <v>0</v>
      </c>
      <c r="E114" t="str">
        <f ca="1">IF(D114=0,"",COUNTIF($D$2:D114,"&gt;0"))</f>
        <v/>
      </c>
      <c r="F114" s="24" t="str">
        <f t="shared" ca="1" si="8"/>
        <v/>
      </c>
    </row>
    <row r="115" spans="1:6">
      <c r="A115" s="27" t="s">
        <v>51</v>
      </c>
      <c r="B115" s="25" t="s">
        <v>22</v>
      </c>
      <c r="C115" s="28">
        <v>23300</v>
      </c>
      <c r="D115">
        <f t="shared" ca="1" si="7"/>
        <v>0</v>
      </c>
      <c r="E115" t="str">
        <f ca="1">IF(D115=0,"",COUNTIF($D$2:D115,"&gt;0"))</f>
        <v/>
      </c>
      <c r="F115" s="24" t="str">
        <f t="shared" ca="1" si="8"/>
        <v/>
      </c>
    </row>
    <row r="116" spans="1:6">
      <c r="A116" s="27" t="s">
        <v>52</v>
      </c>
      <c r="B116" s="25" t="s">
        <v>22</v>
      </c>
      <c r="C116" s="28">
        <v>19000</v>
      </c>
      <c r="D116">
        <f t="shared" ca="1" si="7"/>
        <v>0</v>
      </c>
      <c r="E116" t="str">
        <f ca="1">IF(D116=0,"",COUNTIF($D$2:D116,"&gt;0"))</f>
        <v/>
      </c>
      <c r="F116" s="24" t="str">
        <f t="shared" ca="1" si="8"/>
        <v/>
      </c>
    </row>
    <row r="117" spans="1:6">
      <c r="A117" s="27" t="s">
        <v>54</v>
      </c>
      <c r="B117" s="25" t="s">
        <v>22</v>
      </c>
      <c r="C117" s="28">
        <v>18700</v>
      </c>
      <c r="D117">
        <f t="shared" ca="1" si="7"/>
        <v>0</v>
      </c>
      <c r="E117" t="str">
        <f ca="1">IF(D117=0,"",COUNTIF($D$2:D117,"&gt;0"))</f>
        <v/>
      </c>
      <c r="F117" s="24" t="str">
        <f t="shared" ca="1" si="8"/>
        <v/>
      </c>
    </row>
    <row r="118" spans="1:6">
      <c r="A118" s="27" t="s">
        <v>25</v>
      </c>
      <c r="B118" s="25" t="s">
        <v>22</v>
      </c>
      <c r="C118" s="28">
        <v>24600</v>
      </c>
      <c r="D118">
        <f t="shared" ca="1" si="7"/>
        <v>0</v>
      </c>
      <c r="E118" t="str">
        <f ca="1">IF(D118=0,"",COUNTIF($D$2:D118,"&gt;0"))</f>
        <v/>
      </c>
      <c r="F118" s="24" t="str">
        <f t="shared" ca="1" si="8"/>
        <v/>
      </c>
    </row>
    <row r="119" spans="1:6">
      <c r="A119" s="27" t="s">
        <v>26</v>
      </c>
      <c r="B119" s="25" t="s">
        <v>22</v>
      </c>
      <c r="C119" s="28">
        <v>11000</v>
      </c>
      <c r="D119">
        <f t="shared" ca="1" si="7"/>
        <v>0</v>
      </c>
      <c r="E119" t="str">
        <f ca="1">IF(D119=0,"",COUNTIF($D$2:D119,"&gt;0"))</f>
        <v/>
      </c>
      <c r="F119" s="24" t="str">
        <f t="shared" ca="1" si="8"/>
        <v/>
      </c>
    </row>
    <row r="120" spans="1:6">
      <c r="A120" s="27" t="s">
        <v>160</v>
      </c>
      <c r="B120" s="25" t="s">
        <v>22</v>
      </c>
      <c r="C120" s="28">
        <v>16200</v>
      </c>
      <c r="D120">
        <f t="shared" ca="1" si="7"/>
        <v>0</v>
      </c>
      <c r="E120" t="str">
        <f ca="1">IF(D120=0,"",COUNTIF($D$2:D120,"&gt;0"))</f>
        <v/>
      </c>
      <c r="F120" s="24" t="str">
        <f t="shared" ca="1" si="8"/>
        <v/>
      </c>
    </row>
    <row r="121" spans="1:6">
      <c r="A121" s="27" t="s">
        <v>161</v>
      </c>
      <c r="B121" s="25" t="s">
        <v>22</v>
      </c>
      <c r="C121" s="28">
        <v>12100</v>
      </c>
      <c r="D121">
        <f t="shared" ca="1" si="7"/>
        <v>0</v>
      </c>
      <c r="E121" t="str">
        <f ca="1">IF(D121=0,"",COUNTIF($D$2:D121,"&gt;0"))</f>
        <v/>
      </c>
      <c r="F121" s="24" t="str">
        <f t="shared" ca="1" si="8"/>
        <v/>
      </c>
    </row>
    <row r="122" spans="1:6">
      <c r="A122" s="27" t="s">
        <v>162</v>
      </c>
      <c r="B122" s="25" t="s">
        <v>22</v>
      </c>
      <c r="C122" s="28">
        <v>11200</v>
      </c>
      <c r="D122">
        <f t="shared" ca="1" si="7"/>
        <v>0</v>
      </c>
      <c r="E122" t="str">
        <f ca="1">IF(D122=0,"",COUNTIF($D$2:D122,"&gt;0"))</f>
        <v/>
      </c>
      <c r="F122" s="24" t="str">
        <f t="shared" ca="1" si="8"/>
        <v/>
      </c>
    </row>
    <row r="123" spans="1:6">
      <c r="A123" s="27" t="s">
        <v>163</v>
      </c>
      <c r="B123" s="25" t="s">
        <v>22</v>
      </c>
      <c r="C123" s="28">
        <v>21700</v>
      </c>
      <c r="D123">
        <f t="shared" ca="1" si="7"/>
        <v>0</v>
      </c>
      <c r="E123" t="str">
        <f ca="1">IF(D123=0,"",COUNTIF($D$2:D123,"&gt;0"))</f>
        <v/>
      </c>
      <c r="F123" s="24" t="str">
        <f t="shared" ca="1" si="8"/>
        <v/>
      </c>
    </row>
    <row r="124" spans="1:6">
      <c r="A124" s="27" t="s">
        <v>164</v>
      </c>
      <c r="B124" s="25" t="s">
        <v>22</v>
      </c>
      <c r="C124" s="28">
        <v>12800</v>
      </c>
      <c r="D124">
        <f t="shared" ca="1" si="7"/>
        <v>0</v>
      </c>
      <c r="E124" t="str">
        <f ca="1">IF(D124=0,"",COUNTIF($D$2:D124,"&gt;0"))</f>
        <v/>
      </c>
      <c r="F124" s="24" t="str">
        <f t="shared" ca="1" si="8"/>
        <v/>
      </c>
    </row>
    <row r="125" spans="1:6">
      <c r="A125" s="27" t="s">
        <v>165</v>
      </c>
      <c r="B125" s="25" t="s">
        <v>22</v>
      </c>
      <c r="C125" s="28">
        <v>18200</v>
      </c>
      <c r="D125">
        <f t="shared" ca="1" si="7"/>
        <v>0</v>
      </c>
      <c r="E125" t="str">
        <f ca="1">IF(D125=0,"",COUNTIF($D$2:D125,"&gt;0"))</f>
        <v/>
      </c>
      <c r="F125" s="24" t="str">
        <f t="shared" ca="1" si="8"/>
        <v/>
      </c>
    </row>
    <row r="126" spans="1:6">
      <c r="A126" s="27" t="s">
        <v>53</v>
      </c>
      <c r="B126" s="25" t="s">
        <v>22</v>
      </c>
      <c r="C126" s="28">
        <v>11000</v>
      </c>
      <c r="D126">
        <f t="shared" ca="1" si="7"/>
        <v>0</v>
      </c>
      <c r="E126" t="str">
        <f ca="1">IF(D126=0,"",COUNTIF($D$2:D126,"&gt;0"))</f>
        <v/>
      </c>
      <c r="F126" s="24" t="str">
        <f t="shared" ca="1" si="8"/>
        <v/>
      </c>
    </row>
    <row r="127" spans="1:6">
      <c r="A127" s="27" t="s">
        <v>166</v>
      </c>
      <c r="B127" s="25" t="s">
        <v>22</v>
      </c>
      <c r="C127" s="28">
        <v>16500</v>
      </c>
      <c r="D127">
        <f t="shared" ca="1" si="7"/>
        <v>0</v>
      </c>
      <c r="E127" t="str">
        <f ca="1">IF(D127=0,"",COUNTIF($D$2:D127,"&gt;0"))</f>
        <v/>
      </c>
      <c r="F127" s="24" t="str">
        <f t="shared" ca="1" si="8"/>
        <v/>
      </c>
    </row>
    <row r="128" spans="1:6">
      <c r="A128" s="27" t="s">
        <v>167</v>
      </c>
      <c r="B128" s="25" t="s">
        <v>22</v>
      </c>
      <c r="C128" s="28">
        <v>12300</v>
      </c>
      <c r="D128">
        <f t="shared" ca="1" si="7"/>
        <v>0</v>
      </c>
      <c r="E128" t="str">
        <f ca="1">IF(D128=0,"",COUNTIF($D$2:D128,"&gt;0"))</f>
        <v/>
      </c>
      <c r="F128" s="24" t="str">
        <f t="shared" ca="1" si="8"/>
        <v/>
      </c>
    </row>
    <row r="129" spans="1:6">
      <c r="A129" s="27" t="s">
        <v>168</v>
      </c>
      <c r="B129" s="25" t="s">
        <v>22</v>
      </c>
      <c r="C129" s="28">
        <v>16800</v>
      </c>
      <c r="D129">
        <f t="shared" ca="1" si="7"/>
        <v>0</v>
      </c>
      <c r="E129" t="str">
        <f ca="1">IF(D129=0,"",COUNTIF($D$2:D129,"&gt;0"))</f>
        <v/>
      </c>
      <c r="F129" s="24" t="str">
        <f t="shared" ca="1" si="8"/>
        <v/>
      </c>
    </row>
    <row r="130" spans="1:6">
      <c r="A130" s="21" t="s">
        <v>169</v>
      </c>
      <c r="B130" s="25"/>
      <c r="C130" s="26"/>
      <c r="D130">
        <f t="shared" ca="1" si="7"/>
        <v>0</v>
      </c>
      <c r="E130" t="str">
        <f ca="1">IF(D130=0,"",COUNTIF($D$2:D130,"&gt;0"))</f>
        <v/>
      </c>
      <c r="F130" s="24" t="str">
        <f t="shared" ca="1" si="8"/>
        <v/>
      </c>
    </row>
    <row r="131" spans="1:6">
      <c r="A131" s="27" t="s">
        <v>170</v>
      </c>
      <c r="B131" s="25" t="s">
        <v>22</v>
      </c>
      <c r="C131" s="28">
        <v>23900</v>
      </c>
      <c r="D131">
        <f t="shared" ca="1" si="7"/>
        <v>0</v>
      </c>
      <c r="E131" t="str">
        <f ca="1">IF(D131=0,"",COUNTIF($D$2:D131,"&gt;0"))</f>
        <v/>
      </c>
      <c r="F131" s="24" t="str">
        <f t="shared" ca="1" si="8"/>
        <v/>
      </c>
    </row>
    <row r="132" spans="1:6">
      <c r="A132" s="27" t="s">
        <v>171</v>
      </c>
      <c r="B132" s="25" t="s">
        <v>22</v>
      </c>
      <c r="C132" s="28">
        <v>21500</v>
      </c>
      <c r="D132">
        <f t="shared" ca="1" si="7"/>
        <v>0</v>
      </c>
      <c r="E132" t="str">
        <f ca="1">IF(D132=0,"",COUNTIF($D$2:D132,"&gt;0"))</f>
        <v/>
      </c>
      <c r="F132" s="24" t="str">
        <f t="shared" ca="1" si="8"/>
        <v/>
      </c>
    </row>
    <row r="133" spans="1:6">
      <c r="A133" s="35" t="s">
        <v>172</v>
      </c>
      <c r="B133" s="25" t="s">
        <v>22</v>
      </c>
      <c r="C133" s="36">
        <v>18500</v>
      </c>
      <c r="D133">
        <f t="shared" ca="1" si="7"/>
        <v>0</v>
      </c>
      <c r="E133" t="str">
        <f ca="1">IF(D133=0,"",COUNTIF($D$2:D133,"&gt;0"))</f>
        <v/>
      </c>
      <c r="F133" s="24" t="str">
        <f t="shared" ref="F133:F142" ca="1" si="9">IFERROR(INDEX(A:A,MATCH(ROW(D132),E:E,0)),"")</f>
        <v/>
      </c>
    </row>
    <row r="134" spans="1:6">
      <c r="A134" s="27" t="s">
        <v>173</v>
      </c>
      <c r="B134" s="25" t="s">
        <v>22</v>
      </c>
      <c r="C134" s="28">
        <v>17100</v>
      </c>
      <c r="D134">
        <f t="shared" ref="D134:D249" ca="1" si="10">IFERROR(SEARCH(INDIRECT(CELL("address")),A134),0)</f>
        <v>0</v>
      </c>
      <c r="E134" t="str">
        <f ca="1">IF(D134=0,"",COUNTIF($D$2:D134,"&gt;0"))</f>
        <v/>
      </c>
      <c r="F134" s="24" t="str">
        <f t="shared" ca="1" si="9"/>
        <v/>
      </c>
    </row>
    <row r="135" spans="1:6">
      <c r="A135" s="27" t="s">
        <v>174</v>
      </c>
      <c r="B135" s="25" t="s">
        <v>22</v>
      </c>
      <c r="C135" s="28">
        <v>17400</v>
      </c>
      <c r="D135">
        <f t="shared" ca="1" si="10"/>
        <v>0</v>
      </c>
      <c r="E135" t="str">
        <f ca="1">IF(D135=0,"",COUNTIF($D$2:D135,"&gt;0"))</f>
        <v/>
      </c>
      <c r="F135" s="24" t="str">
        <f t="shared" ca="1" si="9"/>
        <v/>
      </c>
    </row>
    <row r="136" spans="1:6">
      <c r="A136" s="27" t="s">
        <v>175</v>
      </c>
      <c r="B136" s="25" t="s">
        <v>22</v>
      </c>
      <c r="C136" s="28">
        <v>16000</v>
      </c>
      <c r="D136">
        <f t="shared" ca="1" si="10"/>
        <v>0</v>
      </c>
      <c r="E136" t="str">
        <f ca="1">IF(D136=0,"",COUNTIF($D$2:D136,"&gt;0"))</f>
        <v/>
      </c>
      <c r="F136" s="24" t="str">
        <f t="shared" ca="1" si="9"/>
        <v/>
      </c>
    </row>
    <row r="137" spans="1:6">
      <c r="A137" s="27" t="s">
        <v>176</v>
      </c>
      <c r="B137" s="25" t="s">
        <v>22</v>
      </c>
      <c r="C137" s="28">
        <v>22000</v>
      </c>
      <c r="D137">
        <f t="shared" ca="1" si="10"/>
        <v>0</v>
      </c>
      <c r="E137" t="str">
        <f ca="1">IF(D137=0,"",COUNTIF($D$2:D137,"&gt;0"))</f>
        <v/>
      </c>
      <c r="F137" s="24" t="str">
        <f t="shared" ca="1" si="9"/>
        <v/>
      </c>
    </row>
    <row r="138" spans="1:6">
      <c r="A138" s="27" t="s">
        <v>177</v>
      </c>
      <c r="B138" s="25"/>
      <c r="C138" s="26"/>
      <c r="D138">
        <f t="shared" ca="1" si="10"/>
        <v>0</v>
      </c>
      <c r="E138" t="str">
        <f ca="1">IF(D138=0,"",COUNTIF($D$2:D138,"&gt;0"))</f>
        <v/>
      </c>
      <c r="F138" s="24" t="str">
        <f t="shared" ca="1" si="9"/>
        <v/>
      </c>
    </row>
    <row r="139" spans="1:6">
      <c r="A139" s="27" t="s">
        <v>178</v>
      </c>
      <c r="B139" s="25" t="s">
        <v>22</v>
      </c>
      <c r="C139" s="28">
        <v>20000</v>
      </c>
      <c r="D139">
        <f t="shared" ca="1" si="10"/>
        <v>0</v>
      </c>
      <c r="E139" t="str">
        <f ca="1">IF(D139=0,"",COUNTIF($D$2:D139,"&gt;0"))</f>
        <v/>
      </c>
      <c r="F139" s="24" t="str">
        <f t="shared" ca="1" si="9"/>
        <v/>
      </c>
    </row>
    <row r="140" spans="1:6">
      <c r="A140" s="27" t="s">
        <v>179</v>
      </c>
      <c r="B140" s="25" t="s">
        <v>22</v>
      </c>
      <c r="C140" s="28">
        <v>14700</v>
      </c>
      <c r="D140">
        <f t="shared" ca="1" si="10"/>
        <v>0</v>
      </c>
      <c r="E140" t="str">
        <f ca="1">IF(D140=0,"",COUNTIF($D$2:D140,"&gt;0"))</f>
        <v/>
      </c>
      <c r="F140" s="24" t="str">
        <f t="shared" ca="1" si="9"/>
        <v/>
      </c>
    </row>
    <row r="141" spans="1:6">
      <c r="A141" s="37" t="s">
        <v>55</v>
      </c>
      <c r="B141" s="25" t="s">
        <v>22</v>
      </c>
      <c r="C141" s="38">
        <v>17500</v>
      </c>
      <c r="D141">
        <f t="shared" ca="1" si="10"/>
        <v>0</v>
      </c>
      <c r="E141" t="str">
        <f ca="1">IF(D141=0,"",COUNTIF($D$2:D141,"&gt;0"))</f>
        <v/>
      </c>
      <c r="F141" s="24" t="str">
        <f t="shared" ca="1" si="9"/>
        <v/>
      </c>
    </row>
    <row r="142" spans="1:6">
      <c r="A142" s="37" t="s">
        <v>180</v>
      </c>
      <c r="B142" s="25" t="s">
        <v>22</v>
      </c>
      <c r="C142" s="38">
        <v>4700</v>
      </c>
      <c r="D142">
        <f t="shared" ca="1" si="10"/>
        <v>0</v>
      </c>
      <c r="E142" t="str">
        <f ca="1">IF(D142=0,"",COUNTIF($D$2:D142,"&gt;0"))</f>
        <v/>
      </c>
      <c r="F142" s="24" t="str">
        <f t="shared" ca="1" si="9"/>
        <v/>
      </c>
    </row>
    <row r="143" spans="1:6">
      <c r="A143" s="37" t="s">
        <v>181</v>
      </c>
      <c r="B143" s="25" t="s">
        <v>22</v>
      </c>
      <c r="C143" s="38">
        <v>40000</v>
      </c>
      <c r="D143">
        <f t="shared" ref="D143:D158" ca="1" si="11">IFERROR(SEARCH(INDIRECT(CELL("address")),A143),0)</f>
        <v>0</v>
      </c>
      <c r="E143" t="str">
        <f ca="1">IF(D143=0,"",COUNTIF($D$2:D143,"&gt;0"))</f>
        <v/>
      </c>
      <c r="F143" s="24" t="str">
        <f ca="1">IFERROR(INDEX(A:A,MATCH(ROW(D1109),E:E,0)),"")</f>
        <v/>
      </c>
    </row>
    <row r="144" spans="1:6">
      <c r="A144" s="37" t="s">
        <v>182</v>
      </c>
      <c r="B144" s="25" t="s">
        <v>22</v>
      </c>
      <c r="C144" s="38">
        <v>8000</v>
      </c>
      <c r="D144">
        <f t="shared" ca="1" si="11"/>
        <v>0</v>
      </c>
      <c r="E144" t="str">
        <f ca="1">IF(D144=0,"",COUNTIF($D$2:D144,"&gt;0"))</f>
        <v/>
      </c>
      <c r="F144" s="24" t="str">
        <f t="shared" ref="F144:F158" ca="1" si="12">IFERROR(INDEX(A:A,MATCH(ROW(D143),E:E,0)),"")</f>
        <v/>
      </c>
    </row>
    <row r="145" spans="1:6">
      <c r="A145" s="37" t="s">
        <v>183</v>
      </c>
      <c r="B145" s="25" t="s">
        <v>22</v>
      </c>
      <c r="C145" s="38">
        <v>92100</v>
      </c>
      <c r="D145">
        <f t="shared" ca="1" si="11"/>
        <v>0</v>
      </c>
      <c r="E145" t="str">
        <f ca="1">IF(D145=0,"",COUNTIF($D$2:D145,"&gt;0"))</f>
        <v/>
      </c>
      <c r="F145" s="24" t="str">
        <f t="shared" ca="1" si="12"/>
        <v/>
      </c>
    </row>
    <row r="146" spans="1:6">
      <c r="A146" s="37" t="s">
        <v>184</v>
      </c>
      <c r="B146" s="25" t="s">
        <v>22</v>
      </c>
      <c r="C146" s="38">
        <v>106700</v>
      </c>
      <c r="D146">
        <f t="shared" ca="1" si="11"/>
        <v>0</v>
      </c>
      <c r="E146" t="str">
        <f ca="1">IF(D146=0,"",COUNTIF($D$2:D146,"&gt;0"))</f>
        <v/>
      </c>
      <c r="F146" s="24" t="str">
        <f t="shared" ca="1" si="12"/>
        <v/>
      </c>
    </row>
    <row r="147" spans="1:6">
      <c r="A147" s="37" t="s">
        <v>31</v>
      </c>
      <c r="B147" s="25" t="s">
        <v>22</v>
      </c>
      <c r="C147" s="38">
        <v>9000</v>
      </c>
      <c r="D147">
        <f t="shared" ca="1" si="11"/>
        <v>0</v>
      </c>
      <c r="E147" t="str">
        <f ca="1">IF(D147=0,"",COUNTIF($D$2:D147,"&gt;0"))</f>
        <v/>
      </c>
      <c r="F147" s="24" t="str">
        <f t="shared" ca="1" si="12"/>
        <v/>
      </c>
    </row>
    <row r="148" spans="1:6">
      <c r="A148" s="37" t="s">
        <v>185</v>
      </c>
      <c r="B148" s="25" t="s">
        <v>22</v>
      </c>
      <c r="C148" s="38">
        <v>7000</v>
      </c>
      <c r="D148">
        <f t="shared" ca="1" si="11"/>
        <v>0</v>
      </c>
      <c r="E148" t="str">
        <f ca="1">IF(D148=0,"",COUNTIF($D$2:D148,"&gt;0"))</f>
        <v/>
      </c>
      <c r="F148" s="24" t="str">
        <f t="shared" ca="1" si="12"/>
        <v/>
      </c>
    </row>
    <row r="149" spans="1:6">
      <c r="A149" s="37" t="s">
        <v>186</v>
      </c>
      <c r="B149" s="25" t="s">
        <v>22</v>
      </c>
      <c r="C149" s="38">
        <v>7000</v>
      </c>
      <c r="D149">
        <f t="shared" ca="1" si="11"/>
        <v>0</v>
      </c>
      <c r="E149" t="str">
        <f ca="1">IF(D149=0,"",COUNTIF($D$2:D149,"&gt;0"))</f>
        <v/>
      </c>
      <c r="F149" s="24" t="str">
        <f t="shared" ca="1" si="12"/>
        <v/>
      </c>
    </row>
    <row r="150" spans="1:6">
      <c r="A150" s="39" t="s">
        <v>187</v>
      </c>
      <c r="B150" s="25"/>
      <c r="C150" s="40"/>
      <c r="D150">
        <f t="shared" ca="1" si="11"/>
        <v>0</v>
      </c>
      <c r="E150" t="str">
        <f ca="1">IF(D150=0,"",COUNTIF($D$2:D150,"&gt;0"))</f>
        <v/>
      </c>
      <c r="F150" s="24" t="str">
        <f t="shared" ca="1" si="12"/>
        <v/>
      </c>
    </row>
    <row r="151" spans="1:6">
      <c r="A151" s="39" t="s">
        <v>188</v>
      </c>
      <c r="B151" s="25"/>
      <c r="C151" s="40"/>
      <c r="D151">
        <f t="shared" ca="1" si="11"/>
        <v>0</v>
      </c>
      <c r="E151" t="str">
        <f ca="1">IF(D151=0,"",COUNTIF($D$2:D151,"&gt;0"))</f>
        <v/>
      </c>
      <c r="F151" s="24" t="str">
        <f t="shared" ca="1" si="12"/>
        <v/>
      </c>
    </row>
    <row r="152" spans="1:6">
      <c r="A152" s="41" t="s">
        <v>189</v>
      </c>
      <c r="B152" s="25" t="s">
        <v>190</v>
      </c>
      <c r="C152" s="40">
        <v>9000</v>
      </c>
      <c r="D152">
        <f t="shared" ca="1" si="11"/>
        <v>0</v>
      </c>
      <c r="E152" t="str">
        <f ca="1">IF(D152=0,"",COUNTIF($D$2:D152,"&gt;0"))</f>
        <v/>
      </c>
      <c r="F152" s="24" t="str">
        <f t="shared" ca="1" si="12"/>
        <v/>
      </c>
    </row>
    <row r="153" spans="1:6">
      <c r="A153" s="41" t="s">
        <v>191</v>
      </c>
      <c r="B153" s="25" t="s">
        <v>190</v>
      </c>
      <c r="C153" s="40">
        <v>22000</v>
      </c>
      <c r="D153">
        <f t="shared" ca="1" si="11"/>
        <v>0</v>
      </c>
      <c r="E153" t="str">
        <f ca="1">IF(D153=0,"",COUNTIF($D$2:D153,"&gt;0"))</f>
        <v/>
      </c>
      <c r="F153" s="24" t="str">
        <f t="shared" ca="1" si="12"/>
        <v/>
      </c>
    </row>
    <row r="154" spans="1:6">
      <c r="A154" s="41" t="s">
        <v>192</v>
      </c>
      <c r="B154" s="25" t="s">
        <v>190</v>
      </c>
      <c r="C154" s="40">
        <v>56000</v>
      </c>
      <c r="D154">
        <f t="shared" ca="1" si="11"/>
        <v>0</v>
      </c>
      <c r="E154" t="str">
        <f ca="1">IF(D154=0,"",COUNTIF($D$2:D154,"&gt;0"))</f>
        <v/>
      </c>
      <c r="F154" s="24" t="str">
        <f t="shared" ca="1" si="12"/>
        <v/>
      </c>
    </row>
    <row r="155" spans="1:6">
      <c r="A155" s="39" t="s">
        <v>193</v>
      </c>
      <c r="B155" s="25"/>
      <c r="C155" s="40"/>
      <c r="D155">
        <f t="shared" ca="1" si="11"/>
        <v>0</v>
      </c>
      <c r="E155" t="str">
        <f ca="1">IF(D155=0,"",COUNTIF($D$2:D155,"&gt;0"))</f>
        <v/>
      </c>
      <c r="F155" s="24" t="str">
        <f t="shared" ca="1" si="12"/>
        <v/>
      </c>
    </row>
    <row r="156" spans="1:6">
      <c r="A156" s="41" t="s">
        <v>194</v>
      </c>
      <c r="B156" s="25" t="s">
        <v>190</v>
      </c>
      <c r="C156" s="40">
        <v>25000</v>
      </c>
      <c r="D156">
        <f t="shared" ca="1" si="11"/>
        <v>0</v>
      </c>
      <c r="E156" t="str">
        <f ca="1">IF(D156=0,"",COUNTIF($D$2:D156,"&gt;0"))</f>
        <v/>
      </c>
      <c r="F156" s="24" t="str">
        <f t="shared" ca="1" si="12"/>
        <v/>
      </c>
    </row>
    <row r="157" spans="1:6">
      <c r="A157" s="41" t="s">
        <v>195</v>
      </c>
      <c r="B157" s="25" t="s">
        <v>190</v>
      </c>
      <c r="C157" s="40">
        <v>149000</v>
      </c>
      <c r="D157">
        <f t="shared" ca="1" si="11"/>
        <v>0</v>
      </c>
      <c r="E157" t="str">
        <f ca="1">IF(D157=0,"",COUNTIF($D$2:D157,"&gt;0"))</f>
        <v/>
      </c>
      <c r="F157" s="24" t="str">
        <f t="shared" ca="1" si="12"/>
        <v/>
      </c>
    </row>
    <row r="158" spans="1:6">
      <c r="A158" s="41" t="s">
        <v>196</v>
      </c>
      <c r="B158" s="25" t="s">
        <v>190</v>
      </c>
      <c r="C158" s="40">
        <v>373000</v>
      </c>
      <c r="D158">
        <f t="shared" ca="1" si="11"/>
        <v>0</v>
      </c>
      <c r="E158" t="str">
        <f ca="1">IF(D158=0,"",COUNTIF($D$2:D1109,"&gt;0"))</f>
        <v/>
      </c>
      <c r="F158" s="24" t="str">
        <f t="shared" ca="1" si="12"/>
        <v/>
      </c>
    </row>
    <row r="159" spans="1:6">
      <c r="A159" s="39" t="s">
        <v>197</v>
      </c>
      <c r="B159" s="25"/>
      <c r="C159" s="40"/>
      <c r="D159">
        <f t="shared" ca="1" si="10"/>
        <v>0</v>
      </c>
      <c r="E159" t="str">
        <f ca="1">IF(D159=0,"",COUNTIF($D$2:D159,"&gt;0"))</f>
        <v/>
      </c>
      <c r="F159" s="24" t="str">
        <f ca="1">IFERROR(INDEX(A:A,MATCH(ROW(D142),E:E,0)),"")</f>
        <v/>
      </c>
    </row>
    <row r="160" spans="1:6">
      <c r="A160" s="42" t="s">
        <v>830</v>
      </c>
      <c r="B160" s="25" t="s">
        <v>190</v>
      </c>
      <c r="C160" s="40">
        <v>25000</v>
      </c>
      <c r="D160">
        <f t="shared" ca="1" si="10"/>
        <v>0</v>
      </c>
      <c r="E160" t="str">
        <f ca="1">IF(D160=0,"",COUNTIF($D$2:D160,"&gt;0"))</f>
        <v/>
      </c>
      <c r="F160" s="24" t="str">
        <f t="shared" ref="F160:F200" ca="1" si="13">IFERROR(INDEX(A:A,MATCH(ROW(D159),E:E,0)),"")</f>
        <v/>
      </c>
    </row>
    <row r="161" spans="1:6">
      <c r="A161" s="41" t="s">
        <v>198</v>
      </c>
      <c r="B161" s="25" t="s">
        <v>190</v>
      </c>
      <c r="C161" s="40">
        <v>75000</v>
      </c>
      <c r="D161">
        <f t="shared" ca="1" si="10"/>
        <v>0</v>
      </c>
      <c r="E161" t="str">
        <f ca="1">IF(D161=0,"",COUNTIF($D$2:D161,"&gt;0"))</f>
        <v/>
      </c>
      <c r="F161" s="24" t="str">
        <f t="shared" ca="1" si="13"/>
        <v/>
      </c>
    </row>
    <row r="162" spans="1:6">
      <c r="A162" s="41" t="s">
        <v>199</v>
      </c>
      <c r="B162" s="25" t="s">
        <v>190</v>
      </c>
      <c r="C162" s="40">
        <v>249000</v>
      </c>
      <c r="D162">
        <f t="shared" ca="1" si="10"/>
        <v>0</v>
      </c>
      <c r="E162" t="str">
        <f ca="1">IF(D162=0,"",COUNTIF($D$2:D162,"&gt;0"))</f>
        <v/>
      </c>
      <c r="F162" s="24" t="str">
        <f t="shared" ca="1" si="13"/>
        <v/>
      </c>
    </row>
    <row r="163" spans="1:6">
      <c r="A163" s="41" t="s">
        <v>200</v>
      </c>
      <c r="B163" s="25" t="s">
        <v>190</v>
      </c>
      <c r="C163" s="40">
        <v>560000</v>
      </c>
      <c r="D163">
        <f t="shared" ca="1" si="10"/>
        <v>0</v>
      </c>
      <c r="E163" t="str">
        <f ca="1">IF(D163=0,"",COUNTIF($D$2:D163,"&gt;0"))</f>
        <v/>
      </c>
      <c r="F163" s="24" t="str">
        <f t="shared" ca="1" si="13"/>
        <v/>
      </c>
    </row>
    <row r="164" spans="1:6">
      <c r="A164" s="41" t="s">
        <v>201</v>
      </c>
      <c r="B164" s="25" t="s">
        <v>190</v>
      </c>
      <c r="C164" s="40">
        <v>1120000</v>
      </c>
      <c r="D164">
        <f t="shared" ca="1" si="10"/>
        <v>0</v>
      </c>
      <c r="E164" t="str">
        <f ca="1">IF(D164=0,"",COUNTIF($D$2:D164,"&gt;0"))</f>
        <v/>
      </c>
      <c r="F164" s="24" t="str">
        <f t="shared" ca="1" si="13"/>
        <v/>
      </c>
    </row>
    <row r="165" spans="1:6">
      <c r="A165" s="39" t="s">
        <v>202</v>
      </c>
      <c r="B165" s="25"/>
      <c r="C165" s="40"/>
      <c r="D165">
        <f t="shared" ca="1" si="10"/>
        <v>0</v>
      </c>
      <c r="E165" t="str">
        <f ca="1">IF(D165=0,"",COUNTIF($D$2:D165,"&gt;0"))</f>
        <v/>
      </c>
      <c r="F165" s="24" t="str">
        <f t="shared" ca="1" si="13"/>
        <v/>
      </c>
    </row>
    <row r="166" spans="1:6">
      <c r="A166" s="41" t="s">
        <v>203</v>
      </c>
      <c r="B166" s="25" t="s">
        <v>190</v>
      </c>
      <c r="C166" s="40">
        <v>150000</v>
      </c>
      <c r="D166">
        <f t="shared" ca="1" si="10"/>
        <v>0</v>
      </c>
      <c r="E166" t="str">
        <f ca="1">IF(D166=0,"",COUNTIF($D$2:D166,"&gt;0"))</f>
        <v/>
      </c>
      <c r="F166" s="24" t="str">
        <f t="shared" ca="1" si="13"/>
        <v/>
      </c>
    </row>
    <row r="167" spans="1:6">
      <c r="A167" s="42" t="s">
        <v>1730</v>
      </c>
      <c r="B167" s="25" t="s">
        <v>190</v>
      </c>
      <c r="C167" s="40">
        <v>300000</v>
      </c>
      <c r="D167">
        <f t="shared" ca="1" si="10"/>
        <v>0</v>
      </c>
      <c r="E167" t="str">
        <f ca="1">IF(D167=0,"",COUNTIF($D$2:D167,"&gt;0"))</f>
        <v/>
      </c>
      <c r="F167" s="24" t="str">
        <f t="shared" ca="1" si="13"/>
        <v/>
      </c>
    </row>
    <row r="168" spans="1:6">
      <c r="A168" s="42" t="s">
        <v>1731</v>
      </c>
      <c r="B168" s="25" t="s">
        <v>190</v>
      </c>
      <c r="C168" s="40">
        <v>580000</v>
      </c>
      <c r="D168">
        <f t="shared" ca="1" si="10"/>
        <v>0</v>
      </c>
      <c r="E168" t="str">
        <f ca="1">IF(D168=0,"",COUNTIF($D$2:D168,"&gt;0"))</f>
        <v/>
      </c>
      <c r="F168" s="24" t="str">
        <f t="shared" ca="1" si="13"/>
        <v/>
      </c>
    </row>
    <row r="169" spans="1:6">
      <c r="A169" s="42" t="s">
        <v>1736</v>
      </c>
      <c r="B169" s="25" t="s">
        <v>190</v>
      </c>
      <c r="C169" s="40">
        <v>760000</v>
      </c>
      <c r="D169">
        <f t="shared" ca="1" si="10"/>
        <v>0</v>
      </c>
      <c r="E169" t="str">
        <f ca="1">IF(D169=0,"",COUNTIF($D$2:D169,"&gt;0"))</f>
        <v/>
      </c>
      <c r="F169" s="24" t="str">
        <f t="shared" ca="1" si="13"/>
        <v/>
      </c>
    </row>
    <row r="170" spans="1:6">
      <c r="A170" s="42" t="s">
        <v>1735</v>
      </c>
      <c r="B170" s="25" t="s">
        <v>190</v>
      </c>
      <c r="C170" s="40">
        <v>810000</v>
      </c>
      <c r="D170">
        <f t="shared" ca="1" si="10"/>
        <v>0</v>
      </c>
      <c r="E170" t="str">
        <f ca="1">IF(D170=0,"",COUNTIF($D$2:D170,"&gt;0"))</f>
        <v/>
      </c>
      <c r="F170" s="24" t="str">
        <f t="shared" ca="1" si="13"/>
        <v/>
      </c>
    </row>
    <row r="171" spans="1:6">
      <c r="A171" s="42" t="s">
        <v>1734</v>
      </c>
      <c r="B171" s="25" t="s">
        <v>190</v>
      </c>
      <c r="C171" s="40">
        <v>850000</v>
      </c>
      <c r="D171">
        <f t="shared" ca="1" si="10"/>
        <v>0</v>
      </c>
      <c r="E171" t="str">
        <f ca="1">IF(D171=0,"",COUNTIF($D$2:D171,"&gt;0"))</f>
        <v/>
      </c>
      <c r="F171" s="24" t="str">
        <f t="shared" ca="1" si="13"/>
        <v/>
      </c>
    </row>
    <row r="172" spans="1:6">
      <c r="A172" s="42" t="s">
        <v>1733</v>
      </c>
      <c r="B172" s="25" t="s">
        <v>190</v>
      </c>
      <c r="C172" s="40">
        <v>900000</v>
      </c>
      <c r="D172">
        <f t="shared" ca="1" si="10"/>
        <v>0</v>
      </c>
      <c r="E172" t="str">
        <f ca="1">IF(D172=0,"",COUNTIF($D$2:D172,"&gt;0"))</f>
        <v/>
      </c>
      <c r="F172" s="24" t="str">
        <f t="shared" ca="1" si="13"/>
        <v/>
      </c>
    </row>
    <row r="173" spans="1:6">
      <c r="A173" s="42" t="s">
        <v>1732</v>
      </c>
      <c r="B173" s="25" t="s">
        <v>190</v>
      </c>
      <c r="C173" s="40">
        <v>950000</v>
      </c>
      <c r="D173">
        <f t="shared" ca="1" si="10"/>
        <v>0</v>
      </c>
      <c r="E173" t="str">
        <f ca="1">IF(D173=0,"",COUNTIF($D$2:D173,"&gt;0"))</f>
        <v/>
      </c>
      <c r="F173" s="24" t="str">
        <f t="shared" ca="1" si="13"/>
        <v/>
      </c>
    </row>
    <row r="174" spans="1:6">
      <c r="A174" s="39" t="s">
        <v>204</v>
      </c>
      <c r="B174" s="25"/>
      <c r="C174" s="40">
        <v>0</v>
      </c>
      <c r="D174">
        <f t="shared" ca="1" si="10"/>
        <v>0</v>
      </c>
      <c r="E174" t="str">
        <f ca="1">IF(D174=0,"",COUNTIF($D$2:D174,"&gt;0"))</f>
        <v/>
      </c>
      <c r="F174" s="24" t="str">
        <f t="shared" ca="1" si="13"/>
        <v/>
      </c>
    </row>
    <row r="175" spans="1:6">
      <c r="A175" s="41" t="s">
        <v>205</v>
      </c>
      <c r="B175" s="25" t="s">
        <v>190</v>
      </c>
      <c r="C175" s="40">
        <v>15000</v>
      </c>
      <c r="D175">
        <f t="shared" ca="1" si="10"/>
        <v>0</v>
      </c>
      <c r="E175" t="str">
        <f ca="1">IF(D175=0,"",COUNTIF($D$2:D175,"&gt;0"))</f>
        <v/>
      </c>
      <c r="F175" s="24" t="str">
        <f t="shared" ca="1" si="13"/>
        <v/>
      </c>
    </row>
    <row r="176" spans="1:6">
      <c r="A176" s="42" t="s">
        <v>206</v>
      </c>
      <c r="B176" s="25" t="s">
        <v>190</v>
      </c>
      <c r="C176" s="40">
        <v>50000</v>
      </c>
      <c r="D176">
        <f t="shared" ca="1" si="10"/>
        <v>0</v>
      </c>
      <c r="E176" t="str">
        <f ca="1">IF(D176=0,"",COUNTIF($D$2:D176,"&gt;0"))</f>
        <v/>
      </c>
      <c r="F176" s="24" t="str">
        <f t="shared" ca="1" si="13"/>
        <v/>
      </c>
    </row>
    <row r="177" spans="1:6">
      <c r="A177" s="42" t="s">
        <v>207</v>
      </c>
      <c r="B177" s="25" t="s">
        <v>190</v>
      </c>
      <c r="C177" s="40">
        <v>100000</v>
      </c>
      <c r="D177">
        <f t="shared" ca="1" si="10"/>
        <v>0</v>
      </c>
      <c r="E177" t="str">
        <f ca="1">IF(D177=0,"",COUNTIF($D$2:D177,"&gt;0"))</f>
        <v/>
      </c>
      <c r="F177" s="24" t="str">
        <f t="shared" ca="1" si="13"/>
        <v/>
      </c>
    </row>
    <row r="178" spans="1:6">
      <c r="A178" s="42" t="s">
        <v>208</v>
      </c>
      <c r="B178" s="25" t="s">
        <v>190</v>
      </c>
      <c r="C178" s="40">
        <v>150000</v>
      </c>
      <c r="D178">
        <f t="shared" ca="1" si="10"/>
        <v>0</v>
      </c>
      <c r="E178" t="str">
        <f ca="1">IF(D178=0,"",COUNTIF($D$2:D178,"&gt;0"))</f>
        <v/>
      </c>
      <c r="F178" s="24" t="str">
        <f t="shared" ca="1" si="13"/>
        <v/>
      </c>
    </row>
    <row r="179" spans="1:6">
      <c r="A179" s="42" t="s">
        <v>209</v>
      </c>
      <c r="B179" s="25" t="s">
        <v>190</v>
      </c>
      <c r="C179" s="40">
        <v>200000</v>
      </c>
      <c r="D179">
        <f t="shared" ca="1" si="10"/>
        <v>0</v>
      </c>
      <c r="E179" t="str">
        <f ca="1">IF(D179=0,"",COUNTIF($D$2:D179,"&gt;0"))</f>
        <v/>
      </c>
      <c r="F179" s="24" t="str">
        <f t="shared" ca="1" si="13"/>
        <v/>
      </c>
    </row>
    <row r="180" spans="1:6">
      <c r="A180" s="42" t="s">
        <v>210</v>
      </c>
      <c r="B180" s="25" t="s">
        <v>190</v>
      </c>
      <c r="C180" s="40">
        <v>250000</v>
      </c>
      <c r="D180">
        <f t="shared" ca="1" si="10"/>
        <v>0</v>
      </c>
      <c r="E180" t="str">
        <f ca="1">IF(D180=0,"",COUNTIF($D$2:D180,"&gt;0"))</f>
        <v/>
      </c>
      <c r="F180" s="24" t="str">
        <f t="shared" ca="1" si="13"/>
        <v/>
      </c>
    </row>
    <row r="181" spans="1:6">
      <c r="A181" s="42" t="s">
        <v>211</v>
      </c>
      <c r="B181" s="25" t="s">
        <v>190</v>
      </c>
      <c r="C181" s="40">
        <v>300000</v>
      </c>
      <c r="D181">
        <f t="shared" ca="1" si="10"/>
        <v>0</v>
      </c>
      <c r="E181" t="str">
        <f ca="1">IF(D181=0,"",COUNTIF($D$2:D181,"&gt;0"))</f>
        <v/>
      </c>
      <c r="F181" s="24" t="str">
        <f t="shared" ca="1" si="13"/>
        <v/>
      </c>
    </row>
    <row r="182" spans="1:6">
      <c r="A182" s="42" t="s">
        <v>212</v>
      </c>
      <c r="B182" s="25" t="s">
        <v>190</v>
      </c>
      <c r="C182" s="40">
        <v>350000</v>
      </c>
      <c r="D182">
        <f t="shared" ca="1" si="10"/>
        <v>0</v>
      </c>
      <c r="E182" t="str">
        <f ca="1">IF(D182=0,"",COUNTIF($D$2:D182,"&gt;0"))</f>
        <v/>
      </c>
      <c r="F182" s="24" t="str">
        <f t="shared" ca="1" si="13"/>
        <v/>
      </c>
    </row>
    <row r="183" spans="1:6">
      <c r="A183" s="42" t="s">
        <v>213</v>
      </c>
      <c r="B183" s="25" t="s">
        <v>190</v>
      </c>
      <c r="C183" s="40">
        <v>450000</v>
      </c>
      <c r="D183">
        <f t="shared" ca="1" si="10"/>
        <v>0</v>
      </c>
      <c r="E183" t="str">
        <f ca="1">IF(D183=0,"",COUNTIF($D$2:D183,"&gt;0"))</f>
        <v/>
      </c>
      <c r="F183" s="24" t="str">
        <f t="shared" ca="1" si="13"/>
        <v/>
      </c>
    </row>
    <row r="184" spans="1:6">
      <c r="A184" s="42" t="s">
        <v>214</v>
      </c>
      <c r="B184" s="25" t="s">
        <v>190</v>
      </c>
      <c r="C184" s="40">
        <v>600000</v>
      </c>
      <c r="D184">
        <f t="shared" ca="1" si="10"/>
        <v>0</v>
      </c>
      <c r="E184" t="str">
        <f ca="1">IF(D184=0,"",COUNTIF($D$2:D184,"&gt;0"))</f>
        <v/>
      </c>
      <c r="F184" s="24" t="str">
        <f t="shared" ca="1" si="13"/>
        <v/>
      </c>
    </row>
    <row r="185" spans="1:6">
      <c r="A185" s="39" t="s">
        <v>215</v>
      </c>
      <c r="B185" s="25"/>
      <c r="C185" s="40">
        <v>0</v>
      </c>
      <c r="D185">
        <f t="shared" ca="1" si="10"/>
        <v>0</v>
      </c>
      <c r="E185" t="str">
        <f ca="1">IF(D185=0,"",COUNTIF($D$2:D185,"&gt;0"))</f>
        <v/>
      </c>
      <c r="F185" s="24" t="str">
        <f t="shared" ca="1" si="13"/>
        <v/>
      </c>
    </row>
    <row r="186" spans="1:6">
      <c r="A186" s="41" t="s">
        <v>216</v>
      </c>
      <c r="B186" s="25" t="s">
        <v>190</v>
      </c>
      <c r="C186" s="40">
        <v>9000</v>
      </c>
      <c r="D186">
        <f t="shared" ca="1" si="10"/>
        <v>0</v>
      </c>
      <c r="E186" t="str">
        <f ca="1">IF(D186=0,"",COUNTIF($D$2:D186,"&gt;0"))</f>
        <v/>
      </c>
      <c r="F186" s="24" t="str">
        <f t="shared" ca="1" si="13"/>
        <v/>
      </c>
    </row>
    <row r="187" spans="1:6">
      <c r="A187" s="41" t="s">
        <v>217</v>
      </c>
      <c r="B187" s="25" t="s">
        <v>190</v>
      </c>
      <c r="C187" s="40">
        <v>25000</v>
      </c>
      <c r="D187">
        <f t="shared" ca="1" si="10"/>
        <v>0</v>
      </c>
      <c r="E187" t="str">
        <f ca="1">IF(D187=0,"",COUNTIF($D$2:D187,"&gt;0"))</f>
        <v/>
      </c>
      <c r="F187" s="24" t="str">
        <f t="shared" ca="1" si="13"/>
        <v/>
      </c>
    </row>
    <row r="188" spans="1:6">
      <c r="A188" s="41" t="s">
        <v>218</v>
      </c>
      <c r="B188" s="25" t="s">
        <v>190</v>
      </c>
      <c r="C188" s="40">
        <v>45000</v>
      </c>
      <c r="D188">
        <f t="shared" ca="1" si="10"/>
        <v>0</v>
      </c>
      <c r="E188" t="str">
        <f ca="1">IF(D188=0,"",COUNTIF($D$2:D188,"&gt;0"))</f>
        <v/>
      </c>
      <c r="F188" s="24" t="str">
        <f t="shared" ca="1" si="13"/>
        <v/>
      </c>
    </row>
    <row r="189" spans="1:6">
      <c r="A189" s="41" t="s">
        <v>219</v>
      </c>
      <c r="B189" s="25" t="s">
        <v>190</v>
      </c>
      <c r="C189" s="40">
        <v>75000</v>
      </c>
      <c r="D189">
        <f t="shared" ca="1" si="10"/>
        <v>0</v>
      </c>
      <c r="E189" t="str">
        <f ca="1">IF(D189=0,"",COUNTIF($D$2:D189,"&gt;0"))</f>
        <v/>
      </c>
      <c r="F189" s="24" t="str">
        <f t="shared" ca="1" si="13"/>
        <v/>
      </c>
    </row>
    <row r="190" spans="1:6">
      <c r="A190" s="41" t="s">
        <v>220</v>
      </c>
      <c r="B190" s="25" t="s">
        <v>190</v>
      </c>
      <c r="C190" s="40">
        <v>100000</v>
      </c>
      <c r="D190">
        <f t="shared" ca="1" si="10"/>
        <v>0</v>
      </c>
      <c r="E190" t="str">
        <f ca="1">IF(D190=0,"",COUNTIF($D$2:D190,"&gt;0"))</f>
        <v/>
      </c>
      <c r="F190" s="24" t="str">
        <f t="shared" ca="1" si="13"/>
        <v/>
      </c>
    </row>
    <row r="191" spans="1:6">
      <c r="A191" s="41" t="s">
        <v>221</v>
      </c>
      <c r="B191" s="25" t="s">
        <v>190</v>
      </c>
      <c r="C191" s="40">
        <v>150000</v>
      </c>
      <c r="D191">
        <f t="shared" ca="1" si="10"/>
        <v>0</v>
      </c>
      <c r="E191" t="str">
        <f ca="1">IF(D191=0,"",COUNTIF($D$2:D191,"&gt;0"))</f>
        <v/>
      </c>
      <c r="F191" s="24" t="str">
        <f t="shared" ca="1" si="13"/>
        <v/>
      </c>
    </row>
    <row r="192" spans="1:6">
      <c r="A192" s="41" t="s">
        <v>222</v>
      </c>
      <c r="B192" s="25" t="s">
        <v>190</v>
      </c>
      <c r="C192" s="40">
        <v>200000</v>
      </c>
      <c r="D192">
        <f t="shared" ca="1" si="10"/>
        <v>0</v>
      </c>
      <c r="E192" t="str">
        <f ca="1">IF(D192=0,"",COUNTIF($D$2:D192,"&gt;0"))</f>
        <v/>
      </c>
      <c r="F192" s="24" t="str">
        <f t="shared" ca="1" si="13"/>
        <v/>
      </c>
    </row>
    <row r="193" spans="1:6">
      <c r="A193" s="41" t="s">
        <v>223</v>
      </c>
      <c r="B193" s="25" t="s">
        <v>190</v>
      </c>
      <c r="C193" s="40">
        <v>250000</v>
      </c>
      <c r="D193">
        <f t="shared" ca="1" si="10"/>
        <v>0</v>
      </c>
      <c r="E193" t="str">
        <f ca="1">IF(D193=0,"",COUNTIF($D$2:D193,"&gt;0"))</f>
        <v/>
      </c>
      <c r="F193" s="24" t="str">
        <f t="shared" ca="1" si="13"/>
        <v/>
      </c>
    </row>
    <row r="194" spans="1:6">
      <c r="A194" s="41" t="s">
        <v>224</v>
      </c>
      <c r="B194" s="25" t="s">
        <v>190</v>
      </c>
      <c r="C194" s="40">
        <v>300000</v>
      </c>
      <c r="D194">
        <f t="shared" ca="1" si="10"/>
        <v>0</v>
      </c>
      <c r="E194" t="str">
        <f ca="1">IF(D194=0,"",COUNTIF($D$2:D194,"&gt;0"))</f>
        <v/>
      </c>
      <c r="F194" s="24" t="str">
        <f t="shared" ca="1" si="13"/>
        <v/>
      </c>
    </row>
    <row r="195" spans="1:6">
      <c r="A195" s="41" t="s">
        <v>225</v>
      </c>
      <c r="B195" s="25" t="s">
        <v>190</v>
      </c>
      <c r="C195" s="40">
        <v>400000</v>
      </c>
      <c r="D195">
        <f t="shared" ca="1" si="10"/>
        <v>0</v>
      </c>
      <c r="E195" t="str">
        <f ca="1">IF(D195=0,"",COUNTIF($D$2:D195,"&gt;0"))</f>
        <v/>
      </c>
      <c r="F195" s="24" t="str">
        <f t="shared" ca="1" si="13"/>
        <v/>
      </c>
    </row>
    <row r="196" spans="1:6">
      <c r="A196" s="39" t="s">
        <v>226</v>
      </c>
      <c r="B196" s="25"/>
      <c r="C196" s="40">
        <v>0</v>
      </c>
      <c r="D196">
        <f t="shared" ca="1" si="10"/>
        <v>0</v>
      </c>
      <c r="E196" t="str">
        <f ca="1">IF(D196=0,"",COUNTIF($D$2:D196,"&gt;0"))</f>
        <v/>
      </c>
      <c r="F196" s="24" t="str">
        <f t="shared" ca="1" si="13"/>
        <v/>
      </c>
    </row>
    <row r="197" spans="1:6">
      <c r="A197" s="41" t="s">
        <v>227</v>
      </c>
      <c r="B197" s="25" t="s">
        <v>190</v>
      </c>
      <c r="C197" s="40">
        <v>15000</v>
      </c>
      <c r="D197">
        <f t="shared" ca="1" si="10"/>
        <v>0</v>
      </c>
      <c r="E197" t="str">
        <f ca="1">IF(D197=0,"",COUNTIF($D$2:D197,"&gt;0"))</f>
        <v/>
      </c>
      <c r="F197" s="24" t="str">
        <f t="shared" ca="1" si="13"/>
        <v/>
      </c>
    </row>
    <row r="198" spans="1:6">
      <c r="A198" s="41" t="s">
        <v>228</v>
      </c>
      <c r="B198" s="25" t="s">
        <v>190</v>
      </c>
      <c r="C198" s="40">
        <v>60000</v>
      </c>
      <c r="D198">
        <f t="shared" ca="1" si="10"/>
        <v>0</v>
      </c>
      <c r="E198" t="str">
        <f ca="1">IF(D198=0,"",COUNTIF($D$2:D198,"&gt;0"))</f>
        <v/>
      </c>
      <c r="F198" s="24" t="str">
        <f t="shared" ca="1" si="13"/>
        <v/>
      </c>
    </row>
    <row r="199" spans="1:6">
      <c r="A199" s="41" t="s">
        <v>229</v>
      </c>
      <c r="B199" s="25" t="s">
        <v>190</v>
      </c>
      <c r="C199" s="40">
        <v>120000</v>
      </c>
      <c r="D199">
        <f t="shared" ca="1" si="10"/>
        <v>0</v>
      </c>
      <c r="E199" t="str">
        <f ca="1">IF(D199=0,"",COUNTIF($D$2:D199,"&gt;0"))</f>
        <v/>
      </c>
      <c r="F199" s="24" t="str">
        <f t="shared" ca="1" si="13"/>
        <v/>
      </c>
    </row>
    <row r="200" spans="1:6">
      <c r="A200" s="41" t="s">
        <v>230</v>
      </c>
      <c r="B200" s="25" t="s">
        <v>190</v>
      </c>
      <c r="C200" s="40">
        <v>250000</v>
      </c>
      <c r="D200">
        <f t="shared" ca="1" si="10"/>
        <v>0</v>
      </c>
      <c r="E200" t="str">
        <f ca="1">IF(D200=0,"",COUNTIF($D$2:D200,"&gt;0"))</f>
        <v/>
      </c>
      <c r="F200" s="24" t="str">
        <f t="shared" ca="1" si="13"/>
        <v/>
      </c>
    </row>
    <row r="201" spans="1:6">
      <c r="A201" s="41" t="s">
        <v>231</v>
      </c>
      <c r="B201" s="25" t="s">
        <v>190</v>
      </c>
      <c r="C201" s="40">
        <v>340000</v>
      </c>
      <c r="D201">
        <f t="shared" ref="D201:D232" ca="1" si="14">IFERROR(SEARCH(INDIRECT(CELL("address")),A201),0)</f>
        <v>0</v>
      </c>
      <c r="E201" t="str">
        <f ca="1">IF(D201=0,"",COUNTIF($D$2:D201,"&gt;0"))</f>
        <v/>
      </c>
      <c r="F201" s="24" t="str">
        <f ca="1">IFERROR(INDEX(A:A,MATCH(ROW(D158),E:E,0)),"")</f>
        <v/>
      </c>
    </row>
    <row r="202" spans="1:6">
      <c r="A202" s="41" t="s">
        <v>232</v>
      </c>
      <c r="B202" s="25" t="s">
        <v>190</v>
      </c>
      <c r="C202" s="40">
        <v>780000</v>
      </c>
      <c r="D202">
        <f t="shared" ca="1" si="14"/>
        <v>0</v>
      </c>
      <c r="E202" t="str">
        <f ca="1">IF(D202=0,"",COUNTIF($D$2:D202,"&gt;0"))</f>
        <v/>
      </c>
      <c r="F202" s="24" t="str">
        <f t="shared" ref="F202:F236" ca="1" si="15">IFERROR(INDEX(A:A,MATCH(ROW(D201),E:E,0)),"")</f>
        <v/>
      </c>
    </row>
    <row r="203" spans="1:6">
      <c r="A203" s="41" t="s">
        <v>233</v>
      </c>
      <c r="B203" s="25" t="s">
        <v>190</v>
      </c>
      <c r="C203" s="40">
        <v>1200000</v>
      </c>
      <c r="D203">
        <f t="shared" ca="1" si="14"/>
        <v>0</v>
      </c>
      <c r="E203" t="str">
        <f ca="1">IF(D203=0,"",COUNTIF($D$2:D203,"&gt;0"))</f>
        <v/>
      </c>
      <c r="F203" s="24" t="str">
        <f t="shared" ca="1" si="15"/>
        <v/>
      </c>
    </row>
    <row r="204" spans="1:6">
      <c r="A204" s="39" t="s">
        <v>234</v>
      </c>
      <c r="B204" s="25"/>
      <c r="C204" s="40">
        <v>0</v>
      </c>
      <c r="D204">
        <f t="shared" ca="1" si="14"/>
        <v>0</v>
      </c>
      <c r="E204" t="str">
        <f ca="1">IF(D204=0,"",COUNTIF($D$2:D204,"&gt;0"))</f>
        <v/>
      </c>
      <c r="F204" s="24" t="str">
        <f t="shared" ca="1" si="15"/>
        <v/>
      </c>
    </row>
    <row r="205" spans="1:6">
      <c r="A205" s="41" t="s">
        <v>235</v>
      </c>
      <c r="B205" s="25" t="s">
        <v>190</v>
      </c>
      <c r="C205" s="40">
        <v>8000</v>
      </c>
      <c r="D205">
        <f t="shared" ca="1" si="14"/>
        <v>0</v>
      </c>
      <c r="E205" t="str">
        <f ca="1">IF(D205=0,"",COUNTIF($D$2:D205,"&gt;0"))</f>
        <v/>
      </c>
      <c r="F205" s="24" t="str">
        <f t="shared" ca="1" si="15"/>
        <v/>
      </c>
    </row>
    <row r="206" spans="1:6">
      <c r="A206" s="41" t="s">
        <v>236</v>
      </c>
      <c r="B206" s="25" t="s">
        <v>190</v>
      </c>
      <c r="C206" s="40">
        <v>35000</v>
      </c>
      <c r="D206">
        <f t="shared" ca="1" si="14"/>
        <v>0</v>
      </c>
      <c r="E206" t="str">
        <f ca="1">IF(D206=0,"",COUNTIF($D$2:D206,"&gt;0"))</f>
        <v/>
      </c>
      <c r="F206" s="24" t="str">
        <f t="shared" ca="1" si="15"/>
        <v/>
      </c>
    </row>
    <row r="207" spans="1:6">
      <c r="A207" s="41" t="s">
        <v>237</v>
      </c>
      <c r="B207" s="25" t="s">
        <v>190</v>
      </c>
      <c r="C207" s="40">
        <v>65000</v>
      </c>
      <c r="D207">
        <f t="shared" ca="1" si="14"/>
        <v>0</v>
      </c>
      <c r="E207" t="str">
        <f ca="1">IF(D207=0,"",COUNTIF($D$2:D207,"&gt;0"))</f>
        <v/>
      </c>
      <c r="F207" s="24" t="str">
        <f t="shared" ca="1" si="15"/>
        <v/>
      </c>
    </row>
    <row r="208" spans="1:6">
      <c r="A208" s="41" t="s">
        <v>238</v>
      </c>
      <c r="B208" s="25" t="s">
        <v>190</v>
      </c>
      <c r="C208" s="40">
        <v>150000</v>
      </c>
      <c r="D208">
        <f t="shared" ca="1" si="14"/>
        <v>0</v>
      </c>
      <c r="E208" t="str">
        <f ca="1">IF(D208=0,"",COUNTIF($D$2:D208,"&gt;0"))</f>
        <v/>
      </c>
      <c r="F208" s="24" t="str">
        <f t="shared" ca="1" si="15"/>
        <v/>
      </c>
    </row>
    <row r="209" spans="1:6">
      <c r="A209" s="41" t="s">
        <v>239</v>
      </c>
      <c r="B209" s="25" t="s">
        <v>190</v>
      </c>
      <c r="C209" s="40">
        <v>300000</v>
      </c>
      <c r="D209">
        <f t="shared" ca="1" si="14"/>
        <v>0</v>
      </c>
      <c r="E209" t="str">
        <f ca="1">IF(D209=0,"",COUNTIF($D$2:D209,"&gt;0"))</f>
        <v/>
      </c>
      <c r="F209" s="24" t="str">
        <f t="shared" ca="1" si="15"/>
        <v/>
      </c>
    </row>
    <row r="210" spans="1:6">
      <c r="A210" s="39" t="s">
        <v>240</v>
      </c>
      <c r="B210" s="22"/>
      <c r="C210" s="43">
        <v>0</v>
      </c>
      <c r="D210">
        <f t="shared" ca="1" si="14"/>
        <v>0</v>
      </c>
      <c r="E210" t="str">
        <f ca="1">IF(D210=0,"",COUNTIF($D$2:D210,"&gt;0"))</f>
        <v/>
      </c>
      <c r="F210" s="24" t="str">
        <f t="shared" ca="1" si="15"/>
        <v/>
      </c>
    </row>
    <row r="211" spans="1:6">
      <c r="A211" s="41" t="s">
        <v>241</v>
      </c>
      <c r="B211" s="25" t="s">
        <v>190</v>
      </c>
      <c r="C211" s="40">
        <v>12000</v>
      </c>
      <c r="D211">
        <f t="shared" ca="1" si="14"/>
        <v>0</v>
      </c>
      <c r="E211" t="str">
        <f ca="1">IF(D211=0,"",COUNTIF($D$2:D211,"&gt;0"))</f>
        <v/>
      </c>
      <c r="F211" s="24" t="str">
        <f t="shared" ca="1" si="15"/>
        <v/>
      </c>
    </row>
    <row r="212" spans="1:6">
      <c r="A212" s="41" t="s">
        <v>242</v>
      </c>
      <c r="B212" s="25" t="s">
        <v>190</v>
      </c>
      <c r="C212" s="40">
        <v>40000</v>
      </c>
      <c r="D212">
        <f t="shared" ca="1" si="14"/>
        <v>0</v>
      </c>
      <c r="E212" t="str">
        <f ca="1">IF(D212=0,"",COUNTIF($D$2:D212,"&gt;0"))</f>
        <v/>
      </c>
      <c r="F212" s="24" t="str">
        <f t="shared" ca="1" si="15"/>
        <v/>
      </c>
    </row>
    <row r="213" spans="1:6">
      <c r="A213" s="41" t="s">
        <v>243</v>
      </c>
      <c r="B213" s="25" t="s">
        <v>190</v>
      </c>
      <c r="C213" s="40">
        <v>100000</v>
      </c>
      <c r="D213">
        <f t="shared" ca="1" si="14"/>
        <v>0</v>
      </c>
      <c r="E213" t="str">
        <f ca="1">IF(D213=0,"",COUNTIF($D$2:D213,"&gt;0"))</f>
        <v/>
      </c>
      <c r="F213" s="24" t="str">
        <f t="shared" ca="1" si="15"/>
        <v/>
      </c>
    </row>
    <row r="214" spans="1:6">
      <c r="A214" s="41" t="s">
        <v>244</v>
      </c>
      <c r="B214" s="25" t="s">
        <v>190</v>
      </c>
      <c r="C214" s="40">
        <v>200000</v>
      </c>
      <c r="D214">
        <f t="shared" ca="1" si="14"/>
        <v>0</v>
      </c>
      <c r="E214" t="str">
        <f ca="1">IF(D214=0,"",COUNTIF($D$2:D214,"&gt;0"))</f>
        <v/>
      </c>
      <c r="F214" s="24" t="str">
        <f t="shared" ca="1" si="15"/>
        <v/>
      </c>
    </row>
    <row r="215" spans="1:6">
      <c r="A215" s="41" t="s">
        <v>245</v>
      </c>
      <c r="B215" s="25" t="s">
        <v>190</v>
      </c>
      <c r="C215" s="40">
        <v>300000</v>
      </c>
      <c r="D215">
        <f t="shared" ca="1" si="14"/>
        <v>0</v>
      </c>
      <c r="E215" t="str">
        <f ca="1">IF(D215=0,"",COUNTIF($D$2:D215,"&gt;0"))</f>
        <v/>
      </c>
      <c r="F215" s="24" t="str">
        <f t="shared" ca="1" si="15"/>
        <v/>
      </c>
    </row>
    <row r="216" spans="1:6">
      <c r="A216" s="41" t="s">
        <v>246</v>
      </c>
      <c r="B216" s="25" t="s">
        <v>190</v>
      </c>
      <c r="C216" s="40">
        <v>400000</v>
      </c>
      <c r="D216">
        <f t="shared" ca="1" si="14"/>
        <v>0</v>
      </c>
      <c r="E216" t="str">
        <f ca="1">IF(D216=0,"",COUNTIF($D$2:D216,"&gt;0"))</f>
        <v/>
      </c>
      <c r="F216" s="24" t="str">
        <f t="shared" ca="1" si="15"/>
        <v/>
      </c>
    </row>
    <row r="217" spans="1:6">
      <c r="A217" s="39" t="s">
        <v>247</v>
      </c>
      <c r="B217" s="22"/>
      <c r="C217" s="43">
        <v>0</v>
      </c>
      <c r="D217">
        <f t="shared" ca="1" si="14"/>
        <v>0</v>
      </c>
      <c r="E217" t="str">
        <f ca="1">IF(D217=0,"",COUNTIF($D$2:D217,"&gt;0"))</f>
        <v/>
      </c>
      <c r="F217" s="24" t="str">
        <f t="shared" ca="1" si="15"/>
        <v/>
      </c>
    </row>
    <row r="218" spans="1:6">
      <c r="A218" s="41" t="s">
        <v>248</v>
      </c>
      <c r="B218" s="25" t="s">
        <v>190</v>
      </c>
      <c r="C218" s="40">
        <v>5000</v>
      </c>
      <c r="D218">
        <f t="shared" ca="1" si="14"/>
        <v>0</v>
      </c>
      <c r="E218" t="str">
        <f ca="1">IF(D218=0,"",COUNTIF($D$2:D218,"&gt;0"))</f>
        <v/>
      </c>
      <c r="F218" s="24" t="str">
        <f t="shared" ca="1" si="15"/>
        <v/>
      </c>
    </row>
    <row r="219" spans="1:6">
      <c r="A219" s="41" t="s">
        <v>249</v>
      </c>
      <c r="B219" s="25" t="s">
        <v>190</v>
      </c>
      <c r="C219" s="40">
        <v>10000</v>
      </c>
      <c r="D219">
        <f t="shared" ca="1" si="14"/>
        <v>0</v>
      </c>
      <c r="E219" t="str">
        <f ca="1">IF(D219=0,"",COUNTIF($D$2:D219,"&gt;0"))</f>
        <v/>
      </c>
      <c r="F219" s="24" t="str">
        <f t="shared" ca="1" si="15"/>
        <v/>
      </c>
    </row>
    <row r="220" spans="1:6">
      <c r="A220" s="41" t="s">
        <v>250</v>
      </c>
      <c r="B220" s="25" t="s">
        <v>190</v>
      </c>
      <c r="C220" s="40">
        <v>15000</v>
      </c>
      <c r="D220">
        <f t="shared" ca="1" si="14"/>
        <v>0</v>
      </c>
      <c r="E220" t="str">
        <f ca="1">IF(D220=0,"",COUNTIF($D$2:D220,"&gt;0"))</f>
        <v/>
      </c>
      <c r="F220" s="24" t="str">
        <f t="shared" ca="1" si="15"/>
        <v/>
      </c>
    </row>
    <row r="221" spans="1:6">
      <c r="A221" s="41" t="s">
        <v>251</v>
      </c>
      <c r="B221" s="25" t="s">
        <v>190</v>
      </c>
      <c r="C221" s="40">
        <v>17000</v>
      </c>
      <c r="D221">
        <f t="shared" ca="1" si="14"/>
        <v>0</v>
      </c>
      <c r="E221" t="str">
        <f ca="1">IF(D221=0,"",COUNTIF($D$2:D221,"&gt;0"))</f>
        <v/>
      </c>
      <c r="F221" s="24" t="str">
        <f t="shared" ca="1" si="15"/>
        <v/>
      </c>
    </row>
    <row r="222" spans="1:6">
      <c r="A222" s="41" t="s">
        <v>252</v>
      </c>
      <c r="B222" s="25" t="s">
        <v>190</v>
      </c>
      <c r="C222" s="40">
        <v>22000</v>
      </c>
      <c r="D222">
        <f t="shared" ca="1" si="14"/>
        <v>0</v>
      </c>
      <c r="E222" t="str">
        <f ca="1">IF(D222=0,"",COUNTIF($D$2:D222,"&gt;0"))</f>
        <v/>
      </c>
      <c r="F222" s="24" t="str">
        <f t="shared" ca="1" si="15"/>
        <v/>
      </c>
    </row>
    <row r="223" spans="1:6">
      <c r="A223" s="41" t="s">
        <v>253</v>
      </c>
      <c r="B223" s="25" t="s">
        <v>190</v>
      </c>
      <c r="C223" s="40">
        <v>27000</v>
      </c>
      <c r="D223">
        <f t="shared" ca="1" si="14"/>
        <v>0</v>
      </c>
      <c r="E223" t="str">
        <f ca="1">IF(D223=0,"",COUNTIF($D$2:D223,"&gt;0"))</f>
        <v/>
      </c>
      <c r="F223" s="24" t="str">
        <f t="shared" ca="1" si="15"/>
        <v/>
      </c>
    </row>
    <row r="224" spans="1:6">
      <c r="A224" s="41" t="s">
        <v>254</v>
      </c>
      <c r="B224" s="25" t="s">
        <v>190</v>
      </c>
      <c r="C224" s="40">
        <v>32000</v>
      </c>
      <c r="D224">
        <f t="shared" ca="1" si="14"/>
        <v>0</v>
      </c>
      <c r="E224" t="str">
        <f ca="1">IF(D224=0,"",COUNTIF($D$2:D224,"&gt;0"))</f>
        <v/>
      </c>
      <c r="F224" s="24" t="str">
        <f t="shared" ca="1" si="15"/>
        <v/>
      </c>
    </row>
    <row r="225" spans="1:6">
      <c r="A225" s="41" t="s">
        <v>255</v>
      </c>
      <c r="B225" s="25" t="s">
        <v>190</v>
      </c>
      <c r="C225" s="40">
        <v>45000</v>
      </c>
      <c r="D225">
        <f t="shared" ca="1" si="14"/>
        <v>0</v>
      </c>
      <c r="E225" t="str">
        <f ca="1">IF(D225=0,"",COUNTIF($D$2:D225,"&gt;0"))</f>
        <v/>
      </c>
      <c r="F225" s="24" t="str">
        <f t="shared" ca="1" si="15"/>
        <v/>
      </c>
    </row>
    <row r="226" spans="1:6">
      <c r="A226" s="41" t="s">
        <v>256</v>
      </c>
      <c r="B226" s="25" t="s">
        <v>190</v>
      </c>
      <c r="C226" s="40">
        <v>75000</v>
      </c>
      <c r="D226">
        <f t="shared" ca="1" si="14"/>
        <v>0</v>
      </c>
      <c r="E226" t="str">
        <f ca="1">IF(D226=0,"",COUNTIF($D$2:D226,"&gt;0"))</f>
        <v/>
      </c>
      <c r="F226" s="24" t="str">
        <f t="shared" ca="1" si="15"/>
        <v/>
      </c>
    </row>
    <row r="227" spans="1:6">
      <c r="A227" s="39" t="s">
        <v>257</v>
      </c>
      <c r="B227" s="22"/>
      <c r="C227" s="40">
        <v>0</v>
      </c>
      <c r="D227">
        <f t="shared" ca="1" si="14"/>
        <v>0</v>
      </c>
      <c r="E227" t="str">
        <f ca="1">IF(D227=0,"",COUNTIF($D$2:D227,"&gt;0"))</f>
        <v/>
      </c>
      <c r="F227" s="24" t="str">
        <f t="shared" ca="1" si="15"/>
        <v/>
      </c>
    </row>
    <row r="228" spans="1:6">
      <c r="A228" s="41" t="s">
        <v>258</v>
      </c>
      <c r="B228" s="25" t="s">
        <v>190</v>
      </c>
      <c r="C228" s="40">
        <v>7000</v>
      </c>
      <c r="D228">
        <f t="shared" ca="1" si="14"/>
        <v>0</v>
      </c>
      <c r="E228" t="str">
        <f ca="1">IF(D228=0,"",COUNTIF($D$2:D228,"&gt;0"))</f>
        <v/>
      </c>
      <c r="F228" s="24" t="str">
        <f t="shared" ca="1" si="15"/>
        <v/>
      </c>
    </row>
    <row r="229" spans="1:6">
      <c r="A229" s="41" t="s">
        <v>259</v>
      </c>
      <c r="B229" s="25" t="s">
        <v>190</v>
      </c>
      <c r="C229" s="40">
        <v>20000</v>
      </c>
      <c r="D229">
        <f t="shared" ca="1" si="14"/>
        <v>0</v>
      </c>
      <c r="E229" t="str">
        <f ca="1">IF(D229=0,"",COUNTIF($D$2:D229,"&gt;0"))</f>
        <v/>
      </c>
      <c r="F229" s="24" t="str">
        <f t="shared" ca="1" si="15"/>
        <v/>
      </c>
    </row>
    <row r="230" spans="1:6">
      <c r="A230" s="41" t="s">
        <v>260</v>
      </c>
      <c r="B230" s="25" t="s">
        <v>190</v>
      </c>
      <c r="C230" s="40">
        <v>40000</v>
      </c>
      <c r="D230">
        <f t="shared" ca="1" si="14"/>
        <v>0</v>
      </c>
      <c r="E230" t="str">
        <f ca="1">IF(D230=0,"",COUNTIF($D$2:D230,"&gt;0"))</f>
        <v/>
      </c>
      <c r="F230" s="24" t="str">
        <f t="shared" ca="1" si="15"/>
        <v/>
      </c>
    </row>
    <row r="231" spans="1:6">
      <c r="A231" s="41" t="s">
        <v>261</v>
      </c>
      <c r="B231" s="25" t="s">
        <v>190</v>
      </c>
      <c r="C231" s="40">
        <v>70000</v>
      </c>
      <c r="D231">
        <f t="shared" ca="1" si="14"/>
        <v>0</v>
      </c>
      <c r="E231" t="str">
        <f ca="1">IF(D231=0,"",COUNTIF($D$2:D231,"&gt;0"))</f>
        <v/>
      </c>
      <c r="F231" s="24" t="str">
        <f t="shared" ca="1" si="15"/>
        <v/>
      </c>
    </row>
    <row r="232" spans="1:6">
      <c r="A232" s="41" t="s">
        <v>262</v>
      </c>
      <c r="B232" s="25" t="s">
        <v>190</v>
      </c>
      <c r="C232" s="40">
        <v>100000</v>
      </c>
      <c r="D232">
        <f t="shared" ca="1" si="14"/>
        <v>0</v>
      </c>
      <c r="E232" t="str">
        <f ca="1">IF(D232=0,"",COUNTIF($D$2:D232,"&gt;0"))</f>
        <v/>
      </c>
      <c r="F232" s="24" t="str">
        <f t="shared" ca="1" si="15"/>
        <v/>
      </c>
    </row>
    <row r="233" spans="1:6">
      <c r="A233" s="39" t="s">
        <v>263</v>
      </c>
      <c r="B233" s="22"/>
      <c r="C233" s="43">
        <v>0</v>
      </c>
      <c r="D233">
        <f ca="1">IFERROR(SEARCH(INDIRECT(CELL("address")),A233),0)</f>
        <v>0</v>
      </c>
      <c r="E233" t="str">
        <f ca="1">IF(D233=0,"",COUNTIF($D$2:D233,"&gt;0"))</f>
        <v/>
      </c>
      <c r="F233" s="24" t="str">
        <f t="shared" ca="1" si="15"/>
        <v/>
      </c>
    </row>
    <row r="234" spans="1:6">
      <c r="A234" s="41" t="s">
        <v>264</v>
      </c>
      <c r="B234" s="25" t="s">
        <v>190</v>
      </c>
      <c r="C234" s="40">
        <v>20000</v>
      </c>
      <c r="D234">
        <f ca="1">IFERROR(SEARCH(INDIRECT(CELL("address")),A234),0)</f>
        <v>0</v>
      </c>
      <c r="E234" t="str">
        <f ca="1">IF(D234=0,"",COUNTIF($D$2:D234,"&gt;0"))</f>
        <v/>
      </c>
      <c r="F234" s="24" t="str">
        <f t="shared" ca="1" si="15"/>
        <v/>
      </c>
    </row>
    <row r="235" spans="1:6">
      <c r="A235" s="41" t="s">
        <v>265</v>
      </c>
      <c r="B235" s="25" t="s">
        <v>190</v>
      </c>
      <c r="C235" s="40">
        <v>100000</v>
      </c>
      <c r="D235">
        <f ca="1">IFERROR(SEARCH(INDIRECT(CELL("address")),A235),0)</f>
        <v>0</v>
      </c>
      <c r="E235" t="str">
        <f ca="1">IF(D235=0,"",COUNTIF($D$2:D235,"&gt;0"))</f>
        <v/>
      </c>
      <c r="F235" s="24" t="str">
        <f t="shared" ca="1" si="15"/>
        <v/>
      </c>
    </row>
    <row r="236" spans="1:6">
      <c r="A236" s="41" t="s">
        <v>266</v>
      </c>
      <c r="B236" s="25" t="s">
        <v>190</v>
      </c>
      <c r="C236" s="40">
        <v>200000</v>
      </c>
      <c r="D236">
        <f ca="1">IFERROR(SEARCH(INDIRECT(CELL("address")),A236),0)</f>
        <v>0</v>
      </c>
      <c r="E236" t="str">
        <f ca="1">IF(D236=0,"",COUNTIF($D$2:D1109,"&gt;0"))</f>
        <v/>
      </c>
      <c r="F236" s="24" t="str">
        <f t="shared" ca="1" si="15"/>
        <v/>
      </c>
    </row>
    <row r="237" spans="1:6">
      <c r="A237" s="41" t="s">
        <v>267</v>
      </c>
      <c r="B237" s="25" t="s">
        <v>190</v>
      </c>
      <c r="C237" s="40">
        <v>350000</v>
      </c>
      <c r="D237">
        <f t="shared" ca="1" si="10"/>
        <v>0</v>
      </c>
      <c r="E237" t="str">
        <f ca="1">IF(D237=0,"",COUNTIF($D$2:D237,"&gt;0"))</f>
        <v/>
      </c>
      <c r="F237" s="24" t="str">
        <f ca="1">IFERROR(INDEX(A:A,MATCH(ROW(D200),E:E,0)),"")</f>
        <v/>
      </c>
    </row>
    <row r="238" spans="1:6">
      <c r="A238" s="39" t="s">
        <v>268</v>
      </c>
      <c r="B238" s="22"/>
      <c r="C238" s="43">
        <v>0</v>
      </c>
      <c r="D238">
        <f t="shared" ca="1" si="10"/>
        <v>0</v>
      </c>
      <c r="E238" t="str">
        <f ca="1">IF(D238=0,"",COUNTIF($D$2:D238,"&gt;0"))</f>
        <v/>
      </c>
      <c r="F238" s="24" t="str">
        <f t="shared" ref="F238:F269" ca="1" si="16">IFERROR(INDEX(A:A,MATCH(ROW(D237),E:E,0)),"")</f>
        <v/>
      </c>
    </row>
    <row r="239" spans="1:6">
      <c r="A239" s="41" t="s">
        <v>269</v>
      </c>
      <c r="B239" s="25" t="s">
        <v>190</v>
      </c>
      <c r="C239" s="40">
        <v>30000</v>
      </c>
      <c r="D239">
        <f t="shared" ca="1" si="10"/>
        <v>0</v>
      </c>
      <c r="E239" t="str">
        <f ca="1">IF(D239=0,"",COUNTIF($D$2:D239,"&gt;0"))</f>
        <v/>
      </c>
      <c r="F239" s="24" t="str">
        <f t="shared" ca="1" si="16"/>
        <v/>
      </c>
    </row>
    <row r="240" spans="1:6">
      <c r="A240" s="41" t="s">
        <v>270</v>
      </c>
      <c r="B240" s="25" t="s">
        <v>190</v>
      </c>
      <c r="C240" s="40">
        <v>65000</v>
      </c>
      <c r="D240">
        <f t="shared" ca="1" si="10"/>
        <v>0</v>
      </c>
      <c r="E240" t="str">
        <f ca="1">IF(D240=0,"",COUNTIF($D$2:D240,"&gt;0"))</f>
        <v/>
      </c>
      <c r="F240" s="24" t="str">
        <f t="shared" ca="1" si="16"/>
        <v/>
      </c>
    </row>
    <row r="241" spans="1:6">
      <c r="A241" s="41" t="s">
        <v>271</v>
      </c>
      <c r="B241" s="25" t="s">
        <v>190</v>
      </c>
      <c r="C241" s="40">
        <v>100000</v>
      </c>
      <c r="D241">
        <f t="shared" ca="1" si="10"/>
        <v>0</v>
      </c>
      <c r="E241" t="str">
        <f ca="1">IF(D241=0,"",COUNTIF($D$2:D241,"&gt;0"))</f>
        <v/>
      </c>
      <c r="F241" s="24" t="str">
        <f t="shared" ca="1" si="16"/>
        <v/>
      </c>
    </row>
    <row r="242" spans="1:6">
      <c r="A242" s="41" t="s">
        <v>272</v>
      </c>
      <c r="B242" s="25" t="s">
        <v>190</v>
      </c>
      <c r="C242" s="40">
        <v>250000</v>
      </c>
      <c r="D242">
        <f t="shared" ca="1" si="10"/>
        <v>0</v>
      </c>
      <c r="E242" t="str">
        <f ca="1">IF(D242=0,"",COUNTIF($D$2:D242,"&gt;0"))</f>
        <v/>
      </c>
      <c r="F242" s="24" t="str">
        <f t="shared" ca="1" si="16"/>
        <v/>
      </c>
    </row>
    <row r="243" spans="1:6">
      <c r="A243" s="39" t="s">
        <v>273</v>
      </c>
      <c r="B243" s="25"/>
      <c r="C243" s="40">
        <v>0</v>
      </c>
      <c r="D243">
        <f t="shared" ca="1" si="10"/>
        <v>0</v>
      </c>
      <c r="E243" t="str">
        <f ca="1">IF(D243=0,"",COUNTIF($D$2:D243,"&gt;0"))</f>
        <v/>
      </c>
      <c r="F243" s="24" t="str">
        <f t="shared" ca="1" si="16"/>
        <v/>
      </c>
    </row>
    <row r="244" spans="1:6">
      <c r="A244" s="41" t="s">
        <v>274</v>
      </c>
      <c r="B244" s="25" t="s">
        <v>190</v>
      </c>
      <c r="C244" s="40">
        <v>30000</v>
      </c>
      <c r="D244">
        <f t="shared" ca="1" si="10"/>
        <v>0</v>
      </c>
      <c r="E244" t="str">
        <f ca="1">IF(D244=0,"",COUNTIF($D$2:D244,"&gt;0"))</f>
        <v/>
      </c>
      <c r="F244" s="24" t="str">
        <f t="shared" ca="1" si="16"/>
        <v/>
      </c>
    </row>
    <row r="245" spans="1:6">
      <c r="A245" s="41" t="s">
        <v>275</v>
      </c>
      <c r="B245" s="25" t="s">
        <v>190</v>
      </c>
      <c r="C245" s="40">
        <v>40000</v>
      </c>
      <c r="D245">
        <f t="shared" ca="1" si="10"/>
        <v>0</v>
      </c>
      <c r="E245" t="str">
        <f ca="1">IF(D245=0,"",COUNTIF($D$2:D245,"&gt;0"))</f>
        <v/>
      </c>
      <c r="F245" s="24" t="str">
        <f t="shared" ca="1" si="16"/>
        <v/>
      </c>
    </row>
    <row r="246" spans="1:6">
      <c r="A246" s="39" t="s">
        <v>276</v>
      </c>
      <c r="B246" s="25"/>
      <c r="C246" s="40">
        <v>0</v>
      </c>
      <c r="D246">
        <f t="shared" ca="1" si="10"/>
        <v>0</v>
      </c>
      <c r="E246" t="str">
        <f ca="1">IF(D246=0,"",COUNTIF($D$2:D246,"&gt;0"))</f>
        <v/>
      </c>
      <c r="F246" s="24" t="str">
        <f t="shared" ca="1" si="16"/>
        <v/>
      </c>
    </row>
    <row r="247" spans="1:6">
      <c r="A247" s="41" t="s">
        <v>277</v>
      </c>
      <c r="B247" s="25" t="s">
        <v>190</v>
      </c>
      <c r="C247" s="40">
        <v>30000</v>
      </c>
      <c r="D247">
        <f t="shared" ca="1" si="10"/>
        <v>0</v>
      </c>
      <c r="E247" t="str">
        <f ca="1">IF(D247=0,"",COUNTIF($D$2:D247,"&gt;0"))</f>
        <v/>
      </c>
      <c r="F247" s="24" t="str">
        <f t="shared" ca="1" si="16"/>
        <v/>
      </c>
    </row>
    <row r="248" spans="1:6">
      <c r="A248" s="41" t="s">
        <v>278</v>
      </c>
      <c r="B248" s="25" t="s">
        <v>190</v>
      </c>
      <c r="C248" s="40">
        <v>45000</v>
      </c>
      <c r="D248">
        <f t="shared" ca="1" si="10"/>
        <v>0</v>
      </c>
      <c r="E248" t="str">
        <f ca="1">IF(D248=0,"",COUNTIF($D$2:D248,"&gt;0"))</f>
        <v/>
      </c>
      <c r="F248" s="24" t="str">
        <f t="shared" ca="1" si="16"/>
        <v/>
      </c>
    </row>
    <row r="249" spans="1:6">
      <c r="A249" s="39" t="s">
        <v>279</v>
      </c>
      <c r="B249" s="22"/>
      <c r="C249" s="40">
        <v>0</v>
      </c>
      <c r="D249">
        <f t="shared" ca="1" si="10"/>
        <v>0</v>
      </c>
      <c r="E249" t="str">
        <f ca="1">IF(D249=0,"",COUNTIF($D$2:D249,"&gt;0"))</f>
        <v/>
      </c>
      <c r="F249" s="24" t="str">
        <f t="shared" ca="1" si="16"/>
        <v/>
      </c>
    </row>
    <row r="250" spans="1:6">
      <c r="A250" s="41" t="s">
        <v>280</v>
      </c>
      <c r="B250" s="25" t="s">
        <v>190</v>
      </c>
      <c r="C250" s="40">
        <v>7000</v>
      </c>
      <c r="D250">
        <f t="shared" ref="D250:D313" ca="1" si="17">IFERROR(SEARCH(INDIRECT(CELL("address")),A250),0)</f>
        <v>0</v>
      </c>
      <c r="E250" t="str">
        <f ca="1">IF(D250=0,"",COUNTIF($D$2:D250,"&gt;0"))</f>
        <v/>
      </c>
      <c r="F250" s="24" t="str">
        <f t="shared" ca="1" si="16"/>
        <v/>
      </c>
    </row>
    <row r="251" spans="1:6">
      <c r="A251" s="41" t="s">
        <v>281</v>
      </c>
      <c r="B251" s="25" t="s">
        <v>190</v>
      </c>
      <c r="C251" s="40">
        <v>12000</v>
      </c>
      <c r="D251">
        <f t="shared" ca="1" si="17"/>
        <v>0</v>
      </c>
      <c r="E251" t="str">
        <f ca="1">IF(D251=0,"",COUNTIF($D$2:D251,"&gt;0"))</f>
        <v/>
      </c>
      <c r="F251" s="24" t="str">
        <f t="shared" ca="1" si="16"/>
        <v/>
      </c>
    </row>
    <row r="252" spans="1:6">
      <c r="A252" s="39" t="s">
        <v>282</v>
      </c>
      <c r="B252" s="25"/>
      <c r="C252" s="40">
        <v>0</v>
      </c>
      <c r="D252">
        <f t="shared" ca="1" si="17"/>
        <v>0</v>
      </c>
      <c r="E252" t="str">
        <f ca="1">IF(D252=0,"",COUNTIF($D$2:D252,"&gt;0"))</f>
        <v/>
      </c>
      <c r="F252" s="24" t="str">
        <f t="shared" ca="1" si="16"/>
        <v/>
      </c>
    </row>
    <row r="253" spans="1:6">
      <c r="A253" s="41" t="s">
        <v>283</v>
      </c>
      <c r="B253" s="25" t="s">
        <v>190</v>
      </c>
      <c r="C253" s="40">
        <v>42000</v>
      </c>
      <c r="D253">
        <f t="shared" ca="1" si="17"/>
        <v>0</v>
      </c>
      <c r="E253" t="str">
        <f ca="1">IF(D253=0,"",COUNTIF($D$2:D253,"&gt;0"))</f>
        <v/>
      </c>
      <c r="F253" s="24" t="str">
        <f t="shared" ca="1" si="16"/>
        <v/>
      </c>
    </row>
    <row r="254" spans="1:6">
      <c r="A254" s="41" t="s">
        <v>284</v>
      </c>
      <c r="B254" s="25" t="s">
        <v>190</v>
      </c>
      <c r="C254" s="40">
        <v>70000</v>
      </c>
      <c r="D254">
        <f t="shared" ca="1" si="17"/>
        <v>0</v>
      </c>
      <c r="E254" t="str">
        <f ca="1">IF(D254=0,"",COUNTIF($D$2:D254,"&gt;0"))</f>
        <v/>
      </c>
      <c r="F254" s="24" t="str">
        <f t="shared" ca="1" si="16"/>
        <v/>
      </c>
    </row>
    <row r="255" spans="1:6">
      <c r="A255" s="39" t="s">
        <v>285</v>
      </c>
      <c r="B255" s="22"/>
      <c r="C255" s="40">
        <v>0</v>
      </c>
      <c r="D255">
        <f t="shared" ca="1" si="17"/>
        <v>0</v>
      </c>
      <c r="E255" t="str">
        <f ca="1">IF(D255=0,"",COUNTIF($D$2:D255,"&gt;0"))</f>
        <v/>
      </c>
      <c r="F255" s="24" t="str">
        <f t="shared" ca="1" si="16"/>
        <v/>
      </c>
    </row>
    <row r="256" spans="1:6">
      <c r="A256" s="41" t="s">
        <v>286</v>
      </c>
      <c r="B256" s="25" t="s">
        <v>190</v>
      </c>
      <c r="C256" s="40">
        <v>60000</v>
      </c>
      <c r="D256">
        <f t="shared" ca="1" si="17"/>
        <v>0</v>
      </c>
      <c r="E256" t="str">
        <f ca="1">IF(D256=0,"",COUNTIF($D$2:D256,"&gt;0"))</f>
        <v/>
      </c>
      <c r="F256" s="24" t="str">
        <f t="shared" ca="1" si="16"/>
        <v/>
      </c>
    </row>
    <row r="257" spans="1:6">
      <c r="A257" s="41" t="s">
        <v>287</v>
      </c>
      <c r="B257" s="25" t="s">
        <v>190</v>
      </c>
      <c r="C257" s="40">
        <v>100000</v>
      </c>
      <c r="D257">
        <f t="shared" ca="1" si="17"/>
        <v>0</v>
      </c>
      <c r="E257" t="str">
        <f ca="1">IF(D257=0,"",COUNTIF($D$2:D257,"&gt;0"))</f>
        <v/>
      </c>
      <c r="F257" s="24" t="str">
        <f t="shared" ca="1" si="16"/>
        <v/>
      </c>
    </row>
    <row r="258" spans="1:6">
      <c r="A258" s="41" t="s">
        <v>288</v>
      </c>
      <c r="B258" s="25" t="s">
        <v>190</v>
      </c>
      <c r="C258" s="40">
        <v>150000</v>
      </c>
      <c r="D258">
        <f t="shared" ca="1" si="17"/>
        <v>0</v>
      </c>
      <c r="E258" t="str">
        <f ca="1">IF(D258=0,"",COUNTIF($D$2:D258,"&gt;0"))</f>
        <v/>
      </c>
      <c r="F258" s="24" t="str">
        <f t="shared" ca="1" si="16"/>
        <v/>
      </c>
    </row>
    <row r="259" spans="1:6">
      <c r="A259" s="39" t="s">
        <v>289</v>
      </c>
      <c r="B259" s="22"/>
      <c r="C259" s="43">
        <v>0</v>
      </c>
      <c r="D259">
        <f t="shared" ca="1" si="17"/>
        <v>0</v>
      </c>
      <c r="E259" t="str">
        <f ca="1">IF(D259=0,"",COUNTIF($D$2:D259,"&gt;0"))</f>
        <v/>
      </c>
      <c r="F259" s="24" t="str">
        <f t="shared" ca="1" si="16"/>
        <v/>
      </c>
    </row>
    <row r="260" spans="1:6">
      <c r="A260" s="41" t="s">
        <v>290</v>
      </c>
      <c r="B260" s="25" t="s">
        <v>190</v>
      </c>
      <c r="C260" s="40">
        <v>6000</v>
      </c>
      <c r="D260">
        <f t="shared" ca="1" si="17"/>
        <v>0</v>
      </c>
      <c r="E260" t="str">
        <f ca="1">IF(D260=0,"",COUNTIF($D$2:D260,"&gt;0"))</f>
        <v/>
      </c>
      <c r="F260" s="24" t="str">
        <f t="shared" ca="1" si="16"/>
        <v/>
      </c>
    </row>
    <row r="261" spans="1:6">
      <c r="A261" s="41" t="s">
        <v>291</v>
      </c>
      <c r="B261" s="25" t="s">
        <v>190</v>
      </c>
      <c r="C261" s="40">
        <v>10000</v>
      </c>
      <c r="D261">
        <f t="shared" ca="1" si="17"/>
        <v>0</v>
      </c>
      <c r="E261" t="str">
        <f ca="1">IF(D261=0,"",COUNTIF($D$2:D261,"&gt;0"))</f>
        <v/>
      </c>
      <c r="F261" s="24" t="str">
        <f t="shared" ca="1" si="16"/>
        <v/>
      </c>
    </row>
    <row r="262" spans="1:6">
      <c r="A262" s="41" t="s">
        <v>292</v>
      </c>
      <c r="B262" s="25" t="s">
        <v>190</v>
      </c>
      <c r="C262" s="40">
        <v>25000</v>
      </c>
      <c r="D262">
        <f t="shared" ca="1" si="17"/>
        <v>0</v>
      </c>
      <c r="E262" t="str">
        <f ca="1">IF(D262=0,"",COUNTIF($D$2:D262,"&gt;0"))</f>
        <v/>
      </c>
      <c r="F262" s="24" t="str">
        <f t="shared" ca="1" si="16"/>
        <v/>
      </c>
    </row>
    <row r="263" spans="1:6">
      <c r="A263" s="39" t="s">
        <v>293</v>
      </c>
      <c r="B263" s="22"/>
      <c r="C263" s="40">
        <v>0</v>
      </c>
      <c r="D263">
        <f t="shared" ca="1" si="17"/>
        <v>0</v>
      </c>
      <c r="E263" t="str">
        <f ca="1">IF(D263=0,"",COUNTIF($D$2:D263,"&gt;0"))</f>
        <v/>
      </c>
      <c r="F263" s="24" t="str">
        <f t="shared" ca="1" si="16"/>
        <v/>
      </c>
    </row>
    <row r="264" spans="1:6">
      <c r="A264" s="41" t="s">
        <v>294</v>
      </c>
      <c r="B264" s="25" t="s">
        <v>295</v>
      </c>
      <c r="C264" s="40">
        <v>8000</v>
      </c>
      <c r="D264">
        <f t="shared" ca="1" si="17"/>
        <v>0</v>
      </c>
      <c r="E264" t="str">
        <f ca="1">IF(D264=0,"",COUNTIF($D$2:D264,"&gt;0"))</f>
        <v/>
      </c>
      <c r="F264" s="24" t="str">
        <f t="shared" ca="1" si="16"/>
        <v/>
      </c>
    </row>
    <row r="265" spans="1:6">
      <c r="A265" s="41" t="s">
        <v>296</v>
      </c>
      <c r="B265" s="25" t="s">
        <v>295</v>
      </c>
      <c r="C265" s="40">
        <v>10000</v>
      </c>
      <c r="D265">
        <f t="shared" ca="1" si="17"/>
        <v>0</v>
      </c>
      <c r="E265" t="str">
        <f ca="1">IF(D265=0,"",COUNTIF($D$2:D265,"&gt;0"))</f>
        <v/>
      </c>
      <c r="F265" s="24" t="str">
        <f t="shared" ca="1" si="16"/>
        <v/>
      </c>
    </row>
    <row r="266" spans="1:6">
      <c r="A266" s="39" t="s">
        <v>297</v>
      </c>
      <c r="B266" s="22"/>
      <c r="C266" s="43">
        <v>0</v>
      </c>
      <c r="D266">
        <f t="shared" ca="1" si="17"/>
        <v>0</v>
      </c>
      <c r="E266" t="str">
        <f ca="1">IF(D266=0,"",COUNTIF($D$2:D266,"&gt;0"))</f>
        <v/>
      </c>
      <c r="F266" s="24" t="str">
        <f t="shared" ca="1" si="16"/>
        <v/>
      </c>
    </row>
    <row r="267" spans="1:6">
      <c r="A267" s="41" t="s">
        <v>298</v>
      </c>
      <c r="B267" s="25" t="s">
        <v>190</v>
      </c>
      <c r="C267" s="40">
        <v>20000</v>
      </c>
      <c r="D267">
        <f t="shared" ca="1" si="17"/>
        <v>0</v>
      </c>
      <c r="E267" t="str">
        <f ca="1">IF(D267=0,"",COUNTIF($D$2:D267,"&gt;0"))</f>
        <v/>
      </c>
      <c r="F267" s="24" t="str">
        <f t="shared" ca="1" si="16"/>
        <v/>
      </c>
    </row>
    <row r="268" spans="1:6">
      <c r="A268" s="41" t="s">
        <v>299</v>
      </c>
      <c r="B268" s="25" t="s">
        <v>190</v>
      </c>
      <c r="C268" s="40">
        <v>40000</v>
      </c>
      <c r="D268">
        <f t="shared" ca="1" si="17"/>
        <v>0</v>
      </c>
      <c r="E268" t="str">
        <f ca="1">IF(D268=0,"",COUNTIF($D$2:D268,"&gt;0"))</f>
        <v/>
      </c>
      <c r="F268" s="24" t="str">
        <f t="shared" ca="1" si="16"/>
        <v/>
      </c>
    </row>
    <row r="269" spans="1:6">
      <c r="A269" s="41" t="s">
        <v>300</v>
      </c>
      <c r="B269" s="25" t="s">
        <v>190</v>
      </c>
      <c r="C269" s="40">
        <v>70000</v>
      </c>
      <c r="D269">
        <f t="shared" ca="1" si="17"/>
        <v>0</v>
      </c>
      <c r="E269" t="str">
        <f ca="1">IF(D269=0,"",COUNTIF($D$2:D269,"&gt;0"))</f>
        <v/>
      </c>
      <c r="F269" s="24" t="str">
        <f t="shared" ca="1" si="16"/>
        <v/>
      </c>
    </row>
    <row r="270" spans="1:6">
      <c r="A270" s="41" t="s">
        <v>301</v>
      </c>
      <c r="B270" s="25" t="s">
        <v>190</v>
      </c>
      <c r="C270" s="40">
        <v>200000</v>
      </c>
      <c r="D270">
        <f t="shared" ca="1" si="17"/>
        <v>0</v>
      </c>
      <c r="E270" t="str">
        <f ca="1">IF(D270=0,"",COUNTIF($D$2:D270,"&gt;0"))</f>
        <v/>
      </c>
      <c r="F270" s="24" t="str">
        <f t="shared" ref="F270:F301" ca="1" si="18">IFERROR(INDEX(A:A,MATCH(ROW(D269),E:E,0)),"")</f>
        <v/>
      </c>
    </row>
    <row r="271" spans="1:6">
      <c r="A271" s="39" t="s">
        <v>302</v>
      </c>
      <c r="B271" s="22"/>
      <c r="C271" s="40">
        <v>0</v>
      </c>
      <c r="D271">
        <f t="shared" ca="1" si="17"/>
        <v>0</v>
      </c>
      <c r="E271" t="str">
        <f ca="1">IF(D271=0,"",COUNTIF($D$2:D271,"&gt;0"))</f>
        <v/>
      </c>
      <c r="F271" s="24" t="str">
        <f t="shared" ca="1" si="18"/>
        <v/>
      </c>
    </row>
    <row r="272" spans="1:6">
      <c r="A272" s="41" t="s">
        <v>303</v>
      </c>
      <c r="B272" s="25" t="s">
        <v>190</v>
      </c>
      <c r="C272" s="40">
        <v>8000</v>
      </c>
      <c r="D272">
        <f t="shared" ca="1" si="17"/>
        <v>0</v>
      </c>
      <c r="E272" t="str">
        <f ca="1">IF(D272=0,"",COUNTIF($D$2:D272,"&gt;0"))</f>
        <v/>
      </c>
      <c r="F272" s="24" t="str">
        <f t="shared" ca="1" si="18"/>
        <v/>
      </c>
    </row>
    <row r="273" spans="1:6">
      <c r="A273" s="41" t="s">
        <v>304</v>
      </c>
      <c r="B273" s="25" t="s">
        <v>190</v>
      </c>
      <c r="C273" s="40">
        <v>45000</v>
      </c>
      <c r="D273">
        <f t="shared" ca="1" si="17"/>
        <v>0</v>
      </c>
      <c r="E273" t="str">
        <f ca="1">IF(D273=0,"",COUNTIF($D$2:D273,"&gt;0"))</f>
        <v/>
      </c>
      <c r="F273" s="24" t="str">
        <f t="shared" ca="1" si="18"/>
        <v/>
      </c>
    </row>
    <row r="274" spans="1:6">
      <c r="A274" s="41" t="s">
        <v>305</v>
      </c>
      <c r="B274" s="25" t="s">
        <v>190</v>
      </c>
      <c r="C274" s="40">
        <v>85000</v>
      </c>
      <c r="D274">
        <f t="shared" ca="1" si="17"/>
        <v>0</v>
      </c>
      <c r="E274" t="str">
        <f ca="1">IF(D274=0,"",COUNTIF($D$2:D274,"&gt;0"))</f>
        <v/>
      </c>
      <c r="F274" s="24" t="str">
        <f t="shared" ca="1" si="18"/>
        <v/>
      </c>
    </row>
    <row r="275" spans="1:6">
      <c r="A275" s="39" t="s">
        <v>306</v>
      </c>
      <c r="B275" s="22"/>
      <c r="C275" s="40">
        <v>0</v>
      </c>
      <c r="D275">
        <f t="shared" ca="1" si="17"/>
        <v>0</v>
      </c>
      <c r="E275" t="str">
        <f ca="1">IF(D275=0,"",COUNTIF($D$2:D275,"&gt;0"))</f>
        <v/>
      </c>
      <c r="F275" s="24" t="str">
        <f t="shared" ca="1" si="18"/>
        <v/>
      </c>
    </row>
    <row r="276" spans="1:6">
      <c r="A276" s="41" t="s">
        <v>307</v>
      </c>
      <c r="B276" s="25" t="s">
        <v>190</v>
      </c>
      <c r="C276" s="40">
        <v>10000</v>
      </c>
      <c r="D276">
        <f t="shared" ca="1" si="17"/>
        <v>0</v>
      </c>
      <c r="E276" t="str">
        <f ca="1">IF(D276=0,"",COUNTIF($D$2:D276,"&gt;0"))</f>
        <v/>
      </c>
      <c r="F276" s="24" t="str">
        <f t="shared" ca="1" si="18"/>
        <v/>
      </c>
    </row>
    <row r="277" spans="1:6">
      <c r="A277" s="41" t="s">
        <v>308</v>
      </c>
      <c r="B277" s="25" t="s">
        <v>190</v>
      </c>
      <c r="C277" s="40">
        <v>50000</v>
      </c>
      <c r="D277">
        <f t="shared" ca="1" si="17"/>
        <v>0</v>
      </c>
      <c r="E277" t="str">
        <f ca="1">IF(D277=0,"",COUNTIF($D$2:D277,"&gt;0"))</f>
        <v/>
      </c>
      <c r="F277" s="24" t="str">
        <f t="shared" ca="1" si="18"/>
        <v/>
      </c>
    </row>
    <row r="278" spans="1:6">
      <c r="A278" s="41" t="s">
        <v>309</v>
      </c>
      <c r="B278" s="25" t="s">
        <v>190</v>
      </c>
      <c r="C278" s="40">
        <v>80000</v>
      </c>
      <c r="D278">
        <f t="shared" ca="1" si="17"/>
        <v>0</v>
      </c>
      <c r="E278" t="str">
        <f ca="1">IF(D278=0,"",COUNTIF($D$2:D278,"&gt;0"))</f>
        <v/>
      </c>
      <c r="F278" s="24" t="str">
        <f t="shared" ca="1" si="18"/>
        <v/>
      </c>
    </row>
    <row r="279" spans="1:6">
      <c r="A279" s="39" t="s">
        <v>310</v>
      </c>
      <c r="B279" s="22"/>
      <c r="C279" s="43">
        <v>0</v>
      </c>
      <c r="D279">
        <f t="shared" ca="1" si="17"/>
        <v>0</v>
      </c>
      <c r="E279" t="str">
        <f ca="1">IF(D279=0,"",COUNTIF($D$2:D279,"&gt;0"))</f>
        <v/>
      </c>
      <c r="F279" s="24" t="str">
        <f t="shared" ca="1" si="18"/>
        <v/>
      </c>
    </row>
    <row r="280" spans="1:6">
      <c r="A280" s="41" t="s">
        <v>311</v>
      </c>
      <c r="B280" s="25" t="s">
        <v>190</v>
      </c>
      <c r="C280" s="40">
        <v>8000</v>
      </c>
      <c r="D280">
        <f t="shared" ca="1" si="17"/>
        <v>0</v>
      </c>
      <c r="E280" t="str">
        <f ca="1">IF(D280=0,"",COUNTIF($D$2:D280,"&gt;0"))</f>
        <v/>
      </c>
      <c r="F280" s="24" t="str">
        <f t="shared" ca="1" si="18"/>
        <v/>
      </c>
    </row>
    <row r="281" spans="1:6">
      <c r="A281" s="41" t="s">
        <v>312</v>
      </c>
      <c r="B281" s="25" t="s">
        <v>190</v>
      </c>
      <c r="C281" s="40">
        <v>35000</v>
      </c>
      <c r="D281">
        <f t="shared" ca="1" si="17"/>
        <v>0</v>
      </c>
      <c r="E281" t="str">
        <f ca="1">IF(D281=0,"",COUNTIF($D$2:D281,"&gt;0"))</f>
        <v/>
      </c>
      <c r="F281" s="24" t="str">
        <f t="shared" ca="1" si="18"/>
        <v/>
      </c>
    </row>
    <row r="282" spans="1:6">
      <c r="A282" s="41" t="s">
        <v>313</v>
      </c>
      <c r="B282" s="25" t="s">
        <v>190</v>
      </c>
      <c r="C282" s="40">
        <v>75000</v>
      </c>
      <c r="D282">
        <f t="shared" ca="1" si="17"/>
        <v>0</v>
      </c>
      <c r="E282" t="str">
        <f ca="1">IF(D282=0,"",COUNTIF($D$2:D282,"&gt;0"))</f>
        <v/>
      </c>
      <c r="F282" s="24" t="str">
        <f t="shared" ca="1" si="18"/>
        <v/>
      </c>
    </row>
    <row r="283" spans="1:6">
      <c r="A283" s="39" t="s">
        <v>314</v>
      </c>
      <c r="B283" s="22"/>
      <c r="C283" s="43">
        <v>0</v>
      </c>
      <c r="D283">
        <f t="shared" ca="1" si="17"/>
        <v>0</v>
      </c>
      <c r="E283" t="str">
        <f ca="1">IF(D283=0,"",COUNTIF($D$2:D283,"&gt;0"))</f>
        <v/>
      </c>
      <c r="F283" s="24" t="str">
        <f t="shared" ca="1" si="18"/>
        <v/>
      </c>
    </row>
    <row r="284" spans="1:6">
      <c r="A284" s="41" t="s">
        <v>315</v>
      </c>
      <c r="B284" s="25" t="s">
        <v>190</v>
      </c>
      <c r="C284" s="40">
        <v>10000</v>
      </c>
      <c r="D284">
        <f t="shared" ca="1" si="17"/>
        <v>0</v>
      </c>
      <c r="E284" t="str">
        <f ca="1">IF(D284=0,"",COUNTIF($D$2:D284,"&gt;0"))</f>
        <v/>
      </c>
      <c r="F284" s="24" t="str">
        <f t="shared" ca="1" si="18"/>
        <v/>
      </c>
    </row>
    <row r="285" spans="1:6">
      <c r="A285" s="41" t="s">
        <v>316</v>
      </c>
      <c r="B285" s="25" t="s">
        <v>190</v>
      </c>
      <c r="C285" s="40">
        <v>20000</v>
      </c>
      <c r="D285">
        <f t="shared" ca="1" si="17"/>
        <v>0</v>
      </c>
      <c r="E285" t="str">
        <f ca="1">IF(D285=0,"",COUNTIF($D$2:D285,"&gt;0"))</f>
        <v/>
      </c>
      <c r="F285" s="24" t="str">
        <f t="shared" ca="1" si="18"/>
        <v/>
      </c>
    </row>
    <row r="286" spans="1:6">
      <c r="A286" s="41" t="s">
        <v>317</v>
      </c>
      <c r="B286" s="25" t="s">
        <v>190</v>
      </c>
      <c r="C286" s="40">
        <v>30000</v>
      </c>
      <c r="D286">
        <f t="shared" ca="1" si="17"/>
        <v>0</v>
      </c>
      <c r="E286" t="str">
        <f ca="1">IF(D286=0,"",COUNTIF($D$2:D286,"&gt;0"))</f>
        <v/>
      </c>
      <c r="F286" s="24" t="str">
        <f t="shared" ca="1" si="18"/>
        <v/>
      </c>
    </row>
    <row r="287" spans="1:6">
      <c r="A287" s="41" t="s">
        <v>318</v>
      </c>
      <c r="B287" s="25" t="s">
        <v>190</v>
      </c>
      <c r="C287" s="40">
        <v>40000</v>
      </c>
      <c r="D287">
        <f t="shared" ca="1" si="17"/>
        <v>0</v>
      </c>
      <c r="E287" t="str">
        <f ca="1">IF(D287=0,"",COUNTIF($D$2:D287,"&gt;0"))</f>
        <v/>
      </c>
      <c r="F287" s="24" t="str">
        <f t="shared" ca="1" si="18"/>
        <v/>
      </c>
    </row>
    <row r="288" spans="1:6">
      <c r="A288" s="41" t="s">
        <v>319</v>
      </c>
      <c r="B288" s="25" t="s">
        <v>190</v>
      </c>
      <c r="C288" s="40">
        <v>60000</v>
      </c>
      <c r="D288">
        <f t="shared" ca="1" si="17"/>
        <v>0</v>
      </c>
      <c r="E288" t="str">
        <f ca="1">IF(D288=0,"",COUNTIF($D$2:D288,"&gt;0"))</f>
        <v/>
      </c>
      <c r="F288" s="24" t="str">
        <f t="shared" ca="1" si="18"/>
        <v/>
      </c>
    </row>
    <row r="289" spans="1:6">
      <c r="A289" s="41" t="s">
        <v>320</v>
      </c>
      <c r="B289" s="25" t="s">
        <v>190</v>
      </c>
      <c r="C289" s="40">
        <v>90000</v>
      </c>
      <c r="D289">
        <f t="shared" ca="1" si="17"/>
        <v>0</v>
      </c>
      <c r="E289" t="str">
        <f ca="1">IF(D289=0,"",COUNTIF($D$2:D289,"&gt;0"))</f>
        <v/>
      </c>
      <c r="F289" s="24" t="str">
        <f t="shared" ca="1" si="18"/>
        <v/>
      </c>
    </row>
    <row r="290" spans="1:6">
      <c r="A290" s="41" t="s">
        <v>321</v>
      </c>
      <c r="B290" s="25" t="s">
        <v>190</v>
      </c>
      <c r="C290" s="40">
        <v>120000</v>
      </c>
      <c r="D290">
        <f t="shared" ca="1" si="17"/>
        <v>0</v>
      </c>
      <c r="E290" t="str">
        <f ca="1">IF(D290=0,"",COUNTIF($D$2:D290,"&gt;0"))</f>
        <v/>
      </c>
      <c r="F290" s="24" t="str">
        <f t="shared" ca="1" si="18"/>
        <v/>
      </c>
    </row>
    <row r="291" spans="1:6">
      <c r="A291" s="41" t="s">
        <v>322</v>
      </c>
      <c r="B291" s="25" t="s">
        <v>190</v>
      </c>
      <c r="C291" s="40">
        <v>200000</v>
      </c>
      <c r="D291">
        <f t="shared" ca="1" si="17"/>
        <v>0</v>
      </c>
      <c r="E291" t="str">
        <f ca="1">IF(D291=0,"",COUNTIF($D$2:D291,"&gt;0"))</f>
        <v/>
      </c>
      <c r="F291" s="24" t="str">
        <f t="shared" ca="1" si="18"/>
        <v/>
      </c>
    </row>
    <row r="292" spans="1:6">
      <c r="A292" s="41" t="s">
        <v>323</v>
      </c>
      <c r="B292" s="25" t="s">
        <v>190</v>
      </c>
      <c r="C292" s="40">
        <v>400000</v>
      </c>
      <c r="D292">
        <f t="shared" ca="1" si="17"/>
        <v>0</v>
      </c>
      <c r="E292" t="str">
        <f ca="1">IF(D292=0,"",COUNTIF($D$2:D292,"&gt;0"))</f>
        <v/>
      </c>
      <c r="F292" s="24" t="str">
        <f t="shared" ca="1" si="18"/>
        <v/>
      </c>
    </row>
    <row r="293" spans="1:6">
      <c r="A293" s="41" t="s">
        <v>324</v>
      </c>
      <c r="B293" s="25" t="s">
        <v>190</v>
      </c>
      <c r="C293" s="40">
        <v>850000</v>
      </c>
      <c r="D293">
        <f t="shared" ca="1" si="17"/>
        <v>0</v>
      </c>
      <c r="E293" t="str">
        <f ca="1">IF(D293=0,"",COUNTIF($D$2:D293,"&gt;0"))</f>
        <v/>
      </c>
      <c r="F293" s="24" t="str">
        <f t="shared" ca="1" si="18"/>
        <v/>
      </c>
    </row>
    <row r="294" spans="1:6">
      <c r="A294" s="39" t="s">
        <v>325</v>
      </c>
      <c r="B294" s="22"/>
      <c r="C294" s="43">
        <v>0</v>
      </c>
      <c r="D294">
        <f t="shared" ca="1" si="17"/>
        <v>0</v>
      </c>
      <c r="E294" t="str">
        <f ca="1">IF(D294=0,"",COUNTIF($D$2:D294,"&gt;0"))</f>
        <v/>
      </c>
      <c r="F294" s="24" t="str">
        <f t="shared" ca="1" si="18"/>
        <v/>
      </c>
    </row>
    <row r="295" spans="1:6">
      <c r="A295" s="41" t="s">
        <v>326</v>
      </c>
      <c r="B295" s="25" t="s">
        <v>190</v>
      </c>
      <c r="C295" s="40">
        <v>10000</v>
      </c>
      <c r="D295">
        <f t="shared" ca="1" si="17"/>
        <v>0</v>
      </c>
      <c r="E295" t="str">
        <f ca="1">IF(D295=0,"",COUNTIF($D$2:D295,"&gt;0"))</f>
        <v/>
      </c>
      <c r="F295" s="24" t="str">
        <f t="shared" ca="1" si="18"/>
        <v/>
      </c>
    </row>
    <row r="296" spans="1:6">
      <c r="A296" s="41" t="s">
        <v>327</v>
      </c>
      <c r="B296" s="25" t="s">
        <v>190</v>
      </c>
      <c r="C296" s="40">
        <v>20000</v>
      </c>
      <c r="D296">
        <f t="shared" ca="1" si="17"/>
        <v>0</v>
      </c>
      <c r="E296" t="str">
        <f ca="1">IF(D296=0,"",COUNTIF($D$2:D296,"&gt;0"))</f>
        <v/>
      </c>
      <c r="F296" s="24" t="str">
        <f t="shared" ca="1" si="18"/>
        <v/>
      </c>
    </row>
    <row r="297" spans="1:6">
      <c r="A297" s="41" t="s">
        <v>328</v>
      </c>
      <c r="B297" s="25" t="s">
        <v>190</v>
      </c>
      <c r="C297" s="40">
        <v>30000</v>
      </c>
      <c r="D297">
        <f t="shared" ca="1" si="17"/>
        <v>0</v>
      </c>
      <c r="E297" t="str">
        <f ca="1">IF(D297=0,"",COUNTIF($D$2:D297,"&gt;0"))</f>
        <v/>
      </c>
      <c r="F297" s="24" t="str">
        <f t="shared" ca="1" si="18"/>
        <v/>
      </c>
    </row>
    <row r="298" spans="1:6">
      <c r="A298" s="41" t="s">
        <v>329</v>
      </c>
      <c r="B298" s="25" t="s">
        <v>190</v>
      </c>
      <c r="C298" s="40">
        <v>40000</v>
      </c>
      <c r="D298">
        <f t="shared" ca="1" si="17"/>
        <v>0</v>
      </c>
      <c r="E298" t="str">
        <f ca="1">IF(D298=0,"",COUNTIF($D$2:D298,"&gt;0"))</f>
        <v/>
      </c>
      <c r="F298" s="24" t="str">
        <f t="shared" ca="1" si="18"/>
        <v/>
      </c>
    </row>
    <row r="299" spans="1:6">
      <c r="A299" s="41" t="s">
        <v>330</v>
      </c>
      <c r="B299" s="25" t="s">
        <v>190</v>
      </c>
      <c r="C299" s="40">
        <v>60000</v>
      </c>
      <c r="D299">
        <f t="shared" ca="1" si="17"/>
        <v>0</v>
      </c>
      <c r="E299" t="str">
        <f ca="1">IF(D299=0,"",COUNTIF($D$2:D299,"&gt;0"))</f>
        <v/>
      </c>
      <c r="F299" s="24" t="str">
        <f t="shared" ca="1" si="18"/>
        <v/>
      </c>
    </row>
    <row r="300" spans="1:6">
      <c r="A300" s="41" t="s">
        <v>331</v>
      </c>
      <c r="B300" s="25" t="s">
        <v>190</v>
      </c>
      <c r="C300" s="40">
        <v>90000</v>
      </c>
      <c r="D300">
        <f t="shared" ca="1" si="17"/>
        <v>0</v>
      </c>
      <c r="E300" t="str">
        <f ca="1">IF(D300=0,"",COUNTIF($D$2:D300,"&gt;0"))</f>
        <v/>
      </c>
      <c r="F300" s="24" t="str">
        <f t="shared" ca="1" si="18"/>
        <v/>
      </c>
    </row>
    <row r="301" spans="1:6">
      <c r="A301" s="41" t="s">
        <v>332</v>
      </c>
      <c r="B301" s="25" t="s">
        <v>190</v>
      </c>
      <c r="C301" s="40">
        <v>120000</v>
      </c>
      <c r="D301">
        <f t="shared" ca="1" si="17"/>
        <v>0</v>
      </c>
      <c r="E301" t="str">
        <f ca="1">IF(D301=0,"",COUNTIF($D$2:D301,"&gt;0"))</f>
        <v/>
      </c>
      <c r="F301" s="24" t="str">
        <f t="shared" ca="1" si="18"/>
        <v/>
      </c>
    </row>
    <row r="302" spans="1:6">
      <c r="A302" s="41" t="s">
        <v>333</v>
      </c>
      <c r="B302" s="25" t="s">
        <v>190</v>
      </c>
      <c r="C302" s="40">
        <v>200000</v>
      </c>
      <c r="D302">
        <f t="shared" ca="1" si="17"/>
        <v>0</v>
      </c>
      <c r="E302" t="str">
        <f ca="1">IF(D302=0,"",COUNTIF($D$2:D302,"&gt;0"))</f>
        <v/>
      </c>
      <c r="F302" s="24" t="str">
        <f t="shared" ref="F302:F333" ca="1" si="19">IFERROR(INDEX(A:A,MATCH(ROW(D301),E:E,0)),"")</f>
        <v/>
      </c>
    </row>
    <row r="303" spans="1:6">
      <c r="A303" s="41" t="s">
        <v>334</v>
      </c>
      <c r="B303" s="25" t="s">
        <v>190</v>
      </c>
      <c r="C303" s="40">
        <v>400000</v>
      </c>
      <c r="D303">
        <f t="shared" ca="1" si="17"/>
        <v>0</v>
      </c>
      <c r="E303" t="str">
        <f ca="1">IF(D303=0,"",COUNTIF($D$2:D303,"&gt;0"))</f>
        <v/>
      </c>
      <c r="F303" s="24" t="str">
        <f t="shared" ca="1" si="19"/>
        <v/>
      </c>
    </row>
    <row r="304" spans="1:6">
      <c r="A304" s="41" t="s">
        <v>335</v>
      </c>
      <c r="B304" s="25" t="s">
        <v>190</v>
      </c>
      <c r="C304" s="40">
        <v>850000</v>
      </c>
      <c r="D304">
        <f t="shared" ca="1" si="17"/>
        <v>0</v>
      </c>
      <c r="E304" t="str">
        <f ca="1">IF(D304=0,"",COUNTIF($D$2:D304,"&gt;0"))</f>
        <v/>
      </c>
      <c r="F304" s="24" t="str">
        <f t="shared" ca="1" si="19"/>
        <v/>
      </c>
    </row>
    <row r="305" spans="1:6">
      <c r="A305" s="39" t="s">
        <v>336</v>
      </c>
      <c r="B305" s="22"/>
      <c r="C305" s="43">
        <v>0</v>
      </c>
      <c r="D305">
        <f t="shared" ca="1" si="17"/>
        <v>0</v>
      </c>
      <c r="E305" t="str">
        <f ca="1">IF(D305=0,"",COUNTIF($D$2:D305,"&gt;0"))</f>
        <v/>
      </c>
      <c r="F305" s="24" t="str">
        <f t="shared" ca="1" si="19"/>
        <v/>
      </c>
    </row>
    <row r="306" spans="1:6">
      <c r="A306" s="41" t="s">
        <v>337</v>
      </c>
      <c r="B306" s="25" t="s">
        <v>190</v>
      </c>
      <c r="C306" s="40">
        <v>10000</v>
      </c>
      <c r="D306">
        <f t="shared" ca="1" si="17"/>
        <v>0</v>
      </c>
      <c r="E306" t="str">
        <f ca="1">IF(D306=0,"",COUNTIF($D$2:D306,"&gt;0"))</f>
        <v/>
      </c>
      <c r="F306" s="24" t="str">
        <f t="shared" ca="1" si="19"/>
        <v/>
      </c>
    </row>
    <row r="307" spans="1:6">
      <c r="A307" s="41" t="s">
        <v>338</v>
      </c>
      <c r="B307" s="25" t="s">
        <v>190</v>
      </c>
      <c r="C307" s="40">
        <v>35000</v>
      </c>
      <c r="D307">
        <f t="shared" ca="1" si="17"/>
        <v>0</v>
      </c>
      <c r="E307" t="str">
        <f ca="1">IF(D307=0,"",COUNTIF($D$2:D307,"&gt;0"))</f>
        <v/>
      </c>
      <c r="F307" s="24" t="str">
        <f t="shared" ca="1" si="19"/>
        <v/>
      </c>
    </row>
    <row r="308" spans="1:6">
      <c r="A308" s="41" t="s">
        <v>339</v>
      </c>
      <c r="B308" s="25" t="s">
        <v>190</v>
      </c>
      <c r="C308" s="40">
        <v>55000</v>
      </c>
      <c r="D308">
        <f t="shared" ca="1" si="17"/>
        <v>0</v>
      </c>
      <c r="E308" t="str">
        <f ca="1">IF(D308=0,"",COUNTIF($D$2:D308,"&gt;0"))</f>
        <v/>
      </c>
      <c r="F308" s="24" t="str">
        <f t="shared" ca="1" si="19"/>
        <v/>
      </c>
    </row>
    <row r="309" spans="1:6">
      <c r="A309" s="41" t="s">
        <v>340</v>
      </c>
      <c r="B309" s="25" t="s">
        <v>190</v>
      </c>
      <c r="C309" s="40">
        <v>95000</v>
      </c>
      <c r="D309">
        <f t="shared" ca="1" si="17"/>
        <v>0</v>
      </c>
      <c r="E309" t="str">
        <f ca="1">IF(D309=0,"",COUNTIF($D$2:D309,"&gt;0"))</f>
        <v/>
      </c>
      <c r="F309" s="24" t="str">
        <f t="shared" ca="1" si="19"/>
        <v/>
      </c>
    </row>
    <row r="310" spans="1:6">
      <c r="A310" s="391" t="s">
        <v>341</v>
      </c>
      <c r="B310" s="392"/>
      <c r="C310" s="392"/>
      <c r="D310">
        <f t="shared" ca="1" si="17"/>
        <v>0</v>
      </c>
      <c r="E310" t="str">
        <f ca="1">IF(D310=0,"",COUNTIF($D$2:D310,"&gt;0"))</f>
        <v/>
      </c>
      <c r="F310" s="24" t="str">
        <f t="shared" ca="1" si="19"/>
        <v/>
      </c>
    </row>
    <row r="311" spans="1:6">
      <c r="A311" s="44" t="s">
        <v>342</v>
      </c>
      <c r="B311" s="25"/>
      <c r="C311" s="45"/>
      <c r="D311">
        <f t="shared" ca="1" si="17"/>
        <v>0</v>
      </c>
      <c r="E311" t="str">
        <f ca="1">IF(D311=0,"",COUNTIF($D$2:D311,"&gt;0"))</f>
        <v/>
      </c>
      <c r="F311" s="24" t="str">
        <f t="shared" ca="1" si="19"/>
        <v/>
      </c>
    </row>
    <row r="312" spans="1:6">
      <c r="A312" s="46" t="s">
        <v>823</v>
      </c>
      <c r="B312" s="25"/>
      <c r="C312" s="45"/>
      <c r="D312">
        <f t="shared" ca="1" si="17"/>
        <v>0</v>
      </c>
      <c r="E312" t="str">
        <f ca="1">IF(D312=0,"",COUNTIF($D$2:D312,"&gt;0"))</f>
        <v/>
      </c>
      <c r="F312" s="24" t="str">
        <f t="shared" ca="1" si="19"/>
        <v/>
      </c>
    </row>
    <row r="313" spans="1:6">
      <c r="A313" s="47" t="s">
        <v>824</v>
      </c>
      <c r="B313" s="25" t="s">
        <v>343</v>
      </c>
      <c r="C313" s="45" t="s">
        <v>344</v>
      </c>
      <c r="D313">
        <f t="shared" ca="1" si="17"/>
        <v>0</v>
      </c>
      <c r="E313" t="str">
        <f ca="1">IF(D313=0,"",COUNTIF($D$2:D313,"&gt;0"))</f>
        <v/>
      </c>
      <c r="F313" s="24" t="str">
        <f t="shared" ca="1" si="19"/>
        <v/>
      </c>
    </row>
    <row r="314" spans="1:6">
      <c r="A314" s="47" t="s">
        <v>825</v>
      </c>
      <c r="B314" s="25" t="s">
        <v>343</v>
      </c>
      <c r="C314" s="45" t="s">
        <v>345</v>
      </c>
      <c r="D314">
        <f t="shared" ref="D314:D376" ca="1" si="20">IFERROR(SEARCH(INDIRECT(CELL("address")),A314),0)</f>
        <v>0</v>
      </c>
      <c r="E314" t="str">
        <f ca="1">IF(D314=0,"",COUNTIF($D$2:D314,"&gt;0"))</f>
        <v/>
      </c>
      <c r="F314" s="24" t="str">
        <f t="shared" ca="1" si="19"/>
        <v/>
      </c>
    </row>
    <row r="315" spans="1:6">
      <c r="A315" s="42" t="s">
        <v>826</v>
      </c>
      <c r="B315" s="25" t="s">
        <v>343</v>
      </c>
      <c r="C315" s="45" t="s">
        <v>346</v>
      </c>
      <c r="D315">
        <f t="shared" ca="1" si="20"/>
        <v>0</v>
      </c>
      <c r="E315" t="str">
        <f ca="1">IF(D315=0,"",COUNTIF($D$2:D315,"&gt;0"))</f>
        <v/>
      </c>
      <c r="F315" s="24" t="str">
        <f t="shared" ca="1" si="19"/>
        <v/>
      </c>
    </row>
    <row r="316" spans="1:6">
      <c r="A316" s="47" t="s">
        <v>827</v>
      </c>
      <c r="B316" s="25" t="s">
        <v>343</v>
      </c>
      <c r="C316" s="45" t="s">
        <v>346</v>
      </c>
      <c r="D316">
        <f t="shared" ca="1" si="20"/>
        <v>0</v>
      </c>
      <c r="E316" t="str">
        <f ca="1">IF(D316=0,"",COUNTIF($D$2:D316,"&gt;0"))</f>
        <v/>
      </c>
      <c r="F316" s="24" t="str">
        <f t="shared" ca="1" si="19"/>
        <v/>
      </c>
    </row>
    <row r="317" spans="1:6">
      <c r="A317" s="41" t="s">
        <v>347</v>
      </c>
      <c r="B317" s="25" t="s">
        <v>348</v>
      </c>
      <c r="C317" s="45" t="s">
        <v>349</v>
      </c>
      <c r="D317">
        <f t="shared" ca="1" si="20"/>
        <v>0</v>
      </c>
      <c r="E317" t="str">
        <f ca="1">IF(D317=0,"",COUNTIF($D$2:D317,"&gt;0"))</f>
        <v/>
      </c>
      <c r="F317" s="24" t="str">
        <f t="shared" ca="1" si="19"/>
        <v/>
      </c>
    </row>
    <row r="318" spans="1:6">
      <c r="A318" s="46" t="s">
        <v>350</v>
      </c>
      <c r="B318" s="25" t="s">
        <v>343</v>
      </c>
      <c r="C318" s="45" t="s">
        <v>351</v>
      </c>
      <c r="D318">
        <f t="shared" ca="1" si="20"/>
        <v>0</v>
      </c>
      <c r="E318" t="str">
        <f ca="1">IF(D318=0,"",COUNTIF($D$2:D318,"&gt;0"))</f>
        <v/>
      </c>
      <c r="F318" s="24" t="str">
        <f t="shared" ca="1" si="19"/>
        <v/>
      </c>
    </row>
    <row r="319" spans="1:6">
      <c r="A319" s="46" t="s">
        <v>352</v>
      </c>
      <c r="B319" s="25" t="s">
        <v>343</v>
      </c>
      <c r="C319" s="45" t="s">
        <v>353</v>
      </c>
      <c r="D319">
        <f t="shared" ca="1" si="20"/>
        <v>0</v>
      </c>
      <c r="E319" t="str">
        <f ca="1">IF(D319=0,"",COUNTIF($D$2:D319,"&gt;0"))</f>
        <v/>
      </c>
      <c r="F319" s="24" t="str">
        <f t="shared" ca="1" si="19"/>
        <v/>
      </c>
    </row>
    <row r="320" spans="1:6">
      <c r="A320" s="46" t="s">
        <v>354</v>
      </c>
      <c r="B320" s="25" t="s">
        <v>343</v>
      </c>
      <c r="C320" s="45" t="s">
        <v>355</v>
      </c>
      <c r="D320">
        <f t="shared" ca="1" si="20"/>
        <v>0</v>
      </c>
      <c r="E320" t="str">
        <f ca="1">IF(D320=0,"",COUNTIF($D$2:D320,"&gt;0"))</f>
        <v/>
      </c>
      <c r="F320" s="24" t="str">
        <f t="shared" ca="1" si="19"/>
        <v/>
      </c>
    </row>
    <row r="321" spans="1:6">
      <c r="A321" s="46" t="s">
        <v>356</v>
      </c>
      <c r="B321" s="25" t="s">
        <v>343</v>
      </c>
      <c r="C321" s="45" t="s">
        <v>357</v>
      </c>
      <c r="D321">
        <f t="shared" ca="1" si="20"/>
        <v>0</v>
      </c>
      <c r="E321" t="str">
        <f ca="1">IF(D321=0,"",COUNTIF($D$2:D321,"&gt;0"))</f>
        <v/>
      </c>
      <c r="F321" s="24" t="str">
        <f t="shared" ca="1" si="19"/>
        <v/>
      </c>
    </row>
    <row r="322" spans="1:6">
      <c r="A322" s="46" t="s">
        <v>358</v>
      </c>
      <c r="B322" s="25" t="s">
        <v>343</v>
      </c>
      <c r="C322" s="45" t="s">
        <v>359</v>
      </c>
      <c r="D322">
        <f t="shared" ca="1" si="20"/>
        <v>0</v>
      </c>
      <c r="E322" t="str">
        <f ca="1">IF(D322=0,"",COUNTIF($D$2:D322,"&gt;0"))</f>
        <v/>
      </c>
      <c r="F322" s="24" t="str">
        <f t="shared" ca="1" si="19"/>
        <v/>
      </c>
    </row>
    <row r="323" spans="1:6">
      <c r="A323" s="46" t="s">
        <v>360</v>
      </c>
      <c r="B323" s="25" t="s">
        <v>343</v>
      </c>
      <c r="C323" s="45" t="s">
        <v>361</v>
      </c>
      <c r="D323">
        <f t="shared" ca="1" si="20"/>
        <v>0</v>
      </c>
      <c r="E323" t="str">
        <f ca="1">IF(D323=0,"",COUNTIF($D$2:D323,"&gt;0"))</f>
        <v/>
      </c>
      <c r="F323" s="24" t="str">
        <f t="shared" ca="1" si="19"/>
        <v/>
      </c>
    </row>
    <row r="324" spans="1:6">
      <c r="A324" s="46" t="s">
        <v>362</v>
      </c>
      <c r="B324" s="25" t="s">
        <v>343</v>
      </c>
      <c r="C324" s="45" t="s">
        <v>363</v>
      </c>
      <c r="D324">
        <f t="shared" ca="1" si="20"/>
        <v>0</v>
      </c>
      <c r="E324" t="str">
        <f ca="1">IF(D324=0,"",COUNTIF($D$2:D324,"&gt;0"))</f>
        <v/>
      </c>
      <c r="F324" s="24" t="str">
        <f t="shared" ca="1" si="19"/>
        <v/>
      </c>
    </row>
    <row r="325" spans="1:6">
      <c r="A325" s="44" t="s">
        <v>364</v>
      </c>
      <c r="B325" s="25"/>
      <c r="C325" s="45"/>
      <c r="D325">
        <f t="shared" ca="1" si="20"/>
        <v>0</v>
      </c>
      <c r="E325" t="str">
        <f ca="1">IF(D325=0,"",COUNTIF($D$2:D325,"&gt;0"))</f>
        <v/>
      </c>
      <c r="F325" s="24" t="str">
        <f t="shared" ca="1" si="19"/>
        <v/>
      </c>
    </row>
    <row r="326" spans="1:6">
      <c r="A326" s="46" t="s">
        <v>828</v>
      </c>
      <c r="B326" s="25" t="s">
        <v>343</v>
      </c>
      <c r="C326" s="45" t="s">
        <v>365</v>
      </c>
      <c r="D326">
        <f t="shared" ca="1" si="20"/>
        <v>0</v>
      </c>
      <c r="E326" t="str">
        <f ca="1">IF(D326=0,"",COUNTIF($D$2:D326,"&gt;0"))</f>
        <v/>
      </c>
      <c r="F326" s="24" t="str">
        <f t="shared" ca="1" si="19"/>
        <v/>
      </c>
    </row>
    <row r="327" spans="1:6">
      <c r="A327" s="46" t="s">
        <v>366</v>
      </c>
      <c r="B327" s="25" t="s">
        <v>343</v>
      </c>
      <c r="C327" s="45" t="s">
        <v>367</v>
      </c>
      <c r="D327">
        <f t="shared" ca="1" si="20"/>
        <v>0</v>
      </c>
      <c r="E327" t="str">
        <f ca="1">IF(D327=0,"",COUNTIF($D$2:D327,"&gt;0"))</f>
        <v/>
      </c>
      <c r="F327" s="24" t="str">
        <f t="shared" ca="1" si="19"/>
        <v/>
      </c>
    </row>
    <row r="328" spans="1:6">
      <c r="A328" s="46" t="s">
        <v>368</v>
      </c>
      <c r="B328" s="25" t="s">
        <v>343</v>
      </c>
      <c r="C328" s="45" t="s">
        <v>355</v>
      </c>
      <c r="D328">
        <f t="shared" ca="1" si="20"/>
        <v>0</v>
      </c>
      <c r="E328" t="str">
        <f ca="1">IF(D328=0,"",COUNTIF($D$2:D328,"&gt;0"))</f>
        <v/>
      </c>
      <c r="F328" s="24" t="str">
        <f t="shared" ca="1" si="19"/>
        <v/>
      </c>
    </row>
    <row r="329" spans="1:6">
      <c r="A329" s="46" t="s">
        <v>369</v>
      </c>
      <c r="B329" s="25" t="s">
        <v>343</v>
      </c>
      <c r="C329" s="45" t="s">
        <v>370</v>
      </c>
      <c r="D329">
        <f t="shared" ca="1" si="20"/>
        <v>0</v>
      </c>
      <c r="E329" t="str">
        <f ca="1">IF(D329=0,"",COUNTIF($D$2:D329,"&gt;0"))</f>
        <v/>
      </c>
      <c r="F329" s="24" t="str">
        <f t="shared" ca="1" si="19"/>
        <v/>
      </c>
    </row>
    <row r="330" spans="1:6">
      <c r="A330" s="46" t="s">
        <v>371</v>
      </c>
      <c r="B330" s="25" t="s">
        <v>343</v>
      </c>
      <c r="C330" s="45" t="s">
        <v>372</v>
      </c>
      <c r="D330">
        <f t="shared" ca="1" si="20"/>
        <v>0</v>
      </c>
      <c r="E330" t="str">
        <f ca="1">IF(D330=0,"",COUNTIF($D$2:D330,"&gt;0"))</f>
        <v/>
      </c>
      <c r="F330" s="24" t="str">
        <f t="shared" ca="1" si="19"/>
        <v/>
      </c>
    </row>
    <row r="331" spans="1:6">
      <c r="A331" s="46" t="s">
        <v>373</v>
      </c>
      <c r="B331" s="25" t="s">
        <v>343</v>
      </c>
      <c r="C331" s="45" t="s">
        <v>374</v>
      </c>
      <c r="D331">
        <f t="shared" ca="1" si="20"/>
        <v>0</v>
      </c>
      <c r="E331" t="str">
        <f ca="1">IF(D331=0,"",COUNTIF($D$2:D331,"&gt;0"))</f>
        <v/>
      </c>
      <c r="F331" s="24" t="str">
        <f t="shared" ca="1" si="19"/>
        <v/>
      </c>
    </row>
    <row r="332" spans="1:6">
      <c r="A332" s="46" t="s">
        <v>375</v>
      </c>
      <c r="B332" s="25" t="s">
        <v>343</v>
      </c>
      <c r="C332" s="45" t="s">
        <v>376</v>
      </c>
      <c r="D332">
        <f t="shared" ca="1" si="20"/>
        <v>0</v>
      </c>
      <c r="E332" t="str">
        <f ca="1">IF(D332=0,"",COUNTIF($D$2:D332,"&gt;0"))</f>
        <v/>
      </c>
      <c r="F332" s="24" t="str">
        <f t="shared" ca="1" si="19"/>
        <v/>
      </c>
    </row>
    <row r="333" spans="1:6">
      <c r="A333" s="46" t="s">
        <v>377</v>
      </c>
      <c r="B333" s="25" t="s">
        <v>343</v>
      </c>
      <c r="C333" s="45" t="s">
        <v>378</v>
      </c>
      <c r="D333">
        <f t="shared" ca="1" si="20"/>
        <v>0</v>
      </c>
      <c r="E333" t="str">
        <f ca="1">IF(D333=0,"",COUNTIF($D$2:D333,"&gt;0"))</f>
        <v/>
      </c>
      <c r="F333" s="24" t="str">
        <f t="shared" ca="1" si="19"/>
        <v/>
      </c>
    </row>
    <row r="334" spans="1:6">
      <c r="A334" s="44" t="s">
        <v>379</v>
      </c>
      <c r="B334" s="25"/>
      <c r="C334" s="45"/>
      <c r="D334">
        <f t="shared" ca="1" si="20"/>
        <v>0</v>
      </c>
      <c r="E334" t="str">
        <f ca="1">IF(D334=0,"",COUNTIF($D$2:D334,"&gt;0"))</f>
        <v/>
      </c>
      <c r="F334" s="24" t="str">
        <f t="shared" ref="F334:F362" ca="1" si="21">IFERROR(INDEX(A:A,MATCH(ROW(D333),E:E,0)),"")</f>
        <v/>
      </c>
    </row>
    <row r="335" spans="1:6">
      <c r="A335" s="46" t="s">
        <v>829</v>
      </c>
      <c r="B335" s="25" t="s">
        <v>343</v>
      </c>
      <c r="C335" s="45" t="s">
        <v>365</v>
      </c>
      <c r="D335">
        <f t="shared" ca="1" si="20"/>
        <v>0</v>
      </c>
      <c r="E335" t="str">
        <f ca="1">IF(D335=0,"",COUNTIF($D$2:D335,"&gt;0"))</f>
        <v/>
      </c>
      <c r="F335" s="24" t="str">
        <f t="shared" ca="1" si="21"/>
        <v/>
      </c>
    </row>
    <row r="336" spans="1:6">
      <c r="A336" s="46" t="s">
        <v>380</v>
      </c>
      <c r="B336" s="25" t="s">
        <v>343</v>
      </c>
      <c r="C336" s="45" t="s">
        <v>367</v>
      </c>
      <c r="D336">
        <f t="shared" ca="1" si="20"/>
        <v>0</v>
      </c>
      <c r="E336" t="str">
        <f ca="1">IF(D336=0,"",COUNTIF($D$2:D336,"&gt;0"))</f>
        <v/>
      </c>
      <c r="F336" s="24" t="str">
        <f t="shared" ca="1" si="21"/>
        <v/>
      </c>
    </row>
    <row r="337" spans="1:6">
      <c r="A337" s="46" t="s">
        <v>381</v>
      </c>
      <c r="B337" s="25" t="s">
        <v>343</v>
      </c>
      <c r="C337" s="45" t="s">
        <v>355</v>
      </c>
      <c r="D337">
        <f t="shared" ca="1" si="20"/>
        <v>0</v>
      </c>
      <c r="E337" t="str">
        <f ca="1">IF(D337=0,"",COUNTIF($D$2:D337,"&gt;0"))</f>
        <v/>
      </c>
      <c r="F337" s="24" t="str">
        <f t="shared" ca="1" si="21"/>
        <v/>
      </c>
    </row>
    <row r="338" spans="1:6">
      <c r="A338" s="46" t="s">
        <v>382</v>
      </c>
      <c r="B338" s="25" t="s">
        <v>343</v>
      </c>
      <c r="C338" s="45" t="s">
        <v>370</v>
      </c>
      <c r="D338">
        <f t="shared" ca="1" si="20"/>
        <v>0</v>
      </c>
      <c r="E338" t="str">
        <f ca="1">IF(D338=0,"",COUNTIF($D$2:D338,"&gt;0"))</f>
        <v/>
      </c>
      <c r="F338" s="24" t="str">
        <f t="shared" ca="1" si="21"/>
        <v/>
      </c>
    </row>
    <row r="339" spans="1:6">
      <c r="A339" s="46" t="s">
        <v>383</v>
      </c>
      <c r="B339" s="25" t="s">
        <v>343</v>
      </c>
      <c r="C339" s="45" t="s">
        <v>372</v>
      </c>
      <c r="D339">
        <f t="shared" ca="1" si="20"/>
        <v>0</v>
      </c>
      <c r="E339" t="str">
        <f ca="1">IF(D339=0,"",COUNTIF($D$2:D339,"&gt;0"))</f>
        <v/>
      </c>
      <c r="F339" s="24" t="str">
        <f t="shared" ca="1" si="21"/>
        <v/>
      </c>
    </row>
    <row r="340" spans="1:6">
      <c r="A340" s="46" t="s">
        <v>384</v>
      </c>
      <c r="B340" s="25" t="s">
        <v>343</v>
      </c>
      <c r="C340" s="45" t="s">
        <v>374</v>
      </c>
      <c r="D340">
        <f t="shared" ca="1" si="20"/>
        <v>0</v>
      </c>
      <c r="E340" t="str">
        <f ca="1">IF(D340=0,"",COUNTIF($D$2:D340,"&gt;0"))</f>
        <v/>
      </c>
      <c r="F340" s="24" t="str">
        <f t="shared" ca="1" si="21"/>
        <v/>
      </c>
    </row>
    <row r="341" spans="1:6">
      <c r="A341" s="46" t="s">
        <v>385</v>
      </c>
      <c r="B341" s="25" t="s">
        <v>343</v>
      </c>
      <c r="C341" s="45" t="s">
        <v>376</v>
      </c>
      <c r="D341">
        <f t="shared" ca="1" si="20"/>
        <v>0</v>
      </c>
      <c r="E341" t="str">
        <f ca="1">IF(D341=0,"",COUNTIF($D$2:D341,"&gt;0"))</f>
        <v/>
      </c>
      <c r="F341" s="24" t="str">
        <f t="shared" ca="1" si="21"/>
        <v/>
      </c>
    </row>
    <row r="342" spans="1:6">
      <c r="A342" s="46" t="s">
        <v>386</v>
      </c>
      <c r="B342" s="25" t="s">
        <v>343</v>
      </c>
      <c r="C342" s="45" t="s">
        <v>378</v>
      </c>
      <c r="D342">
        <f t="shared" ca="1" si="20"/>
        <v>0</v>
      </c>
      <c r="E342" t="str">
        <f ca="1">IF(D342=0,"",COUNTIF($D$2:D342,"&gt;0"))</f>
        <v/>
      </c>
      <c r="F342" s="24" t="str">
        <f t="shared" ca="1" si="21"/>
        <v/>
      </c>
    </row>
    <row r="343" spans="1:6">
      <c r="A343" s="44" t="s">
        <v>387</v>
      </c>
      <c r="B343" s="25"/>
      <c r="C343" s="45"/>
      <c r="D343">
        <f t="shared" ca="1" si="20"/>
        <v>0</v>
      </c>
      <c r="E343" t="str">
        <f ca="1">IF(D343=0,"",COUNTIF($D$2:D343,"&gt;0"))</f>
        <v/>
      </c>
      <c r="F343" s="24" t="str">
        <f t="shared" ca="1" si="21"/>
        <v/>
      </c>
    </row>
    <row r="344" spans="1:6" ht="31.2">
      <c r="A344" s="47" t="s">
        <v>388</v>
      </c>
      <c r="B344" s="25" t="s">
        <v>343</v>
      </c>
      <c r="C344" s="45" t="s">
        <v>344</v>
      </c>
      <c r="D344">
        <f t="shared" ca="1" si="20"/>
        <v>0</v>
      </c>
      <c r="E344" t="str">
        <f ca="1">IF(D344=0,"",COUNTIF($D$2:D344,"&gt;0"))</f>
        <v/>
      </c>
      <c r="F344" s="24" t="str">
        <f t="shared" ca="1" si="21"/>
        <v/>
      </c>
    </row>
    <row r="345" spans="1:6">
      <c r="A345" s="46" t="s">
        <v>757</v>
      </c>
      <c r="B345" s="25" t="s">
        <v>343</v>
      </c>
      <c r="C345" s="45" t="s">
        <v>345</v>
      </c>
      <c r="D345">
        <f t="shared" ca="1" si="20"/>
        <v>0</v>
      </c>
      <c r="E345" t="str">
        <f ca="1">IF(D345=0,"",COUNTIF($D$2:D345,"&gt;0"))</f>
        <v/>
      </c>
      <c r="F345" s="24" t="str">
        <f t="shared" ca="1" si="21"/>
        <v/>
      </c>
    </row>
    <row r="346" spans="1:6">
      <c r="A346" s="46" t="s">
        <v>758</v>
      </c>
      <c r="B346" s="25" t="s">
        <v>343</v>
      </c>
      <c r="C346" s="45" t="s">
        <v>389</v>
      </c>
      <c r="D346">
        <f t="shared" ca="1" si="20"/>
        <v>0</v>
      </c>
      <c r="E346" t="str">
        <f ca="1">IF(D346=0,"",COUNTIF($D$2:D346,"&gt;0"))</f>
        <v/>
      </c>
      <c r="F346" s="24" t="str">
        <f t="shared" ca="1" si="21"/>
        <v/>
      </c>
    </row>
    <row r="347" spans="1:6">
      <c r="A347" s="46" t="s">
        <v>759</v>
      </c>
      <c r="B347" s="25" t="s">
        <v>343</v>
      </c>
      <c r="C347" s="45" t="s">
        <v>353</v>
      </c>
      <c r="D347">
        <f t="shared" ca="1" si="20"/>
        <v>0</v>
      </c>
      <c r="E347" t="str">
        <f ca="1">IF(D347=0,"",COUNTIF($D$2:D347,"&gt;0"))</f>
        <v/>
      </c>
      <c r="F347" s="24" t="str">
        <f t="shared" ca="1" si="21"/>
        <v/>
      </c>
    </row>
    <row r="348" spans="1:6">
      <c r="A348" s="46" t="s">
        <v>760</v>
      </c>
      <c r="B348" s="25" t="s">
        <v>343</v>
      </c>
      <c r="C348" s="45" t="s">
        <v>390</v>
      </c>
      <c r="D348">
        <f t="shared" ca="1" si="20"/>
        <v>0</v>
      </c>
      <c r="E348" t="str">
        <f ca="1">IF(D348=0,"",COUNTIF($D$2:D348,"&gt;0"))</f>
        <v/>
      </c>
      <c r="F348" s="24" t="str">
        <f t="shared" ca="1" si="21"/>
        <v/>
      </c>
    </row>
    <row r="349" spans="1:6">
      <c r="A349" s="46" t="s">
        <v>764</v>
      </c>
      <c r="B349" s="25" t="s">
        <v>343</v>
      </c>
      <c r="C349" s="45" t="s">
        <v>391</v>
      </c>
      <c r="D349">
        <f t="shared" ca="1" si="20"/>
        <v>0</v>
      </c>
      <c r="E349" t="str">
        <f ca="1">IF(D349=0,"",COUNTIF($D$2:D349,"&gt;0"))</f>
        <v/>
      </c>
      <c r="F349" s="24" t="str">
        <f t="shared" ca="1" si="21"/>
        <v/>
      </c>
    </row>
    <row r="350" spans="1:6">
      <c r="A350" s="46" t="s">
        <v>761</v>
      </c>
      <c r="B350" s="25" t="s">
        <v>343</v>
      </c>
      <c r="C350" s="45" t="s">
        <v>392</v>
      </c>
      <c r="D350">
        <f t="shared" ca="1" si="20"/>
        <v>0</v>
      </c>
      <c r="E350" t="str">
        <f ca="1">IF(D350=0,"",COUNTIF($D$2:D350,"&gt;0"))</f>
        <v/>
      </c>
      <c r="F350" s="24" t="str">
        <f t="shared" ca="1" si="21"/>
        <v/>
      </c>
    </row>
    <row r="351" spans="1:6">
      <c r="A351" s="46" t="s">
        <v>762</v>
      </c>
      <c r="B351" s="25" t="s">
        <v>343</v>
      </c>
      <c r="C351" s="45" t="s">
        <v>370</v>
      </c>
      <c r="D351">
        <f t="shared" ca="1" si="20"/>
        <v>0</v>
      </c>
      <c r="E351" t="str">
        <f ca="1">IF(D351=0,"",COUNTIF($D$2:D351,"&gt;0"))</f>
        <v/>
      </c>
      <c r="F351" s="24" t="str">
        <f t="shared" ca="1" si="21"/>
        <v/>
      </c>
    </row>
    <row r="352" spans="1:6">
      <c r="A352" s="46" t="s">
        <v>763</v>
      </c>
      <c r="B352" s="25" t="s">
        <v>343</v>
      </c>
      <c r="C352" s="45" t="s">
        <v>393</v>
      </c>
      <c r="D352">
        <f t="shared" ca="1" si="20"/>
        <v>0</v>
      </c>
      <c r="E352" t="str">
        <f ca="1">IF(D352=0,"",COUNTIF($D$2:D352,"&gt;0"))</f>
        <v/>
      </c>
      <c r="F352" s="24" t="str">
        <f t="shared" ca="1" si="21"/>
        <v/>
      </c>
    </row>
    <row r="353" spans="1:6">
      <c r="A353" s="44" t="s">
        <v>765</v>
      </c>
      <c r="B353" s="25"/>
      <c r="C353" s="45"/>
      <c r="D353">
        <f t="shared" ca="1" si="20"/>
        <v>0</v>
      </c>
      <c r="E353" t="str">
        <f ca="1">IF(D353=0,"",COUNTIF($D$2:D353,"&gt;0"))</f>
        <v/>
      </c>
      <c r="F353" s="24" t="str">
        <f t="shared" ca="1" si="21"/>
        <v/>
      </c>
    </row>
    <row r="354" spans="1:6">
      <c r="A354" s="47" t="s">
        <v>766</v>
      </c>
      <c r="B354" s="25" t="s">
        <v>343</v>
      </c>
      <c r="C354" s="45" t="s">
        <v>344</v>
      </c>
      <c r="D354">
        <f t="shared" ca="1" si="20"/>
        <v>0</v>
      </c>
      <c r="E354" t="str">
        <f ca="1">IF(D354=0,"",COUNTIF($D$2:D354,"&gt;0"))</f>
        <v/>
      </c>
      <c r="F354" s="24" t="str">
        <f t="shared" ca="1" si="21"/>
        <v/>
      </c>
    </row>
    <row r="355" spans="1:6">
      <c r="A355" s="46" t="s">
        <v>767</v>
      </c>
      <c r="B355" s="25" t="s">
        <v>343</v>
      </c>
      <c r="C355" s="45" t="s">
        <v>389</v>
      </c>
      <c r="D355">
        <f t="shared" ca="1" si="20"/>
        <v>0</v>
      </c>
      <c r="E355" t="str">
        <f ca="1">IF(D355=0,"",COUNTIF($D$2:D355,"&gt;0"))</f>
        <v/>
      </c>
      <c r="F355" s="24" t="str">
        <f t="shared" ca="1" si="21"/>
        <v/>
      </c>
    </row>
    <row r="356" spans="1:6">
      <c r="A356" s="46" t="s">
        <v>769</v>
      </c>
      <c r="B356" s="25" t="s">
        <v>348</v>
      </c>
      <c r="C356" s="45" t="s">
        <v>353</v>
      </c>
      <c r="D356">
        <f t="shared" ca="1" si="20"/>
        <v>0</v>
      </c>
      <c r="E356" t="str">
        <f ca="1">IF(D356=0,"",COUNTIF($D$2:D356,"&gt;0"))</f>
        <v/>
      </c>
      <c r="F356" s="24" t="str">
        <f t="shared" ca="1" si="21"/>
        <v/>
      </c>
    </row>
    <row r="357" spans="1:6">
      <c r="A357" s="46" t="s">
        <v>770</v>
      </c>
      <c r="B357" s="25" t="s">
        <v>343</v>
      </c>
      <c r="C357" s="45" t="s">
        <v>390</v>
      </c>
      <c r="D357">
        <f t="shared" ca="1" si="20"/>
        <v>0</v>
      </c>
      <c r="E357" t="str">
        <f ca="1">IF(D357=0,"",COUNTIF($D$2:D357,"&gt;0"))</f>
        <v/>
      </c>
      <c r="F357" s="24" t="str">
        <f t="shared" ca="1" si="21"/>
        <v/>
      </c>
    </row>
    <row r="358" spans="1:6">
      <c r="A358" s="46" t="s">
        <v>771</v>
      </c>
      <c r="B358" s="25" t="s">
        <v>343</v>
      </c>
      <c r="C358" s="45" t="s">
        <v>391</v>
      </c>
      <c r="D358">
        <f t="shared" ca="1" si="20"/>
        <v>0</v>
      </c>
      <c r="E358" t="str">
        <f ca="1">IF(D358=0,"",COUNTIF($D$2:D358,"&gt;0"))</f>
        <v/>
      </c>
      <c r="F358" s="24" t="str">
        <f t="shared" ca="1" si="21"/>
        <v/>
      </c>
    </row>
    <row r="359" spans="1:6">
      <c r="A359" s="46" t="s">
        <v>772</v>
      </c>
      <c r="B359" s="25" t="s">
        <v>343</v>
      </c>
      <c r="C359" s="45" t="s">
        <v>392</v>
      </c>
      <c r="D359">
        <f t="shared" ca="1" si="20"/>
        <v>0</v>
      </c>
      <c r="E359" t="str">
        <f ca="1">IF(D359=0,"",COUNTIF($D$2:D359,"&gt;0"))</f>
        <v/>
      </c>
      <c r="F359" s="24" t="str">
        <f t="shared" ca="1" si="21"/>
        <v/>
      </c>
    </row>
    <row r="360" spans="1:6">
      <c r="A360" s="46" t="s">
        <v>773</v>
      </c>
      <c r="B360" s="25" t="s">
        <v>343</v>
      </c>
      <c r="C360" s="45" t="s">
        <v>370</v>
      </c>
      <c r="D360">
        <f t="shared" ca="1" si="20"/>
        <v>0</v>
      </c>
      <c r="E360" t="str">
        <f ca="1">IF(D360=0,"",COUNTIF($D$2:D360,"&gt;0"))</f>
        <v/>
      </c>
      <c r="F360" s="24" t="str">
        <f t="shared" ca="1" si="21"/>
        <v/>
      </c>
    </row>
    <row r="361" spans="1:6">
      <c r="A361" s="46" t="s">
        <v>768</v>
      </c>
      <c r="B361" s="25" t="s">
        <v>343</v>
      </c>
      <c r="C361" s="45" t="s">
        <v>393</v>
      </c>
      <c r="D361">
        <f t="shared" ca="1" si="20"/>
        <v>0</v>
      </c>
      <c r="E361" t="str">
        <f ca="1">IF(D361=0,"",COUNTIF($D$2:D361,"&gt;0"))</f>
        <v/>
      </c>
      <c r="F361" s="24" t="str">
        <f t="shared" ca="1" si="21"/>
        <v/>
      </c>
    </row>
    <row r="362" spans="1:6">
      <c r="A362" s="44" t="s">
        <v>774</v>
      </c>
      <c r="B362" s="25"/>
      <c r="C362" s="45"/>
      <c r="D362">
        <f t="shared" ca="1" si="20"/>
        <v>0</v>
      </c>
      <c r="E362" t="str">
        <f ca="1">IF(D362=0,"",COUNTIF($D$2:D362,"&gt;0"))</f>
        <v/>
      </c>
      <c r="F362" s="24" t="str">
        <f t="shared" ca="1" si="21"/>
        <v/>
      </c>
    </row>
    <row r="363" spans="1:6">
      <c r="A363" s="47" t="s">
        <v>775</v>
      </c>
      <c r="B363" s="25" t="s">
        <v>343</v>
      </c>
      <c r="C363" s="45" t="s">
        <v>344</v>
      </c>
      <c r="D363">
        <f t="shared" ca="1" si="20"/>
        <v>0</v>
      </c>
      <c r="E363" t="str">
        <f ca="1">IF(D363=0,"",COUNTIF($D$2:D363,"&gt;0"))</f>
        <v/>
      </c>
      <c r="F363" s="24" t="str">
        <f>IFERROR(INDEX(A:A,MATCH(ROW(#REF!),E:E,0)),"")</f>
        <v/>
      </c>
    </row>
    <row r="364" spans="1:6">
      <c r="A364" s="41" t="s">
        <v>776</v>
      </c>
      <c r="B364" s="25" t="s">
        <v>343</v>
      </c>
      <c r="C364" s="45" t="s">
        <v>349</v>
      </c>
      <c r="D364">
        <f t="shared" ca="1" si="20"/>
        <v>0</v>
      </c>
      <c r="E364" t="str">
        <f ca="1">IF(D364=0,"",COUNTIF($D$2:D364,"&gt;0"))</f>
        <v/>
      </c>
      <c r="F364" s="24" t="str">
        <f t="shared" ref="F364:F384" ca="1" si="22">IFERROR(INDEX(A:A,MATCH(ROW(D363),E:E,0)),"")</f>
        <v/>
      </c>
    </row>
    <row r="365" spans="1:6">
      <c r="A365" s="46" t="s">
        <v>778</v>
      </c>
      <c r="B365" s="25" t="s">
        <v>343</v>
      </c>
      <c r="C365" s="45" t="s">
        <v>394</v>
      </c>
      <c r="D365">
        <f t="shared" ca="1" si="20"/>
        <v>0</v>
      </c>
      <c r="E365" t="str">
        <f ca="1">IF(D365=0,"",COUNTIF($D$2:D365,"&gt;0"))</f>
        <v/>
      </c>
      <c r="F365" s="24" t="str">
        <f t="shared" ca="1" si="22"/>
        <v/>
      </c>
    </row>
    <row r="366" spans="1:6">
      <c r="A366" s="46" t="s">
        <v>779</v>
      </c>
      <c r="B366" s="25" t="s">
        <v>343</v>
      </c>
      <c r="C366" s="45" t="s">
        <v>395</v>
      </c>
      <c r="D366">
        <f t="shared" ca="1" si="20"/>
        <v>0</v>
      </c>
      <c r="E366" t="str">
        <f ca="1">IF(D366=0,"",COUNTIF($D$2:D366,"&gt;0"))</f>
        <v/>
      </c>
      <c r="F366" s="24" t="str">
        <f t="shared" ca="1" si="22"/>
        <v/>
      </c>
    </row>
    <row r="367" spans="1:6">
      <c r="A367" s="46" t="s">
        <v>780</v>
      </c>
      <c r="B367" s="25" t="s">
        <v>343</v>
      </c>
      <c r="C367" s="45" t="s">
        <v>396</v>
      </c>
      <c r="D367">
        <f t="shared" ca="1" si="20"/>
        <v>0</v>
      </c>
      <c r="E367" t="str">
        <f ca="1">IF(D367=0,"",COUNTIF($D$2:D367,"&gt;0"))</f>
        <v/>
      </c>
      <c r="F367" s="24" t="str">
        <f t="shared" ca="1" si="22"/>
        <v/>
      </c>
    </row>
    <row r="368" spans="1:6">
      <c r="A368" s="46" t="s">
        <v>781</v>
      </c>
      <c r="B368" s="25" t="s">
        <v>343</v>
      </c>
      <c r="C368" s="45" t="s">
        <v>393</v>
      </c>
      <c r="D368">
        <f t="shared" ca="1" si="20"/>
        <v>0</v>
      </c>
      <c r="E368" t="str">
        <f ca="1">IF(D368=0,"",COUNTIF($D$2:D368,"&gt;0"))</f>
        <v/>
      </c>
      <c r="F368" s="24" t="str">
        <f t="shared" ca="1" si="22"/>
        <v/>
      </c>
    </row>
    <row r="369" spans="1:6">
      <c r="A369" s="46" t="s">
        <v>777</v>
      </c>
      <c r="B369" s="25" t="s">
        <v>343</v>
      </c>
      <c r="C369" s="45" t="s">
        <v>361</v>
      </c>
      <c r="D369">
        <f t="shared" ca="1" si="20"/>
        <v>0</v>
      </c>
      <c r="E369" t="str">
        <f ca="1">IF(D369=0,"",COUNTIF($D$2:D369,"&gt;0"))</f>
        <v/>
      </c>
      <c r="F369" s="24" t="str">
        <f t="shared" ca="1" si="22"/>
        <v/>
      </c>
    </row>
    <row r="370" spans="1:6">
      <c r="A370" s="44" t="s">
        <v>782</v>
      </c>
      <c r="B370" s="25"/>
      <c r="C370" s="45"/>
      <c r="D370">
        <f t="shared" ca="1" si="20"/>
        <v>0</v>
      </c>
      <c r="E370" t="str">
        <f ca="1">IF(D370=0,"",COUNTIF($D$2:D370,"&gt;0"))</f>
        <v/>
      </c>
      <c r="F370" s="24" t="str">
        <f t="shared" ca="1" si="22"/>
        <v/>
      </c>
    </row>
    <row r="371" spans="1:6">
      <c r="A371" s="46" t="s">
        <v>783</v>
      </c>
      <c r="B371" s="25" t="s">
        <v>343</v>
      </c>
      <c r="C371" s="45" t="s">
        <v>397</v>
      </c>
      <c r="D371">
        <f t="shared" ca="1" si="20"/>
        <v>0</v>
      </c>
      <c r="E371" t="str">
        <f ca="1">IF(D371=0,"",COUNTIF($D$2:D371,"&gt;0"))</f>
        <v/>
      </c>
      <c r="F371" s="24" t="str">
        <f t="shared" ca="1" si="22"/>
        <v/>
      </c>
    </row>
    <row r="372" spans="1:6">
      <c r="A372" s="46" t="s">
        <v>784</v>
      </c>
      <c r="B372" s="25" t="s">
        <v>343</v>
      </c>
      <c r="C372" s="45" t="s">
        <v>398</v>
      </c>
      <c r="D372">
        <f t="shared" ca="1" si="20"/>
        <v>0</v>
      </c>
      <c r="E372" t="str">
        <f ca="1">IF(D372=0,"",COUNTIF($D$2:D372,"&gt;0"))</f>
        <v/>
      </c>
      <c r="F372" s="24" t="str">
        <f t="shared" ca="1" si="22"/>
        <v/>
      </c>
    </row>
    <row r="373" spans="1:6">
      <c r="A373" s="46" t="s">
        <v>785</v>
      </c>
      <c r="B373" s="25" t="s">
        <v>343</v>
      </c>
      <c r="C373" s="45" t="s">
        <v>399</v>
      </c>
      <c r="D373">
        <f t="shared" ca="1" si="20"/>
        <v>0</v>
      </c>
      <c r="E373" t="str">
        <f ca="1">IF(D373=0,"",COUNTIF($D$2:D373,"&gt;0"))</f>
        <v/>
      </c>
      <c r="F373" s="24" t="str">
        <f t="shared" ca="1" si="22"/>
        <v/>
      </c>
    </row>
    <row r="374" spans="1:6">
      <c r="A374" s="46" t="s">
        <v>786</v>
      </c>
      <c r="B374" s="25" t="s">
        <v>343</v>
      </c>
      <c r="C374" s="45" t="s">
        <v>393</v>
      </c>
      <c r="D374">
        <f t="shared" ca="1" si="20"/>
        <v>0</v>
      </c>
      <c r="E374" t="str">
        <f ca="1">IF(D374=0,"",COUNTIF($D$2:D374,"&gt;0"))</f>
        <v/>
      </c>
      <c r="F374" s="24" t="str">
        <f t="shared" ca="1" si="22"/>
        <v/>
      </c>
    </row>
    <row r="375" spans="1:6">
      <c r="A375" s="46" t="s">
        <v>787</v>
      </c>
      <c r="B375" s="25" t="s">
        <v>343</v>
      </c>
      <c r="C375" s="45" t="s">
        <v>400</v>
      </c>
      <c r="D375">
        <f t="shared" ca="1" si="20"/>
        <v>0</v>
      </c>
      <c r="E375" t="str">
        <f ca="1">IF(D375=0,"",COUNTIF($D$2:D375,"&gt;0"))</f>
        <v/>
      </c>
      <c r="F375" s="24" t="str">
        <f t="shared" ca="1" si="22"/>
        <v/>
      </c>
    </row>
    <row r="376" spans="1:6">
      <c r="A376" s="46" t="s">
        <v>788</v>
      </c>
      <c r="B376" s="25" t="s">
        <v>348</v>
      </c>
      <c r="C376" s="45" t="s">
        <v>401</v>
      </c>
      <c r="D376">
        <f t="shared" ca="1" si="20"/>
        <v>0</v>
      </c>
      <c r="E376" t="str">
        <f ca="1">IF(D376=0,"",COUNTIF($D$2:D376,"&gt;0"))</f>
        <v/>
      </c>
      <c r="F376" s="24" t="str">
        <f t="shared" ca="1" si="22"/>
        <v/>
      </c>
    </row>
    <row r="377" spans="1:6">
      <c r="A377" s="44" t="s">
        <v>789</v>
      </c>
      <c r="B377" s="25"/>
      <c r="C377" s="45"/>
      <c r="D377">
        <f t="shared" ref="D377:D450" ca="1" si="23">IFERROR(SEARCH(INDIRECT(CELL("address")),A377),0)</f>
        <v>0</v>
      </c>
      <c r="E377" t="str">
        <f ca="1">IF(D377=0,"",COUNTIF($D$2:D377,"&gt;0"))</f>
        <v/>
      </c>
      <c r="F377" s="24" t="str">
        <f t="shared" ca="1" si="22"/>
        <v/>
      </c>
    </row>
    <row r="378" spans="1:6">
      <c r="A378" s="47" t="s">
        <v>790</v>
      </c>
      <c r="B378" s="25" t="s">
        <v>343</v>
      </c>
      <c r="C378" s="45" t="s">
        <v>344</v>
      </c>
      <c r="D378">
        <f t="shared" ca="1" si="23"/>
        <v>0</v>
      </c>
      <c r="E378" t="str">
        <f ca="1">IF(D378=0,"",COUNTIF($D$2:D378,"&gt;0"))</f>
        <v/>
      </c>
      <c r="F378" s="24" t="str">
        <f t="shared" ca="1" si="22"/>
        <v/>
      </c>
    </row>
    <row r="379" spans="1:6">
      <c r="A379" s="46" t="s">
        <v>791</v>
      </c>
      <c r="B379" s="25" t="s">
        <v>343</v>
      </c>
      <c r="C379" s="45" t="s">
        <v>389</v>
      </c>
      <c r="D379">
        <f t="shared" ca="1" si="23"/>
        <v>0</v>
      </c>
      <c r="E379" t="str">
        <f ca="1">IF(D379=0,"",COUNTIF($D$2:D379,"&gt;0"))</f>
        <v/>
      </c>
      <c r="F379" s="24" t="str">
        <f t="shared" ca="1" si="22"/>
        <v/>
      </c>
    </row>
    <row r="380" spans="1:6">
      <c r="A380" s="46" t="s">
        <v>792</v>
      </c>
      <c r="B380" s="25" t="s">
        <v>343</v>
      </c>
      <c r="C380" s="45" t="s">
        <v>353</v>
      </c>
      <c r="D380">
        <f t="shared" ca="1" si="23"/>
        <v>0</v>
      </c>
      <c r="E380" t="str">
        <f ca="1">IF(D380=0,"",COUNTIF($D$2:D380,"&gt;0"))</f>
        <v/>
      </c>
      <c r="F380" s="24" t="str">
        <f t="shared" ca="1" si="22"/>
        <v/>
      </c>
    </row>
    <row r="381" spans="1:6">
      <c r="A381" s="46" t="s">
        <v>793</v>
      </c>
      <c r="B381" s="25" t="s">
        <v>343</v>
      </c>
      <c r="C381" s="45" t="s">
        <v>402</v>
      </c>
      <c r="D381">
        <f t="shared" ca="1" si="23"/>
        <v>0</v>
      </c>
      <c r="E381" t="str">
        <f ca="1">IF(D381=0,"",COUNTIF($D$2:D381,"&gt;0"))</f>
        <v/>
      </c>
      <c r="F381" s="24" t="str">
        <f t="shared" ca="1" si="22"/>
        <v/>
      </c>
    </row>
    <row r="382" spans="1:6">
      <c r="A382" s="46" t="s">
        <v>794</v>
      </c>
      <c r="B382" s="25" t="s">
        <v>343</v>
      </c>
      <c r="C382" s="45" t="s">
        <v>403</v>
      </c>
      <c r="D382">
        <f t="shared" ca="1" si="23"/>
        <v>0</v>
      </c>
      <c r="E382" t="str">
        <f ca="1">IF(D382=0,"",COUNTIF($D$2:D382,"&gt;0"))</f>
        <v/>
      </c>
      <c r="F382" s="24" t="str">
        <f t="shared" ca="1" si="22"/>
        <v/>
      </c>
    </row>
    <row r="383" spans="1:6">
      <c r="A383" s="46" t="s">
        <v>795</v>
      </c>
      <c r="B383" s="25" t="s">
        <v>343</v>
      </c>
      <c r="C383" s="45" t="s">
        <v>404</v>
      </c>
      <c r="D383">
        <f t="shared" ca="1" si="23"/>
        <v>0</v>
      </c>
      <c r="E383" t="str">
        <f ca="1">IF(D383=0,"",COUNTIF($D$2:D383,"&gt;0"))</f>
        <v/>
      </c>
      <c r="F383" s="24" t="str">
        <f t="shared" ca="1" si="22"/>
        <v/>
      </c>
    </row>
    <row r="384" spans="1:6">
      <c r="A384" s="44" t="s">
        <v>796</v>
      </c>
      <c r="B384" s="25"/>
      <c r="C384" s="45"/>
      <c r="D384">
        <f t="shared" ca="1" si="23"/>
        <v>0</v>
      </c>
      <c r="E384" t="str">
        <f ca="1">IF(D384=0,"",COUNTIF($D$2:D384,"&gt;0"))</f>
        <v/>
      </c>
      <c r="F384" s="24" t="str">
        <f t="shared" ca="1" si="22"/>
        <v/>
      </c>
    </row>
    <row r="385" spans="1:6">
      <c r="A385" s="47" t="s">
        <v>831</v>
      </c>
      <c r="B385" s="25" t="s">
        <v>343</v>
      </c>
      <c r="C385" s="45" t="s">
        <v>344</v>
      </c>
      <c r="D385">
        <f t="shared" ca="1" si="23"/>
        <v>0</v>
      </c>
      <c r="E385" t="str">
        <f ca="1">IF(D385=0,"",COUNTIF($D$2:D385,"&gt;0"))</f>
        <v/>
      </c>
      <c r="F385" s="24" t="str">
        <f>IFERROR(INDEX(A:A,MATCH(ROW(#REF!),E:E,0)),"")</f>
        <v/>
      </c>
    </row>
    <row r="386" spans="1:6">
      <c r="A386" s="46" t="s">
        <v>832</v>
      </c>
      <c r="B386" s="25" t="s">
        <v>343</v>
      </c>
      <c r="C386" s="45" t="s">
        <v>345</v>
      </c>
      <c r="D386">
        <f t="shared" ca="1" si="23"/>
        <v>0</v>
      </c>
      <c r="E386" t="str">
        <f ca="1">IF(D386=0,"",COUNTIF($D$2:D386,"&gt;0"))</f>
        <v/>
      </c>
      <c r="F386" s="24" t="str">
        <f t="shared" ref="F386:F393" ca="1" si="24">IFERROR(INDEX(A:A,MATCH(ROW(D385),E:E,0)),"")</f>
        <v/>
      </c>
    </row>
    <row r="387" spans="1:6">
      <c r="A387" s="46" t="s">
        <v>797</v>
      </c>
      <c r="B387" s="25" t="s">
        <v>343</v>
      </c>
      <c r="C387" s="45" t="s">
        <v>405</v>
      </c>
      <c r="D387">
        <f t="shared" ca="1" si="23"/>
        <v>0</v>
      </c>
      <c r="E387" t="str">
        <f ca="1">IF(D387=0,"",COUNTIF($D$2:D387,"&gt;0"))</f>
        <v/>
      </c>
      <c r="F387" s="24" t="str">
        <f t="shared" ca="1" si="24"/>
        <v/>
      </c>
    </row>
    <row r="388" spans="1:6">
      <c r="A388" s="46" t="s">
        <v>798</v>
      </c>
      <c r="B388" s="25" t="s">
        <v>343</v>
      </c>
      <c r="C388" s="45" t="s">
        <v>406</v>
      </c>
      <c r="D388">
        <f t="shared" ca="1" si="23"/>
        <v>0</v>
      </c>
      <c r="E388" t="str">
        <f ca="1">IF(D388=0,"",COUNTIF($D$2:D388,"&gt;0"))</f>
        <v/>
      </c>
      <c r="F388" s="24" t="str">
        <f t="shared" ca="1" si="24"/>
        <v/>
      </c>
    </row>
    <row r="389" spans="1:6">
      <c r="A389" s="46" t="s">
        <v>799</v>
      </c>
      <c r="B389" s="25" t="s">
        <v>343</v>
      </c>
      <c r="C389" s="45" t="s">
        <v>390</v>
      </c>
      <c r="D389">
        <f t="shared" ca="1" si="23"/>
        <v>0</v>
      </c>
      <c r="E389" t="str">
        <f ca="1">IF(D389=0,"",COUNTIF($D$2:D389,"&gt;0"))</f>
        <v/>
      </c>
      <c r="F389" s="24" t="str">
        <f t="shared" ca="1" si="24"/>
        <v/>
      </c>
    </row>
    <row r="390" spans="1:6">
      <c r="A390" s="46" t="s">
        <v>800</v>
      </c>
      <c r="B390" s="25" t="s">
        <v>343</v>
      </c>
      <c r="C390" s="45" t="s">
        <v>407</v>
      </c>
      <c r="D390">
        <f t="shared" ca="1" si="23"/>
        <v>0</v>
      </c>
      <c r="E390" t="str">
        <f ca="1">IF(D390=0,"",COUNTIF($D$2:D390,"&gt;0"))</f>
        <v/>
      </c>
      <c r="F390" s="24" t="str">
        <f t="shared" ca="1" si="24"/>
        <v/>
      </c>
    </row>
    <row r="391" spans="1:6">
      <c r="A391" s="46" t="s">
        <v>801</v>
      </c>
      <c r="B391" s="25" t="s">
        <v>343</v>
      </c>
      <c r="C391" s="45" t="s">
        <v>393</v>
      </c>
      <c r="D391">
        <f t="shared" ca="1" si="23"/>
        <v>0</v>
      </c>
      <c r="E391" t="str">
        <f ca="1">IF(D391=0,"",COUNTIF($D$2:D391,"&gt;0"))</f>
        <v/>
      </c>
      <c r="F391" s="24" t="str">
        <f t="shared" ca="1" si="24"/>
        <v/>
      </c>
    </row>
    <row r="392" spans="1:6">
      <c r="A392" s="46" t="s">
        <v>802</v>
      </c>
      <c r="B392" s="25" t="s">
        <v>343</v>
      </c>
      <c r="C392" s="45" t="s">
        <v>361</v>
      </c>
      <c r="D392">
        <f t="shared" ca="1" si="23"/>
        <v>0</v>
      </c>
      <c r="E392" t="str">
        <f ca="1">IF(D392=0,"",COUNTIF($D$2:D392,"&gt;0"))</f>
        <v/>
      </c>
      <c r="F392" s="24" t="str">
        <f t="shared" ca="1" si="24"/>
        <v/>
      </c>
    </row>
    <row r="393" spans="1:6">
      <c r="A393" s="44" t="s">
        <v>803</v>
      </c>
      <c r="B393" s="25"/>
      <c r="C393" s="45"/>
      <c r="D393">
        <f t="shared" ca="1" si="23"/>
        <v>0</v>
      </c>
      <c r="E393" t="str">
        <f ca="1">IF(D393=0,"",COUNTIF($D$2:D393,"&gt;0"))</f>
        <v/>
      </c>
      <c r="F393" s="24" t="str">
        <f t="shared" ca="1" si="24"/>
        <v/>
      </c>
    </row>
    <row r="394" spans="1:6">
      <c r="A394" s="47" t="s">
        <v>833</v>
      </c>
      <c r="B394" s="25" t="s">
        <v>343</v>
      </c>
      <c r="C394" s="45" t="s">
        <v>344</v>
      </c>
      <c r="D394">
        <f t="shared" ca="1" si="23"/>
        <v>0</v>
      </c>
      <c r="E394" t="str">
        <f ca="1">IF(D394=0,"",COUNTIF($D$2:D394,"&gt;0"))</f>
        <v/>
      </c>
      <c r="F394" s="24" t="str">
        <f>IFERROR(INDEX(A:A,MATCH(ROW(#REF!),E:E,0)),"")</f>
        <v/>
      </c>
    </row>
    <row r="395" spans="1:6">
      <c r="A395" s="46" t="s">
        <v>834</v>
      </c>
      <c r="B395" s="25" t="s">
        <v>343</v>
      </c>
      <c r="C395" s="45" t="s">
        <v>345</v>
      </c>
      <c r="D395">
        <f t="shared" ca="1" si="23"/>
        <v>0</v>
      </c>
      <c r="E395" t="str">
        <f ca="1">IF(D395=0,"",COUNTIF($D$2:D395,"&gt;0"))</f>
        <v/>
      </c>
      <c r="F395" s="24" t="str">
        <f t="shared" ref="F395:F402" ca="1" si="25">IFERROR(INDEX(A:A,MATCH(ROW(D394),E:E,0)),"")</f>
        <v/>
      </c>
    </row>
    <row r="396" spans="1:6">
      <c r="A396" s="47" t="s">
        <v>809</v>
      </c>
      <c r="B396" s="25" t="s">
        <v>343</v>
      </c>
      <c r="C396" s="45" t="s">
        <v>345</v>
      </c>
      <c r="D396">
        <f t="shared" ca="1" si="23"/>
        <v>0</v>
      </c>
      <c r="E396" t="str">
        <f ca="1">IF(D396=0,"",COUNTIF($D$2:D396,"&gt;0"))</f>
        <v/>
      </c>
      <c r="F396" s="24" t="str">
        <f t="shared" ca="1" si="25"/>
        <v/>
      </c>
    </row>
    <row r="397" spans="1:6">
      <c r="A397" s="46" t="s">
        <v>804</v>
      </c>
      <c r="B397" s="25" t="s">
        <v>343</v>
      </c>
      <c r="C397" s="45" t="s">
        <v>367</v>
      </c>
      <c r="D397">
        <f t="shared" ca="1" si="23"/>
        <v>0</v>
      </c>
      <c r="E397" t="str">
        <f ca="1">IF(D397=0,"",COUNTIF($D$2:D397,"&gt;0"))</f>
        <v/>
      </c>
      <c r="F397" s="24" t="str">
        <f t="shared" ca="1" si="25"/>
        <v/>
      </c>
    </row>
    <row r="398" spans="1:6">
      <c r="A398" s="46" t="s">
        <v>805</v>
      </c>
      <c r="B398" s="25" t="s">
        <v>343</v>
      </c>
      <c r="C398" s="45" t="s">
        <v>408</v>
      </c>
      <c r="D398">
        <f t="shared" ca="1" si="23"/>
        <v>0</v>
      </c>
      <c r="E398" t="str">
        <f ca="1">IF(D398=0,"",COUNTIF($D$2:D398,"&gt;0"))</f>
        <v/>
      </c>
      <c r="F398" s="24" t="str">
        <f t="shared" ca="1" si="25"/>
        <v/>
      </c>
    </row>
    <row r="399" spans="1:6">
      <c r="A399" s="46" t="s">
        <v>806</v>
      </c>
      <c r="B399" s="25" t="s">
        <v>348</v>
      </c>
      <c r="C399" s="45" t="s">
        <v>409</v>
      </c>
      <c r="D399">
        <f t="shared" ca="1" si="23"/>
        <v>0</v>
      </c>
      <c r="E399" t="str">
        <f ca="1">IF(D399=0,"",COUNTIF($D$2:D399,"&gt;0"))</f>
        <v/>
      </c>
      <c r="F399" s="24" t="str">
        <f t="shared" ca="1" si="25"/>
        <v/>
      </c>
    </row>
    <row r="400" spans="1:6">
      <c r="A400" s="46" t="s">
        <v>807</v>
      </c>
      <c r="B400" s="25" t="s">
        <v>343</v>
      </c>
      <c r="C400" s="45" t="s">
        <v>410</v>
      </c>
      <c r="D400">
        <f t="shared" ca="1" si="23"/>
        <v>0</v>
      </c>
      <c r="E400" t="str">
        <f ca="1">IF(D400=0,"",COUNTIF($D$2:D400,"&gt;0"))</f>
        <v/>
      </c>
      <c r="F400" s="24" t="str">
        <f t="shared" ca="1" si="25"/>
        <v/>
      </c>
    </row>
    <row r="401" spans="1:6">
      <c r="A401" s="46" t="s">
        <v>808</v>
      </c>
      <c r="B401" s="25" t="s">
        <v>348</v>
      </c>
      <c r="C401" s="45" t="s">
        <v>391</v>
      </c>
      <c r="D401">
        <f t="shared" ca="1" si="23"/>
        <v>0</v>
      </c>
      <c r="E401" t="str">
        <f ca="1">IF(D401=0,"",COUNTIF($D$2:D401,"&gt;0"))</f>
        <v/>
      </c>
      <c r="F401" s="24" t="str">
        <f t="shared" ca="1" si="25"/>
        <v/>
      </c>
    </row>
    <row r="402" spans="1:6" ht="18" customHeight="1">
      <c r="A402" s="44" t="s">
        <v>810</v>
      </c>
      <c r="B402" s="25"/>
      <c r="C402" s="45"/>
      <c r="D402">
        <f t="shared" ca="1" si="23"/>
        <v>0</v>
      </c>
      <c r="E402" t="str">
        <f ca="1">IF(D402=0,"",COUNTIF($D$2:D402,"&gt;0"))</f>
        <v/>
      </c>
      <c r="F402" s="24" t="str">
        <f t="shared" ca="1" si="25"/>
        <v/>
      </c>
    </row>
    <row r="403" spans="1:6">
      <c r="A403" s="47" t="s">
        <v>835</v>
      </c>
      <c r="B403" s="25" t="s">
        <v>343</v>
      </c>
      <c r="C403" s="45" t="s">
        <v>344</v>
      </c>
      <c r="D403">
        <f t="shared" ca="1" si="23"/>
        <v>0</v>
      </c>
      <c r="E403" t="str">
        <f ca="1">IF(D403=0,"",COUNTIF($D$2:D403,"&gt;0"))</f>
        <v/>
      </c>
      <c r="F403" s="24" t="str">
        <f>IFERROR(INDEX(A:A,MATCH(ROW(#REF!),E:E,0)),"")</f>
        <v/>
      </c>
    </row>
    <row r="404" spans="1:6">
      <c r="A404" s="46" t="s">
        <v>811</v>
      </c>
      <c r="B404" s="25" t="s">
        <v>343</v>
      </c>
      <c r="C404" s="45" t="s">
        <v>345</v>
      </c>
      <c r="D404">
        <f t="shared" ca="1" si="23"/>
        <v>0</v>
      </c>
      <c r="E404" t="str">
        <f ca="1">IF(D404=0,"",COUNTIF($D$2:D404,"&gt;0"))</f>
        <v/>
      </c>
      <c r="F404" s="24" t="str">
        <f t="shared" ref="F404:F415" ca="1" si="26">IFERROR(INDEX(A:A,MATCH(ROW(D403),E:E,0)),"")</f>
        <v/>
      </c>
    </row>
    <row r="405" spans="1:6">
      <c r="A405" s="47" t="s">
        <v>812</v>
      </c>
      <c r="B405" s="25" t="s">
        <v>343</v>
      </c>
      <c r="C405" s="45" t="s">
        <v>345</v>
      </c>
      <c r="D405">
        <f t="shared" ca="1" si="23"/>
        <v>0</v>
      </c>
      <c r="E405" t="str">
        <f ca="1">IF(D405=0,"",COUNTIF($D$2:D405,"&gt;0"))</f>
        <v/>
      </c>
      <c r="F405" s="24" t="str">
        <f t="shared" ca="1" si="26"/>
        <v/>
      </c>
    </row>
    <row r="406" spans="1:6">
      <c r="A406" s="47" t="s">
        <v>813</v>
      </c>
      <c r="B406" s="25" t="s">
        <v>343</v>
      </c>
      <c r="C406" s="45" t="s">
        <v>346</v>
      </c>
      <c r="D406">
        <f t="shared" ca="1" si="23"/>
        <v>0</v>
      </c>
      <c r="E406" t="str">
        <f ca="1">IF(D406=0,"",COUNTIF($D$2:D406,"&gt;0"))</f>
        <v/>
      </c>
      <c r="F406" s="24" t="str">
        <f t="shared" ca="1" si="26"/>
        <v/>
      </c>
    </row>
    <row r="407" spans="1:6">
      <c r="A407" s="46" t="s">
        <v>814</v>
      </c>
      <c r="B407" s="25" t="s">
        <v>343</v>
      </c>
      <c r="C407" s="45" t="s">
        <v>389</v>
      </c>
      <c r="D407">
        <f t="shared" ca="1" si="23"/>
        <v>0</v>
      </c>
      <c r="E407" t="str">
        <f ca="1">IF(D407=0,"",COUNTIF($D$2:D407,"&gt;0"))</f>
        <v/>
      </c>
      <c r="F407" s="24" t="str">
        <f t="shared" ca="1" si="26"/>
        <v/>
      </c>
    </row>
    <row r="408" spans="1:6">
      <c r="A408" s="46" t="s">
        <v>815</v>
      </c>
      <c r="B408" s="25" t="s">
        <v>343</v>
      </c>
      <c r="C408" s="45" t="s">
        <v>411</v>
      </c>
      <c r="D408">
        <f t="shared" ca="1" si="23"/>
        <v>0</v>
      </c>
      <c r="E408" t="str">
        <f ca="1">IF(D408=0,"",COUNTIF($D$2:D408,"&gt;0"))</f>
        <v/>
      </c>
      <c r="F408" s="24" t="str">
        <f t="shared" ca="1" si="26"/>
        <v/>
      </c>
    </row>
    <row r="409" spans="1:6">
      <c r="A409" s="46" t="s">
        <v>817</v>
      </c>
      <c r="B409" s="25" t="s">
        <v>343</v>
      </c>
      <c r="C409" s="45" t="s">
        <v>412</v>
      </c>
      <c r="D409">
        <f t="shared" ca="1" si="23"/>
        <v>0</v>
      </c>
      <c r="E409" t="str">
        <f ca="1">IF(D409=0,"",COUNTIF($D$2:D409,"&gt;0"))</f>
        <v/>
      </c>
      <c r="F409" s="24" t="str">
        <f t="shared" ca="1" si="26"/>
        <v/>
      </c>
    </row>
    <row r="410" spans="1:6">
      <c r="A410" s="46" t="s">
        <v>818</v>
      </c>
      <c r="B410" s="25" t="s">
        <v>343</v>
      </c>
      <c r="C410" s="45" t="s">
        <v>413</v>
      </c>
      <c r="D410">
        <f t="shared" ca="1" si="23"/>
        <v>0</v>
      </c>
      <c r="E410" t="str">
        <f ca="1">IF(D410=0,"",COUNTIF($D$2:D410,"&gt;0"))</f>
        <v/>
      </c>
      <c r="F410" s="24" t="str">
        <f t="shared" ca="1" si="26"/>
        <v/>
      </c>
    </row>
    <row r="411" spans="1:6">
      <c r="A411" s="46" t="s">
        <v>819</v>
      </c>
      <c r="B411" s="25" t="s">
        <v>343</v>
      </c>
      <c r="C411" s="45" t="s">
        <v>396</v>
      </c>
      <c r="D411">
        <f t="shared" ca="1" si="23"/>
        <v>0</v>
      </c>
      <c r="E411" t="str">
        <f ca="1">IF(D411=0,"",COUNTIF($D$2:D411,"&gt;0"))</f>
        <v/>
      </c>
      <c r="F411" s="24" t="str">
        <f t="shared" ca="1" si="26"/>
        <v/>
      </c>
    </row>
    <row r="412" spans="1:6">
      <c r="A412" s="46" t="s">
        <v>820</v>
      </c>
      <c r="B412" s="25" t="s">
        <v>343</v>
      </c>
      <c r="C412" s="45" t="s">
        <v>414</v>
      </c>
      <c r="D412">
        <f t="shared" ca="1" si="23"/>
        <v>0</v>
      </c>
      <c r="E412" t="str">
        <f ca="1">IF(D412=0,"",COUNTIF($D$2:D412,"&gt;0"))</f>
        <v/>
      </c>
      <c r="F412" s="24" t="str">
        <f t="shared" ca="1" si="26"/>
        <v/>
      </c>
    </row>
    <row r="413" spans="1:6">
      <c r="A413" s="46" t="s">
        <v>816</v>
      </c>
      <c r="B413" s="25" t="s">
        <v>343</v>
      </c>
      <c r="C413" s="45" t="s">
        <v>415</v>
      </c>
      <c r="D413">
        <f t="shared" ca="1" si="23"/>
        <v>0</v>
      </c>
      <c r="E413" t="str">
        <f ca="1">IF(D413=0,"",COUNTIF($D$2:D413,"&gt;0"))</f>
        <v/>
      </c>
      <c r="F413" s="24" t="str">
        <f t="shared" ca="1" si="26"/>
        <v/>
      </c>
    </row>
    <row r="414" spans="1:6">
      <c r="A414" s="46" t="s">
        <v>821</v>
      </c>
      <c r="B414" s="25" t="s">
        <v>343</v>
      </c>
      <c r="C414" s="45" t="s">
        <v>416</v>
      </c>
      <c r="D414">
        <f t="shared" ca="1" si="23"/>
        <v>0</v>
      </c>
      <c r="E414" t="str">
        <f ca="1">IF(D414=0,"",COUNTIF($D$2:D414,"&gt;0"))</f>
        <v/>
      </c>
      <c r="F414" s="24" t="str">
        <f t="shared" ca="1" si="26"/>
        <v/>
      </c>
    </row>
    <row r="415" spans="1:6">
      <c r="A415" s="44" t="s">
        <v>822</v>
      </c>
      <c r="B415" s="25"/>
      <c r="C415" s="45"/>
      <c r="D415">
        <f t="shared" ref="D415:D427" ca="1" si="27">IFERROR(SEARCH(INDIRECT(CELL("address")),A415),0)</f>
        <v>0</v>
      </c>
      <c r="E415" t="str">
        <f ca="1">IF(D415=0,"",COUNTIF($D$2:D415,"&gt;0"))</f>
        <v/>
      </c>
      <c r="F415" s="24" t="str">
        <f t="shared" ca="1" si="26"/>
        <v/>
      </c>
    </row>
    <row r="416" spans="1:6">
      <c r="A416" s="47" t="s">
        <v>836</v>
      </c>
      <c r="B416" s="25" t="s">
        <v>343</v>
      </c>
      <c r="C416" s="45" t="s">
        <v>344</v>
      </c>
      <c r="D416">
        <f t="shared" ca="1" si="27"/>
        <v>0</v>
      </c>
      <c r="E416" t="str">
        <f ca="1">IF(D416=0,"",COUNTIF($D$2:D416,"&gt;0"))</f>
        <v/>
      </c>
      <c r="F416" s="24" t="str">
        <f>IFERROR(INDEX(A:A,MATCH(ROW(#REF!),E:E,0)),"")</f>
        <v/>
      </c>
    </row>
    <row r="417" spans="1:6">
      <c r="A417" s="46" t="s">
        <v>837</v>
      </c>
      <c r="B417" s="25" t="s">
        <v>343</v>
      </c>
      <c r="C417" s="45" t="s">
        <v>345</v>
      </c>
      <c r="D417">
        <f t="shared" ca="1" si="27"/>
        <v>0</v>
      </c>
      <c r="E417" t="str">
        <f ca="1">IF(D417=0,"",COUNTIF($D$2:D417,"&gt;0"))</f>
        <v/>
      </c>
      <c r="F417" s="24" t="str">
        <f t="shared" ref="F417:F427" ca="1" si="28">IFERROR(INDEX(A:A,MATCH(ROW(D416),E:E,0)),"")</f>
        <v/>
      </c>
    </row>
    <row r="418" spans="1:6">
      <c r="A418" s="47" t="s">
        <v>838</v>
      </c>
      <c r="B418" s="25" t="s">
        <v>343</v>
      </c>
      <c r="C418" s="45" t="s">
        <v>345</v>
      </c>
      <c r="D418">
        <f t="shared" ca="1" si="27"/>
        <v>0</v>
      </c>
      <c r="E418" t="str">
        <f ca="1">IF(D418=0,"",COUNTIF($D$2:D418,"&gt;0"))</f>
        <v/>
      </c>
      <c r="F418" s="24" t="str">
        <f t="shared" ca="1" si="28"/>
        <v/>
      </c>
    </row>
    <row r="419" spans="1:6">
      <c r="A419" s="47" t="s">
        <v>839</v>
      </c>
      <c r="B419" s="25" t="s">
        <v>343</v>
      </c>
      <c r="C419" s="45" t="s">
        <v>346</v>
      </c>
      <c r="D419">
        <f t="shared" ca="1" si="27"/>
        <v>0</v>
      </c>
      <c r="E419" t="str">
        <f ca="1">IF(D419=0,"",COUNTIF($D$2:D419,"&gt;0"))</f>
        <v/>
      </c>
      <c r="F419" s="24" t="str">
        <f t="shared" ca="1" si="28"/>
        <v/>
      </c>
    </row>
    <row r="420" spans="1:6">
      <c r="A420" s="46" t="s">
        <v>840</v>
      </c>
      <c r="B420" s="25" t="s">
        <v>343</v>
      </c>
      <c r="C420" s="45" t="s">
        <v>389</v>
      </c>
      <c r="D420">
        <f t="shared" ca="1" si="27"/>
        <v>0</v>
      </c>
      <c r="E420" t="str">
        <f ca="1">IF(D420=0,"",COUNTIF($D$2:D420,"&gt;0"))</f>
        <v/>
      </c>
      <c r="F420" s="24" t="str">
        <f t="shared" ca="1" si="28"/>
        <v/>
      </c>
    </row>
    <row r="421" spans="1:6">
      <c r="A421" s="46" t="s">
        <v>841</v>
      </c>
      <c r="B421" s="25" t="s">
        <v>343</v>
      </c>
      <c r="C421" s="45" t="s">
        <v>411</v>
      </c>
      <c r="D421">
        <f t="shared" ca="1" si="27"/>
        <v>0</v>
      </c>
      <c r="E421" t="str">
        <f ca="1">IF(D421=0,"",COUNTIF($D$2:D421,"&gt;0"))</f>
        <v/>
      </c>
      <c r="F421" s="24" t="str">
        <f t="shared" ca="1" si="28"/>
        <v/>
      </c>
    </row>
    <row r="422" spans="1:6">
      <c r="A422" s="46" t="s">
        <v>842</v>
      </c>
      <c r="B422" s="25" t="s">
        <v>343</v>
      </c>
      <c r="C422" s="45" t="s">
        <v>412</v>
      </c>
      <c r="D422">
        <f t="shared" ca="1" si="27"/>
        <v>0</v>
      </c>
      <c r="E422" t="str">
        <f ca="1">IF(D422=0,"",COUNTIF($D$2:D422,"&gt;0"))</f>
        <v/>
      </c>
      <c r="F422" s="24" t="str">
        <f t="shared" ca="1" si="28"/>
        <v/>
      </c>
    </row>
    <row r="423" spans="1:6">
      <c r="A423" s="46" t="s">
        <v>843</v>
      </c>
      <c r="B423" s="25" t="s">
        <v>343</v>
      </c>
      <c r="C423" s="45" t="s">
        <v>413</v>
      </c>
      <c r="D423">
        <f t="shared" ca="1" si="27"/>
        <v>0</v>
      </c>
      <c r="E423" t="str">
        <f ca="1">IF(D423=0,"",COUNTIF($D$2:D423,"&gt;0"))</f>
        <v/>
      </c>
      <c r="F423" s="24" t="str">
        <f t="shared" ca="1" si="28"/>
        <v/>
      </c>
    </row>
    <row r="424" spans="1:6">
      <c r="A424" s="46" t="s">
        <v>844</v>
      </c>
      <c r="B424" s="25" t="s">
        <v>343</v>
      </c>
      <c r="C424" s="45" t="s">
        <v>396</v>
      </c>
      <c r="D424">
        <f t="shared" ca="1" si="27"/>
        <v>0</v>
      </c>
      <c r="E424" t="str">
        <f ca="1">IF(D424=0,"",COUNTIF($D$2:D424,"&gt;0"))</f>
        <v/>
      </c>
      <c r="F424" s="24" t="str">
        <f t="shared" ca="1" si="28"/>
        <v/>
      </c>
    </row>
    <row r="425" spans="1:6">
      <c r="A425" s="46" t="s">
        <v>845</v>
      </c>
      <c r="B425" s="25" t="s">
        <v>343</v>
      </c>
      <c r="C425" s="45" t="s">
        <v>414</v>
      </c>
      <c r="D425">
        <f t="shared" ca="1" si="27"/>
        <v>0</v>
      </c>
      <c r="E425" t="str">
        <f ca="1">IF(D425=0,"",COUNTIF($D$2:D425,"&gt;0"))</f>
        <v/>
      </c>
      <c r="F425" s="24" t="str">
        <f t="shared" ca="1" si="28"/>
        <v/>
      </c>
    </row>
    <row r="426" spans="1:6">
      <c r="A426" s="46" t="s">
        <v>846</v>
      </c>
      <c r="B426" s="25" t="s">
        <v>343</v>
      </c>
      <c r="C426" s="45" t="s">
        <v>415</v>
      </c>
      <c r="D426">
        <f t="shared" ca="1" si="27"/>
        <v>0</v>
      </c>
      <c r="E426" t="str">
        <f ca="1">IF(D426=0,"",COUNTIF($D$2:D426,"&gt;0"))</f>
        <v/>
      </c>
      <c r="F426" s="24" t="str">
        <f t="shared" ca="1" si="28"/>
        <v/>
      </c>
    </row>
    <row r="427" spans="1:6">
      <c r="A427" s="46" t="s">
        <v>847</v>
      </c>
      <c r="B427" s="25" t="s">
        <v>343</v>
      </c>
      <c r="C427" s="45" t="s">
        <v>416</v>
      </c>
      <c r="D427">
        <f t="shared" ca="1" si="27"/>
        <v>0</v>
      </c>
      <c r="E427" t="str">
        <f ca="1">IF(D427=0,"",COUNTIF($D$2:D427,"&gt;0"))</f>
        <v/>
      </c>
      <c r="F427" s="24" t="str">
        <f t="shared" ca="1" si="28"/>
        <v/>
      </c>
    </row>
    <row r="428" spans="1:6">
      <c r="A428" s="44" t="s">
        <v>848</v>
      </c>
      <c r="B428" s="25"/>
      <c r="C428" s="45"/>
      <c r="D428">
        <f t="shared" ca="1" si="23"/>
        <v>0</v>
      </c>
      <c r="E428" t="str">
        <f ca="1">IF(D428=0,"",COUNTIF($D$2:D428,"&gt;0"))</f>
        <v/>
      </c>
      <c r="F428" s="24" t="str">
        <f ca="1">IFERROR(INDEX(A:A,MATCH(ROW(D414),E:E,0)),"")</f>
        <v/>
      </c>
    </row>
    <row r="429" spans="1:6">
      <c r="A429" s="47" t="s">
        <v>849</v>
      </c>
      <c r="B429" s="25" t="s">
        <v>343</v>
      </c>
      <c r="C429" s="45" t="s">
        <v>417</v>
      </c>
      <c r="D429">
        <f t="shared" ca="1" si="23"/>
        <v>0</v>
      </c>
      <c r="E429" t="str">
        <f ca="1">IF(D429=0,"",COUNTIF($D$2:D429,"&gt;0"))</f>
        <v/>
      </c>
      <c r="F429" s="24" t="str">
        <f t="shared" ref="F429:F460" ca="1" si="29">IFERROR(INDEX(A:A,MATCH(ROW(D428),E:E,0)),"")</f>
        <v/>
      </c>
    </row>
    <row r="430" spans="1:6">
      <c r="A430" s="46" t="s">
        <v>850</v>
      </c>
      <c r="B430" s="25" t="s">
        <v>343</v>
      </c>
      <c r="C430" s="45" t="s">
        <v>418</v>
      </c>
      <c r="D430">
        <f t="shared" ca="1" si="23"/>
        <v>0</v>
      </c>
      <c r="E430" t="str">
        <f ca="1">IF(D430=0,"",COUNTIF($D$2:D430,"&gt;0"))</f>
        <v/>
      </c>
      <c r="F430" s="24" t="str">
        <f t="shared" ca="1" si="29"/>
        <v/>
      </c>
    </row>
    <row r="431" spans="1:6">
      <c r="A431" s="46" t="s">
        <v>851</v>
      </c>
      <c r="B431" s="25" t="s">
        <v>343</v>
      </c>
      <c r="C431" s="45" t="s">
        <v>389</v>
      </c>
      <c r="D431">
        <f t="shared" ca="1" si="23"/>
        <v>0</v>
      </c>
      <c r="E431" t="str">
        <f ca="1">IF(D431=0,"",COUNTIF($D$2:D431,"&gt;0"))</f>
        <v/>
      </c>
      <c r="F431" s="24" t="str">
        <f t="shared" ca="1" si="29"/>
        <v/>
      </c>
    </row>
    <row r="432" spans="1:6">
      <c r="A432" s="46" t="s">
        <v>852</v>
      </c>
      <c r="B432" s="25" t="s">
        <v>343</v>
      </c>
      <c r="C432" s="45" t="s">
        <v>419</v>
      </c>
      <c r="D432">
        <f t="shared" ca="1" si="23"/>
        <v>0</v>
      </c>
      <c r="E432" t="str">
        <f ca="1">IF(D432=0,"",COUNTIF($D$2:D432,"&gt;0"))</f>
        <v/>
      </c>
      <c r="F432" s="24" t="str">
        <f t="shared" ca="1" si="29"/>
        <v/>
      </c>
    </row>
    <row r="433" spans="1:6">
      <c r="A433" s="46" t="s">
        <v>853</v>
      </c>
      <c r="B433" s="25" t="s">
        <v>343</v>
      </c>
      <c r="C433" s="45" t="s">
        <v>410</v>
      </c>
      <c r="D433">
        <f t="shared" ca="1" si="23"/>
        <v>0</v>
      </c>
      <c r="E433" t="str">
        <f ca="1">IF(D433=0,"",COUNTIF($D$2:D433,"&gt;0"))</f>
        <v/>
      </c>
      <c r="F433" s="24" t="str">
        <f t="shared" ca="1" si="29"/>
        <v/>
      </c>
    </row>
    <row r="434" spans="1:6">
      <c r="A434" s="44" t="s">
        <v>854</v>
      </c>
      <c r="B434" s="25"/>
      <c r="C434" s="45"/>
      <c r="D434">
        <f t="shared" ca="1" si="23"/>
        <v>0</v>
      </c>
      <c r="E434" t="str">
        <f ca="1">IF(D434=0,"",COUNTIF($D$2:D434,"&gt;0"))</f>
        <v/>
      </c>
      <c r="F434" s="24" t="str">
        <f t="shared" ca="1" si="29"/>
        <v/>
      </c>
    </row>
    <row r="435" spans="1:6">
      <c r="A435" s="47" t="s">
        <v>861</v>
      </c>
      <c r="B435" s="25" t="s">
        <v>343</v>
      </c>
      <c r="C435" s="45" t="s">
        <v>420</v>
      </c>
      <c r="D435">
        <f t="shared" ca="1" si="23"/>
        <v>0</v>
      </c>
      <c r="E435" t="str">
        <f ca="1">IF(D435=0,"",COUNTIF($D$2:D435,"&gt;0"))</f>
        <v/>
      </c>
      <c r="F435" s="24" t="str">
        <f t="shared" ca="1" si="29"/>
        <v/>
      </c>
    </row>
    <row r="436" spans="1:6">
      <c r="A436" s="41" t="s">
        <v>855</v>
      </c>
      <c r="B436" s="25" t="s">
        <v>343</v>
      </c>
      <c r="C436" s="45" t="s">
        <v>421</v>
      </c>
      <c r="D436">
        <f t="shared" ca="1" si="23"/>
        <v>0</v>
      </c>
      <c r="E436" t="str">
        <f ca="1">IF(D436=0,"",COUNTIF($D$2:D436,"&gt;0"))</f>
        <v/>
      </c>
      <c r="F436" s="24" t="str">
        <f t="shared" ca="1" si="29"/>
        <v/>
      </c>
    </row>
    <row r="437" spans="1:6">
      <c r="A437" s="46" t="s">
        <v>856</v>
      </c>
      <c r="B437" s="25" t="s">
        <v>348</v>
      </c>
      <c r="C437" s="45" t="s">
        <v>351</v>
      </c>
      <c r="D437">
        <f t="shared" ca="1" si="23"/>
        <v>0</v>
      </c>
      <c r="E437" t="str">
        <f ca="1">IF(D437=0,"",COUNTIF($D$2:D437,"&gt;0"))</f>
        <v/>
      </c>
      <c r="F437" s="24" t="str">
        <f t="shared" ca="1" si="29"/>
        <v/>
      </c>
    </row>
    <row r="438" spans="1:6">
      <c r="A438" s="46" t="s">
        <v>857</v>
      </c>
      <c r="B438" s="25" t="s">
        <v>348</v>
      </c>
      <c r="C438" s="45" t="s">
        <v>411</v>
      </c>
      <c r="D438">
        <f t="shared" ca="1" si="23"/>
        <v>0</v>
      </c>
      <c r="E438" t="str">
        <f ca="1">IF(D438=0,"",COUNTIF($D$2:D438,"&gt;0"))</f>
        <v/>
      </c>
      <c r="F438" s="24" t="str">
        <f t="shared" ca="1" si="29"/>
        <v/>
      </c>
    </row>
    <row r="439" spans="1:6">
      <c r="A439" s="46" t="s">
        <v>858</v>
      </c>
      <c r="B439" s="25" t="s">
        <v>343</v>
      </c>
      <c r="C439" s="45" t="s">
        <v>355</v>
      </c>
      <c r="D439">
        <f t="shared" ca="1" si="23"/>
        <v>0</v>
      </c>
      <c r="E439" t="str">
        <f ca="1">IF(D439=0,"",COUNTIF($D$2:D439,"&gt;0"))</f>
        <v/>
      </c>
      <c r="F439" s="24" t="str">
        <f t="shared" ca="1" si="29"/>
        <v/>
      </c>
    </row>
    <row r="440" spans="1:6">
      <c r="A440" s="46" t="s">
        <v>859</v>
      </c>
      <c r="B440" s="25" t="s">
        <v>348</v>
      </c>
      <c r="C440" s="45" t="s">
        <v>410</v>
      </c>
      <c r="D440">
        <f t="shared" ca="1" si="23"/>
        <v>0</v>
      </c>
      <c r="E440" t="str">
        <f ca="1">IF(D440=0,"",COUNTIF($D$2:D440,"&gt;0"))</f>
        <v/>
      </c>
      <c r="F440" s="24" t="str">
        <f t="shared" ca="1" si="29"/>
        <v/>
      </c>
    </row>
    <row r="441" spans="1:6">
      <c r="A441" s="46" t="s">
        <v>860</v>
      </c>
      <c r="B441" s="25" t="s">
        <v>343</v>
      </c>
      <c r="C441" s="45" t="s">
        <v>422</v>
      </c>
      <c r="D441">
        <f t="shared" ca="1" si="23"/>
        <v>0</v>
      </c>
      <c r="E441" t="str">
        <f ca="1">IF(D441=0,"",COUNTIF($D$2:D441,"&gt;0"))</f>
        <v/>
      </c>
      <c r="F441" s="24" t="str">
        <f t="shared" ca="1" si="29"/>
        <v/>
      </c>
    </row>
    <row r="442" spans="1:6">
      <c r="A442" s="44" t="s">
        <v>862</v>
      </c>
      <c r="B442" s="25"/>
      <c r="C442" s="45"/>
      <c r="D442">
        <f t="shared" ca="1" si="23"/>
        <v>0</v>
      </c>
      <c r="E442" t="str">
        <f ca="1">IF(D442=0,"",COUNTIF($D$2:D442,"&gt;0"))</f>
        <v/>
      </c>
      <c r="F442" s="24" t="str">
        <f t="shared" ca="1" si="29"/>
        <v/>
      </c>
    </row>
    <row r="443" spans="1:6">
      <c r="A443" s="46" t="s">
        <v>863</v>
      </c>
      <c r="B443" s="25" t="s">
        <v>343</v>
      </c>
      <c r="C443" s="45" t="s">
        <v>423</v>
      </c>
      <c r="D443">
        <f t="shared" ca="1" si="23"/>
        <v>0</v>
      </c>
      <c r="E443" t="str">
        <f ca="1">IF(D443=0,"",COUNTIF($D$2:D443,"&gt;0"))</f>
        <v/>
      </c>
      <c r="F443" s="24" t="str">
        <f t="shared" ca="1" si="29"/>
        <v/>
      </c>
    </row>
    <row r="444" spans="1:6">
      <c r="A444" s="46" t="s">
        <v>864</v>
      </c>
      <c r="B444" s="25" t="s">
        <v>343</v>
      </c>
      <c r="C444" s="45" t="s">
        <v>367</v>
      </c>
      <c r="D444">
        <f t="shared" ca="1" si="23"/>
        <v>0</v>
      </c>
      <c r="E444" t="str">
        <f ca="1">IF(D444=0,"",COUNTIF($D$2:D444,"&gt;0"))</f>
        <v/>
      </c>
      <c r="F444" s="24" t="str">
        <f t="shared" ca="1" si="29"/>
        <v/>
      </c>
    </row>
    <row r="445" spans="1:6">
      <c r="A445" s="46" t="s">
        <v>865</v>
      </c>
      <c r="B445" s="25" t="s">
        <v>343</v>
      </c>
      <c r="C445" s="45" t="s">
        <v>411</v>
      </c>
      <c r="D445">
        <f t="shared" ca="1" si="23"/>
        <v>0</v>
      </c>
      <c r="E445" t="str">
        <f ca="1">IF(D445=0,"",COUNTIF($D$2:D445,"&gt;0"))</f>
        <v/>
      </c>
      <c r="F445" s="24" t="str">
        <f t="shared" ca="1" si="29"/>
        <v/>
      </c>
    </row>
    <row r="446" spans="1:6">
      <c r="A446" s="46" t="s">
        <v>866</v>
      </c>
      <c r="B446" s="25" t="s">
        <v>343</v>
      </c>
      <c r="C446" s="45" t="s">
        <v>355</v>
      </c>
      <c r="D446">
        <f t="shared" ca="1" si="23"/>
        <v>0</v>
      </c>
      <c r="E446" t="str">
        <f ca="1">IF(D446=0,"",COUNTIF($D$2:D446,"&gt;0"))</f>
        <v/>
      </c>
      <c r="F446" s="24" t="str">
        <f t="shared" ca="1" si="29"/>
        <v/>
      </c>
    </row>
    <row r="447" spans="1:6">
      <c r="A447" s="46" t="s">
        <v>867</v>
      </c>
      <c r="B447" s="25" t="s">
        <v>343</v>
      </c>
      <c r="C447" s="45" t="s">
        <v>391</v>
      </c>
      <c r="D447">
        <f t="shared" ca="1" si="23"/>
        <v>0</v>
      </c>
      <c r="E447" t="str">
        <f ca="1">IF(D447=0,"",COUNTIF($D$2:D447,"&gt;0"))</f>
        <v/>
      </c>
      <c r="F447" s="24" t="str">
        <f t="shared" ca="1" si="29"/>
        <v/>
      </c>
    </row>
    <row r="448" spans="1:6">
      <c r="A448" s="46" t="s">
        <v>868</v>
      </c>
      <c r="B448" s="25" t="s">
        <v>343</v>
      </c>
      <c r="C448" s="45" t="s">
        <v>393</v>
      </c>
      <c r="D448">
        <f t="shared" ca="1" si="23"/>
        <v>0</v>
      </c>
      <c r="E448" t="str">
        <f ca="1">IF(D448=0,"",COUNTIF($D$2:D448,"&gt;0"))</f>
        <v/>
      </c>
      <c r="F448" s="24" t="str">
        <f t="shared" ca="1" si="29"/>
        <v/>
      </c>
    </row>
    <row r="449" spans="1:6">
      <c r="A449" s="46" t="s">
        <v>869</v>
      </c>
      <c r="B449" s="25" t="s">
        <v>343</v>
      </c>
      <c r="C449" s="45" t="s">
        <v>415</v>
      </c>
      <c r="D449">
        <f t="shared" ca="1" si="23"/>
        <v>0</v>
      </c>
      <c r="E449" t="str">
        <f ca="1">IF(D449=0,"",COUNTIF($D$2:D449,"&gt;0"))</f>
        <v/>
      </c>
      <c r="F449" s="24" t="str">
        <f t="shared" ca="1" si="29"/>
        <v/>
      </c>
    </row>
    <row r="450" spans="1:6">
      <c r="A450" s="44" t="s">
        <v>870</v>
      </c>
      <c r="B450" s="25"/>
      <c r="C450" s="45"/>
      <c r="D450">
        <f t="shared" ca="1" si="23"/>
        <v>0</v>
      </c>
      <c r="E450" t="str">
        <f ca="1">IF(D450=0,"",COUNTIF($D$2:D450,"&gt;0"))</f>
        <v/>
      </c>
      <c r="F450" s="24" t="str">
        <f t="shared" ca="1" si="29"/>
        <v/>
      </c>
    </row>
    <row r="451" spans="1:6">
      <c r="A451" s="47" t="s">
        <v>871</v>
      </c>
      <c r="B451" s="25" t="s">
        <v>343</v>
      </c>
      <c r="C451" s="45" t="s">
        <v>344</v>
      </c>
      <c r="D451">
        <f t="shared" ref="D451:D514" ca="1" si="30">IFERROR(SEARCH(INDIRECT(CELL("address")),A451),0)</f>
        <v>0</v>
      </c>
      <c r="E451" t="str">
        <f ca="1">IF(D451=0,"",COUNTIF($D$2:D451,"&gt;0"))</f>
        <v/>
      </c>
      <c r="F451" s="24" t="str">
        <f t="shared" ca="1" si="29"/>
        <v/>
      </c>
    </row>
    <row r="452" spans="1:6">
      <c r="A452" s="46" t="s">
        <v>872</v>
      </c>
      <c r="B452" s="25" t="s">
        <v>343</v>
      </c>
      <c r="C452" s="45" t="s">
        <v>405</v>
      </c>
      <c r="D452">
        <f t="shared" ca="1" si="30"/>
        <v>0</v>
      </c>
      <c r="E452" t="str">
        <f ca="1">IF(D452=0,"",COUNTIF($D$2:D452,"&gt;0"))</f>
        <v/>
      </c>
      <c r="F452" s="24" t="str">
        <f t="shared" ca="1" si="29"/>
        <v/>
      </c>
    </row>
    <row r="453" spans="1:6">
      <c r="A453" s="46" t="s">
        <v>874</v>
      </c>
      <c r="B453" s="25" t="s">
        <v>343</v>
      </c>
      <c r="C453" s="45" t="s">
        <v>411</v>
      </c>
      <c r="D453">
        <f t="shared" ca="1" si="30"/>
        <v>0</v>
      </c>
      <c r="E453" t="str">
        <f ca="1">IF(D453=0,"",COUNTIF($D$2:D453,"&gt;0"))</f>
        <v/>
      </c>
      <c r="F453" s="24" t="str">
        <f t="shared" ca="1" si="29"/>
        <v/>
      </c>
    </row>
    <row r="454" spans="1:6">
      <c r="A454" s="46" t="s">
        <v>875</v>
      </c>
      <c r="B454" s="25" t="s">
        <v>343</v>
      </c>
      <c r="C454" s="45" t="s">
        <v>424</v>
      </c>
      <c r="D454">
        <f t="shared" ca="1" si="30"/>
        <v>0</v>
      </c>
      <c r="E454" t="str">
        <f ca="1">IF(D454=0,"",COUNTIF($D$2:D454,"&gt;0"))</f>
        <v/>
      </c>
      <c r="F454" s="24" t="str">
        <f t="shared" ca="1" si="29"/>
        <v/>
      </c>
    </row>
    <row r="455" spans="1:6">
      <c r="A455" s="46" t="s">
        <v>876</v>
      </c>
      <c r="B455" s="25" t="s">
        <v>343</v>
      </c>
      <c r="C455" s="45" t="s">
        <v>361</v>
      </c>
      <c r="D455">
        <f t="shared" ca="1" si="30"/>
        <v>0</v>
      </c>
      <c r="E455" t="str">
        <f ca="1">IF(D455=0,"",COUNTIF($D$2:D455,"&gt;0"))</f>
        <v/>
      </c>
      <c r="F455" s="24" t="str">
        <f t="shared" ca="1" si="29"/>
        <v/>
      </c>
    </row>
    <row r="456" spans="1:6">
      <c r="A456" s="46" t="s">
        <v>873</v>
      </c>
      <c r="B456" s="25" t="s">
        <v>343</v>
      </c>
      <c r="C456" s="45" t="s">
        <v>376</v>
      </c>
      <c r="D456">
        <f t="shared" ca="1" si="30"/>
        <v>0</v>
      </c>
      <c r="E456" t="str">
        <f ca="1">IF(D456=0,"",COUNTIF($D$2:D456,"&gt;0"))</f>
        <v/>
      </c>
      <c r="F456" s="24" t="str">
        <f t="shared" ca="1" si="29"/>
        <v/>
      </c>
    </row>
    <row r="457" spans="1:6">
      <c r="A457" s="44" t="s">
        <v>877</v>
      </c>
      <c r="B457" s="25"/>
      <c r="C457" s="45"/>
      <c r="D457">
        <f t="shared" ca="1" si="30"/>
        <v>0</v>
      </c>
      <c r="E457" t="str">
        <f ca="1">IF(D457=0,"",COUNTIF($D$2:D457,"&gt;0"))</f>
        <v/>
      </c>
      <c r="F457" s="24" t="str">
        <f t="shared" ca="1" si="29"/>
        <v/>
      </c>
    </row>
    <row r="458" spans="1:6">
      <c r="A458" s="47" t="s">
        <v>878</v>
      </c>
      <c r="B458" s="25" t="s">
        <v>343</v>
      </c>
      <c r="C458" s="45" t="s">
        <v>420</v>
      </c>
      <c r="D458">
        <f t="shared" ca="1" si="30"/>
        <v>0</v>
      </c>
      <c r="E458" t="str">
        <f ca="1">IF(D458=0,"",COUNTIF($D$2:D458,"&gt;0"))</f>
        <v/>
      </c>
      <c r="F458" s="24" t="str">
        <f t="shared" ca="1" si="29"/>
        <v/>
      </c>
    </row>
    <row r="459" spans="1:6">
      <c r="A459" s="41" t="s">
        <v>879</v>
      </c>
      <c r="B459" s="25" t="s">
        <v>343</v>
      </c>
      <c r="C459" s="45" t="s">
        <v>425</v>
      </c>
      <c r="D459">
        <f t="shared" ca="1" si="30"/>
        <v>0</v>
      </c>
      <c r="E459" t="str">
        <f ca="1">IF(D459=0,"",COUNTIF($D$2:D459,"&gt;0"))</f>
        <v/>
      </c>
      <c r="F459" s="24" t="str">
        <f t="shared" ca="1" si="29"/>
        <v/>
      </c>
    </row>
    <row r="460" spans="1:6">
      <c r="A460" s="46" t="s">
        <v>881</v>
      </c>
      <c r="B460" s="25" t="s">
        <v>343</v>
      </c>
      <c r="C460" s="45" t="s">
        <v>426</v>
      </c>
      <c r="D460">
        <f t="shared" ca="1" si="30"/>
        <v>0</v>
      </c>
      <c r="E460" t="str">
        <f ca="1">IF(D460=0,"",COUNTIF($D$2:D460,"&gt;0"))</f>
        <v/>
      </c>
      <c r="F460" s="24" t="str">
        <f t="shared" ca="1" si="29"/>
        <v/>
      </c>
    </row>
    <row r="461" spans="1:6">
      <c r="A461" s="46" t="s">
        <v>883</v>
      </c>
      <c r="B461" s="25" t="s">
        <v>343</v>
      </c>
      <c r="C461" s="45" t="s">
        <v>427</v>
      </c>
      <c r="D461">
        <f t="shared" ca="1" si="30"/>
        <v>0</v>
      </c>
      <c r="E461" t="str">
        <f ca="1">IF(D461=0,"",COUNTIF($D$2:D461,"&gt;0"))</f>
        <v/>
      </c>
      <c r="F461" s="24" t="str">
        <f t="shared" ref="F461:F492" ca="1" si="31">IFERROR(INDEX(A:A,MATCH(ROW(D460),E:E,0)),"")</f>
        <v/>
      </c>
    </row>
    <row r="462" spans="1:6">
      <c r="A462" s="46" t="s">
        <v>884</v>
      </c>
      <c r="B462" s="25" t="s">
        <v>343</v>
      </c>
      <c r="C462" s="45" t="s">
        <v>392</v>
      </c>
      <c r="D462">
        <f t="shared" ca="1" si="30"/>
        <v>0</v>
      </c>
      <c r="E462" t="str">
        <f ca="1">IF(D462=0,"",COUNTIF($D$2:D462,"&gt;0"))</f>
        <v/>
      </c>
      <c r="F462" s="24" t="str">
        <f t="shared" ca="1" si="31"/>
        <v/>
      </c>
    </row>
    <row r="463" spans="1:6">
      <c r="A463" s="46" t="s">
        <v>882</v>
      </c>
      <c r="B463" s="25" t="s">
        <v>343</v>
      </c>
      <c r="C463" s="45" t="s">
        <v>361</v>
      </c>
      <c r="D463">
        <f t="shared" ca="1" si="30"/>
        <v>0</v>
      </c>
      <c r="E463" t="str">
        <f ca="1">IF(D463=0,"",COUNTIF($D$2:D463,"&gt;0"))</f>
        <v/>
      </c>
      <c r="F463" s="24" t="str">
        <f t="shared" ca="1" si="31"/>
        <v/>
      </c>
    </row>
    <row r="464" spans="1:6">
      <c r="A464" s="46" t="s">
        <v>885</v>
      </c>
      <c r="B464" s="25" t="s">
        <v>343</v>
      </c>
      <c r="C464" s="45" t="s">
        <v>372</v>
      </c>
      <c r="D464">
        <f t="shared" ca="1" si="30"/>
        <v>0</v>
      </c>
      <c r="E464" t="str">
        <f ca="1">IF(D464=0,"",COUNTIF($D$2:D464,"&gt;0"))</f>
        <v/>
      </c>
      <c r="F464" s="24" t="str">
        <f t="shared" ca="1" si="31"/>
        <v/>
      </c>
    </row>
    <row r="465" spans="1:6">
      <c r="A465" s="46" t="s">
        <v>880</v>
      </c>
      <c r="B465" s="25" t="s">
        <v>348</v>
      </c>
      <c r="C465" s="45" t="s">
        <v>378</v>
      </c>
      <c r="D465">
        <f t="shared" ca="1" si="30"/>
        <v>0</v>
      </c>
      <c r="E465" t="str">
        <f ca="1">IF(D465=0,"",COUNTIF($D$2:D465,"&gt;0"))</f>
        <v/>
      </c>
      <c r="F465" s="24" t="str">
        <f t="shared" ca="1" si="31"/>
        <v/>
      </c>
    </row>
    <row r="466" spans="1:6">
      <c r="A466" s="44" t="s">
        <v>886</v>
      </c>
      <c r="B466" s="25"/>
      <c r="C466" s="45"/>
      <c r="D466">
        <f t="shared" ca="1" si="30"/>
        <v>0</v>
      </c>
      <c r="E466" t="str">
        <f ca="1">IF(D466=0,"",COUNTIF($D$2:D466,"&gt;0"))</f>
        <v/>
      </c>
      <c r="F466" s="24" t="str">
        <f t="shared" ca="1" si="31"/>
        <v/>
      </c>
    </row>
    <row r="467" spans="1:6">
      <c r="A467" s="47" t="s">
        <v>887</v>
      </c>
      <c r="B467" s="25" t="s">
        <v>343</v>
      </c>
      <c r="C467" s="45" t="s">
        <v>417</v>
      </c>
      <c r="D467">
        <f t="shared" ca="1" si="30"/>
        <v>0</v>
      </c>
      <c r="E467" t="str">
        <f ca="1">IF(D467=0,"",COUNTIF($D$2:D467,"&gt;0"))</f>
        <v/>
      </c>
      <c r="F467" s="24" t="str">
        <f t="shared" ca="1" si="31"/>
        <v/>
      </c>
    </row>
    <row r="468" spans="1:6">
      <c r="A468" s="41" t="s">
        <v>888</v>
      </c>
      <c r="B468" s="25" t="s">
        <v>343</v>
      </c>
      <c r="C468" s="45" t="s">
        <v>428</v>
      </c>
      <c r="D468">
        <f t="shared" ca="1" si="30"/>
        <v>0</v>
      </c>
      <c r="E468" t="str">
        <f ca="1">IF(D468=0,"",COUNTIF($D$2:D468,"&gt;0"))</f>
        <v/>
      </c>
      <c r="F468" s="24" t="str">
        <f t="shared" ca="1" si="31"/>
        <v/>
      </c>
    </row>
    <row r="469" spans="1:6">
      <c r="A469" s="41" t="s">
        <v>890</v>
      </c>
      <c r="B469" s="25" t="s">
        <v>343</v>
      </c>
      <c r="C469" s="45" t="s">
        <v>389</v>
      </c>
      <c r="D469">
        <f t="shared" ca="1" si="30"/>
        <v>0</v>
      </c>
      <c r="E469" t="str">
        <f ca="1">IF(D469=0,"",COUNTIF($D$2:D469,"&gt;0"))</f>
        <v/>
      </c>
      <c r="F469" s="24" t="str">
        <f t="shared" ca="1" si="31"/>
        <v/>
      </c>
    </row>
    <row r="470" spans="1:6">
      <c r="A470" s="41" t="s">
        <v>891</v>
      </c>
      <c r="B470" s="25" t="s">
        <v>343</v>
      </c>
      <c r="C470" s="45" t="s">
        <v>411</v>
      </c>
      <c r="D470">
        <f t="shared" ca="1" si="30"/>
        <v>0</v>
      </c>
      <c r="E470" t="str">
        <f ca="1">IF(D470=0,"",COUNTIF($D$2:D470,"&gt;0"))</f>
        <v/>
      </c>
      <c r="F470" s="24" t="str">
        <f t="shared" ca="1" si="31"/>
        <v/>
      </c>
    </row>
    <row r="471" spans="1:6">
      <c r="A471" s="41" t="s">
        <v>892</v>
      </c>
      <c r="B471" s="25" t="s">
        <v>343</v>
      </c>
      <c r="C471" s="45" t="s">
        <v>427</v>
      </c>
      <c r="D471">
        <f t="shared" ca="1" si="30"/>
        <v>0</v>
      </c>
      <c r="E471" t="str">
        <f ca="1">IF(D471=0,"",COUNTIF($D$2:D471,"&gt;0"))</f>
        <v/>
      </c>
      <c r="F471" s="24" t="str">
        <f t="shared" ca="1" si="31"/>
        <v/>
      </c>
    </row>
    <row r="472" spans="1:6">
      <c r="A472" s="46" t="s">
        <v>889</v>
      </c>
      <c r="B472" s="25" t="s">
        <v>343</v>
      </c>
      <c r="C472" s="45" t="s">
        <v>410</v>
      </c>
      <c r="D472">
        <f t="shared" ca="1" si="30"/>
        <v>0</v>
      </c>
      <c r="E472" t="str">
        <f ca="1">IF(D472=0,"",COUNTIF($D$2:D472,"&gt;0"))</f>
        <v/>
      </c>
      <c r="F472" s="24" t="str">
        <f t="shared" ca="1" si="31"/>
        <v/>
      </c>
    </row>
    <row r="473" spans="1:6">
      <c r="A473" s="44" t="s">
        <v>893</v>
      </c>
      <c r="B473" s="25"/>
      <c r="C473" s="45" t="s">
        <v>429</v>
      </c>
      <c r="D473">
        <f t="shared" ca="1" si="30"/>
        <v>0</v>
      </c>
      <c r="E473" t="str">
        <f ca="1">IF(D473=0,"",COUNTIF($D$2:D473,"&gt;0"))</f>
        <v/>
      </c>
      <c r="F473" s="24" t="str">
        <f t="shared" ca="1" si="31"/>
        <v/>
      </c>
    </row>
    <row r="474" spans="1:6">
      <c r="A474" s="46" t="s">
        <v>894</v>
      </c>
      <c r="B474" s="25" t="s">
        <v>343</v>
      </c>
      <c r="C474" s="45" t="s">
        <v>420</v>
      </c>
      <c r="D474">
        <f t="shared" ca="1" si="30"/>
        <v>0</v>
      </c>
      <c r="E474" t="str">
        <f ca="1">IF(D474=0,"",COUNTIF($D$2:D474,"&gt;0"))</f>
        <v/>
      </c>
      <c r="F474" s="24" t="str">
        <f t="shared" ca="1" si="31"/>
        <v/>
      </c>
    </row>
    <row r="475" spans="1:6">
      <c r="A475" s="46" t="s">
        <v>895</v>
      </c>
      <c r="B475" s="25" t="s">
        <v>343</v>
      </c>
      <c r="C475" s="45" t="s">
        <v>346</v>
      </c>
      <c r="D475">
        <f t="shared" ca="1" si="30"/>
        <v>0</v>
      </c>
      <c r="E475" t="str">
        <f ca="1">IF(D475=0,"",COUNTIF($D$2:D475,"&gt;0"))</f>
        <v/>
      </c>
      <c r="F475" s="24" t="str">
        <f t="shared" ca="1" si="31"/>
        <v/>
      </c>
    </row>
    <row r="476" spans="1:6">
      <c r="A476" s="41" t="s">
        <v>896</v>
      </c>
      <c r="B476" s="25" t="s">
        <v>343</v>
      </c>
      <c r="C476" s="45" t="s">
        <v>389</v>
      </c>
      <c r="D476">
        <f t="shared" ca="1" si="30"/>
        <v>0</v>
      </c>
      <c r="E476" t="str">
        <f ca="1">IF(D476=0,"",COUNTIF($D$2:D476,"&gt;0"))</f>
        <v/>
      </c>
      <c r="F476" s="24" t="str">
        <f t="shared" ca="1" si="31"/>
        <v/>
      </c>
    </row>
    <row r="477" spans="1:6">
      <c r="A477" s="41" t="s">
        <v>898</v>
      </c>
      <c r="B477" s="25" t="s">
        <v>343</v>
      </c>
      <c r="C477" s="45" t="s">
        <v>408</v>
      </c>
      <c r="D477">
        <f t="shared" ca="1" si="30"/>
        <v>0</v>
      </c>
      <c r="E477" t="str">
        <f ca="1">IF(D477=0,"",COUNTIF($D$2:D477,"&gt;0"))</f>
        <v/>
      </c>
      <c r="F477" s="24" t="str">
        <f t="shared" ca="1" si="31"/>
        <v/>
      </c>
    </row>
    <row r="478" spans="1:6">
      <c r="A478" s="41" t="s">
        <v>899</v>
      </c>
      <c r="B478" s="25" t="s">
        <v>343</v>
      </c>
      <c r="C478" s="45" t="s">
        <v>430</v>
      </c>
      <c r="D478">
        <f t="shared" ca="1" si="30"/>
        <v>0</v>
      </c>
      <c r="E478" t="str">
        <f ca="1">IF(D478=0,"",COUNTIF($D$2:D478,"&gt;0"))</f>
        <v/>
      </c>
      <c r="F478" s="24" t="str">
        <f t="shared" ca="1" si="31"/>
        <v/>
      </c>
    </row>
    <row r="479" spans="1:6">
      <c r="A479" s="46" t="s">
        <v>897</v>
      </c>
      <c r="B479" s="25" t="s">
        <v>343</v>
      </c>
      <c r="C479" s="45" t="s">
        <v>392</v>
      </c>
      <c r="D479">
        <f t="shared" ca="1" si="30"/>
        <v>0</v>
      </c>
      <c r="E479" t="str">
        <f ca="1">IF(D479=0,"",COUNTIF($D$2:D479,"&gt;0"))</f>
        <v/>
      </c>
      <c r="F479" s="24" t="str">
        <f t="shared" ca="1" si="31"/>
        <v/>
      </c>
    </row>
    <row r="480" spans="1:6">
      <c r="A480" s="44" t="s">
        <v>900</v>
      </c>
      <c r="B480" s="25"/>
      <c r="C480" s="45"/>
      <c r="D480">
        <f t="shared" ca="1" si="30"/>
        <v>0</v>
      </c>
      <c r="E480" t="str">
        <f ca="1">IF(D480=0,"",COUNTIF($D$2:D480,"&gt;0"))</f>
        <v/>
      </c>
      <c r="F480" s="24" t="str">
        <f t="shared" ca="1" si="31"/>
        <v/>
      </c>
    </row>
    <row r="481" spans="1:6">
      <c r="A481" s="41" t="s">
        <v>901</v>
      </c>
      <c r="B481" s="25" t="s">
        <v>343</v>
      </c>
      <c r="C481" s="45" t="s">
        <v>431</v>
      </c>
      <c r="D481">
        <f t="shared" ca="1" si="30"/>
        <v>0</v>
      </c>
      <c r="E481" t="str">
        <f ca="1">IF(D481=0,"",COUNTIF($D$2:D481,"&gt;0"))</f>
        <v/>
      </c>
      <c r="F481" s="24" t="str">
        <f t="shared" ca="1" si="31"/>
        <v/>
      </c>
    </row>
    <row r="482" spans="1:6">
      <c r="A482" s="46" t="s">
        <v>903</v>
      </c>
      <c r="B482" s="25" t="s">
        <v>343</v>
      </c>
      <c r="C482" s="45" t="s">
        <v>432</v>
      </c>
      <c r="D482">
        <f t="shared" ca="1" si="30"/>
        <v>0</v>
      </c>
      <c r="E482" t="str">
        <f ca="1">IF(D482=0,"",COUNTIF($D$2:D482,"&gt;0"))</f>
        <v/>
      </c>
      <c r="F482" s="24" t="str">
        <f t="shared" ca="1" si="31"/>
        <v/>
      </c>
    </row>
    <row r="483" spans="1:6">
      <c r="A483" s="41" t="s">
        <v>904</v>
      </c>
      <c r="B483" s="25" t="s">
        <v>343</v>
      </c>
      <c r="C483" s="45" t="s">
        <v>433</v>
      </c>
      <c r="D483">
        <f t="shared" ca="1" si="30"/>
        <v>0</v>
      </c>
      <c r="E483" t="str">
        <f ca="1">IF(D483=0,"",COUNTIF($D$2:D483,"&gt;0"))</f>
        <v/>
      </c>
      <c r="F483" s="24" t="str">
        <f t="shared" ca="1" si="31"/>
        <v/>
      </c>
    </row>
    <row r="484" spans="1:6">
      <c r="A484" s="41" t="s">
        <v>905</v>
      </c>
      <c r="B484" s="25" t="s">
        <v>343</v>
      </c>
      <c r="C484" s="45" t="s">
        <v>434</v>
      </c>
      <c r="D484">
        <f t="shared" ca="1" si="30"/>
        <v>0</v>
      </c>
      <c r="E484" t="str">
        <f ca="1">IF(D484=0,"",COUNTIF($D$2:D484,"&gt;0"))</f>
        <v/>
      </c>
      <c r="F484" s="24" t="str">
        <f t="shared" ca="1" si="31"/>
        <v/>
      </c>
    </row>
    <row r="485" spans="1:6">
      <c r="A485" s="41" t="s">
        <v>906</v>
      </c>
      <c r="B485" s="25" t="s">
        <v>343</v>
      </c>
      <c r="C485" s="45" t="s">
        <v>435</v>
      </c>
      <c r="D485">
        <f t="shared" ca="1" si="30"/>
        <v>0</v>
      </c>
      <c r="E485" t="str">
        <f ca="1">IF(D485=0,"",COUNTIF($D$2:D485,"&gt;0"))</f>
        <v/>
      </c>
      <c r="F485" s="24" t="str">
        <f t="shared" ca="1" si="31"/>
        <v/>
      </c>
    </row>
    <row r="486" spans="1:6">
      <c r="A486" s="41" t="s">
        <v>907</v>
      </c>
      <c r="B486" s="25" t="s">
        <v>343</v>
      </c>
      <c r="C486" s="45" t="s">
        <v>436</v>
      </c>
      <c r="D486">
        <f t="shared" ca="1" si="30"/>
        <v>0</v>
      </c>
      <c r="E486" t="str">
        <f ca="1">IF(D486=0,"",COUNTIF($D$2:D486,"&gt;0"))</f>
        <v/>
      </c>
      <c r="F486" s="24" t="str">
        <f t="shared" ca="1" si="31"/>
        <v/>
      </c>
    </row>
    <row r="487" spans="1:6">
      <c r="A487" s="46" t="s">
        <v>902</v>
      </c>
      <c r="B487" s="25" t="s">
        <v>343</v>
      </c>
      <c r="C487" s="45" t="s">
        <v>437</v>
      </c>
      <c r="D487">
        <f t="shared" ca="1" si="30"/>
        <v>0</v>
      </c>
      <c r="E487" t="str">
        <f ca="1">IF(D487=0,"",COUNTIF($D$2:D487,"&gt;0"))</f>
        <v/>
      </c>
      <c r="F487" s="24" t="str">
        <f t="shared" ca="1" si="31"/>
        <v/>
      </c>
    </row>
    <row r="488" spans="1:6">
      <c r="A488" s="44" t="s">
        <v>908</v>
      </c>
      <c r="B488" s="25"/>
      <c r="C488" s="45"/>
      <c r="D488">
        <f t="shared" ca="1" si="30"/>
        <v>0</v>
      </c>
      <c r="E488" t="str">
        <f ca="1">IF(D488=0,"",COUNTIF($D$2:D488,"&gt;0"))</f>
        <v/>
      </c>
      <c r="F488" s="24" t="str">
        <f t="shared" ca="1" si="31"/>
        <v/>
      </c>
    </row>
    <row r="489" spans="1:6">
      <c r="A489" s="41" t="s">
        <v>909</v>
      </c>
      <c r="B489" s="25" t="s">
        <v>343</v>
      </c>
      <c r="C489" s="45" t="s">
        <v>431</v>
      </c>
      <c r="D489">
        <f t="shared" ca="1" si="30"/>
        <v>0</v>
      </c>
      <c r="E489" t="str">
        <f ca="1">IF(D489=0,"",COUNTIF($D$2:D489,"&gt;0"))</f>
        <v/>
      </c>
      <c r="F489" s="24" t="str">
        <f t="shared" ca="1" si="31"/>
        <v/>
      </c>
    </row>
    <row r="490" spans="1:6">
      <c r="A490" s="41" t="s">
        <v>911</v>
      </c>
      <c r="B490" s="25" t="s">
        <v>343</v>
      </c>
      <c r="C490" s="45" t="s">
        <v>432</v>
      </c>
      <c r="D490">
        <f t="shared" ca="1" si="30"/>
        <v>0</v>
      </c>
      <c r="E490" t="str">
        <f ca="1">IF(D490=0,"",COUNTIF($D$2:D490,"&gt;0"))</f>
        <v/>
      </c>
      <c r="F490" s="24" t="str">
        <f t="shared" ca="1" si="31"/>
        <v/>
      </c>
    </row>
    <row r="491" spans="1:6">
      <c r="A491" s="41" t="s">
        <v>912</v>
      </c>
      <c r="B491" s="25" t="s">
        <v>343</v>
      </c>
      <c r="C491" s="45" t="s">
        <v>433</v>
      </c>
      <c r="D491">
        <f t="shared" ca="1" si="30"/>
        <v>0</v>
      </c>
      <c r="E491" t="str">
        <f ca="1">IF(D491=0,"",COUNTIF($D$2:D491,"&gt;0"))</f>
        <v/>
      </c>
      <c r="F491" s="24" t="str">
        <f t="shared" ca="1" si="31"/>
        <v/>
      </c>
    </row>
    <row r="492" spans="1:6">
      <c r="A492" s="41" t="s">
        <v>913</v>
      </c>
      <c r="B492" s="25" t="s">
        <v>343</v>
      </c>
      <c r="C492" s="45" t="s">
        <v>434</v>
      </c>
      <c r="D492">
        <f t="shared" ca="1" si="30"/>
        <v>0</v>
      </c>
      <c r="E492" t="str">
        <f ca="1">IF(D492=0,"",COUNTIF($D$2:D492,"&gt;0"))</f>
        <v/>
      </c>
      <c r="F492" s="24" t="str">
        <f t="shared" ca="1" si="31"/>
        <v/>
      </c>
    </row>
    <row r="493" spans="1:6">
      <c r="A493" s="41" t="s">
        <v>914</v>
      </c>
      <c r="B493" s="25" t="s">
        <v>343</v>
      </c>
      <c r="C493" s="45" t="s">
        <v>435</v>
      </c>
      <c r="D493">
        <f t="shared" ca="1" si="30"/>
        <v>0</v>
      </c>
      <c r="E493" t="str">
        <f ca="1">IF(D493=0,"",COUNTIF($D$2:D493,"&gt;0"))</f>
        <v/>
      </c>
      <c r="F493" s="24" t="str">
        <f t="shared" ref="F493:F519" ca="1" si="32">IFERROR(INDEX(A:A,MATCH(ROW(D492),E:E,0)),"")</f>
        <v/>
      </c>
    </row>
    <row r="494" spans="1:6">
      <c r="A494" s="41" t="s">
        <v>915</v>
      </c>
      <c r="B494" s="25" t="s">
        <v>343</v>
      </c>
      <c r="C494" s="45" t="s">
        <v>436</v>
      </c>
      <c r="D494">
        <f t="shared" ca="1" si="30"/>
        <v>0</v>
      </c>
      <c r="E494" t="str">
        <f ca="1">IF(D494=0,"",COUNTIF($D$2:D494,"&gt;0"))</f>
        <v/>
      </c>
      <c r="F494" s="24" t="str">
        <f t="shared" ca="1" si="32"/>
        <v/>
      </c>
    </row>
    <row r="495" spans="1:6">
      <c r="A495" s="46" t="s">
        <v>910</v>
      </c>
      <c r="B495" s="25" t="s">
        <v>343</v>
      </c>
      <c r="C495" s="45" t="s">
        <v>437</v>
      </c>
      <c r="D495">
        <f t="shared" ca="1" si="30"/>
        <v>0</v>
      </c>
      <c r="E495" t="str">
        <f ca="1">IF(D495=0,"",COUNTIF($D$2:D495,"&gt;0"))</f>
        <v/>
      </c>
      <c r="F495" s="24" t="str">
        <f t="shared" ca="1" si="32"/>
        <v/>
      </c>
    </row>
    <row r="496" spans="1:6">
      <c r="A496" s="44" t="s">
        <v>916</v>
      </c>
      <c r="B496" s="25"/>
      <c r="C496" s="45"/>
      <c r="D496">
        <f t="shared" ca="1" si="30"/>
        <v>0</v>
      </c>
      <c r="E496" t="str">
        <f ca="1">IF(D496=0,"",COUNTIF($D$2:D496,"&gt;0"))</f>
        <v/>
      </c>
      <c r="F496" s="24" t="str">
        <f t="shared" ca="1" si="32"/>
        <v/>
      </c>
    </row>
    <row r="497" spans="1:6">
      <c r="A497" s="47" t="s">
        <v>917</v>
      </c>
      <c r="B497" s="25" t="s">
        <v>343</v>
      </c>
      <c r="C497" s="45" t="s">
        <v>438</v>
      </c>
      <c r="D497">
        <f t="shared" ca="1" si="30"/>
        <v>0</v>
      </c>
      <c r="E497" t="str">
        <f ca="1">IF(D497=0,"",COUNTIF($D$2:D497,"&gt;0"))</f>
        <v/>
      </c>
      <c r="F497" s="24" t="str">
        <f t="shared" ca="1" si="32"/>
        <v/>
      </c>
    </row>
    <row r="498" spans="1:6">
      <c r="A498" s="41" t="s">
        <v>918</v>
      </c>
      <c r="B498" s="25" t="s">
        <v>343</v>
      </c>
      <c r="C498" s="45" t="s">
        <v>421</v>
      </c>
      <c r="D498">
        <f t="shared" ca="1" si="30"/>
        <v>0</v>
      </c>
      <c r="E498" t="str">
        <f ca="1">IF(D498=0,"",COUNTIF($D$2:D498,"&gt;0"))</f>
        <v/>
      </c>
      <c r="F498" s="24" t="str">
        <f t="shared" ca="1" si="32"/>
        <v/>
      </c>
    </row>
    <row r="499" spans="1:6">
      <c r="A499" s="41" t="s">
        <v>920</v>
      </c>
      <c r="B499" s="25" t="s">
        <v>343</v>
      </c>
      <c r="C499" s="45" t="s">
        <v>394</v>
      </c>
      <c r="D499">
        <f t="shared" ca="1" si="30"/>
        <v>0</v>
      </c>
      <c r="E499" t="str">
        <f ca="1">IF(D499=0,"",COUNTIF($D$2:D499,"&gt;0"))</f>
        <v/>
      </c>
      <c r="F499" s="24" t="str">
        <f t="shared" ca="1" si="32"/>
        <v/>
      </c>
    </row>
    <row r="500" spans="1:6">
      <c r="A500" s="41" t="s">
        <v>921</v>
      </c>
      <c r="B500" s="25" t="s">
        <v>343</v>
      </c>
      <c r="C500" s="45" t="s">
        <v>419</v>
      </c>
      <c r="D500">
        <f t="shared" ca="1" si="30"/>
        <v>0</v>
      </c>
      <c r="E500" t="str">
        <f ca="1">IF(D500=0,"",COUNTIF($D$2:D500,"&gt;0"))</f>
        <v/>
      </c>
      <c r="F500" s="24" t="str">
        <f t="shared" ca="1" si="32"/>
        <v/>
      </c>
    </row>
    <row r="501" spans="1:6">
      <c r="A501" s="41" t="s">
        <v>922</v>
      </c>
      <c r="B501" s="25" t="s">
        <v>343</v>
      </c>
      <c r="C501" s="45" t="s">
        <v>430</v>
      </c>
      <c r="D501">
        <f t="shared" ca="1" si="30"/>
        <v>0</v>
      </c>
      <c r="E501" t="str">
        <f ca="1">IF(D501=0,"",COUNTIF($D$2:D501,"&gt;0"))</f>
        <v/>
      </c>
      <c r="F501" s="24" t="str">
        <f t="shared" ca="1" si="32"/>
        <v/>
      </c>
    </row>
    <row r="502" spans="1:6">
      <c r="A502" s="41" t="s">
        <v>923</v>
      </c>
      <c r="B502" s="25" t="s">
        <v>343</v>
      </c>
      <c r="C502" s="45" t="s">
        <v>424</v>
      </c>
      <c r="D502">
        <f t="shared" ca="1" si="30"/>
        <v>0</v>
      </c>
      <c r="E502" t="str">
        <f ca="1">IF(D502=0,"",COUNTIF($D$2:D502,"&gt;0"))</f>
        <v/>
      </c>
      <c r="F502" s="24" t="str">
        <f t="shared" ca="1" si="32"/>
        <v/>
      </c>
    </row>
    <row r="503" spans="1:6">
      <c r="A503" s="46" t="s">
        <v>919</v>
      </c>
      <c r="B503" s="25" t="s">
        <v>343</v>
      </c>
      <c r="C503" s="45" t="s">
        <v>392</v>
      </c>
      <c r="D503">
        <f t="shared" ca="1" si="30"/>
        <v>0</v>
      </c>
      <c r="E503" t="str">
        <f ca="1">IF(D503=0,"",COUNTIF($D$2:D503,"&gt;0"))</f>
        <v/>
      </c>
      <c r="F503" s="24" t="str">
        <f t="shared" ca="1" si="32"/>
        <v/>
      </c>
    </row>
    <row r="504" spans="1:6">
      <c r="A504" s="44" t="s">
        <v>924</v>
      </c>
      <c r="B504" s="25"/>
      <c r="C504" s="45"/>
      <c r="D504">
        <f t="shared" ca="1" si="30"/>
        <v>0</v>
      </c>
      <c r="E504" t="str">
        <f ca="1">IF(D504=0,"",COUNTIF($D$2:D504,"&gt;0"))</f>
        <v/>
      </c>
      <c r="F504" s="24" t="str">
        <f t="shared" ca="1" si="32"/>
        <v/>
      </c>
    </row>
    <row r="505" spans="1:6">
      <c r="A505" s="41" t="s">
        <v>925</v>
      </c>
      <c r="B505" s="25" t="s">
        <v>343</v>
      </c>
      <c r="C505" s="45" t="s">
        <v>439</v>
      </c>
      <c r="D505">
        <f t="shared" ca="1" si="30"/>
        <v>0</v>
      </c>
      <c r="E505" t="str">
        <f ca="1">IF(D505=0,"",COUNTIF($D$2:D505,"&gt;0"))</f>
        <v/>
      </c>
      <c r="F505" s="24" t="str">
        <f t="shared" ca="1" si="32"/>
        <v/>
      </c>
    </row>
    <row r="506" spans="1:6">
      <c r="A506" s="41" t="s">
        <v>927</v>
      </c>
      <c r="B506" s="25" t="s">
        <v>343</v>
      </c>
      <c r="C506" s="45" t="s">
        <v>440</v>
      </c>
      <c r="D506">
        <f t="shared" ca="1" si="30"/>
        <v>0</v>
      </c>
      <c r="E506" t="str">
        <f ca="1">IF(D506=0,"",COUNTIF($D$2:D506,"&gt;0"))</f>
        <v/>
      </c>
      <c r="F506" s="24" t="str">
        <f t="shared" ca="1" si="32"/>
        <v/>
      </c>
    </row>
    <row r="507" spans="1:6">
      <c r="A507" s="41" t="s">
        <v>928</v>
      </c>
      <c r="B507" s="25" t="s">
        <v>343</v>
      </c>
      <c r="C507" s="45" t="s">
        <v>419</v>
      </c>
      <c r="D507">
        <f t="shared" ca="1" si="30"/>
        <v>0</v>
      </c>
      <c r="E507" t="str">
        <f ca="1">IF(D507=0,"",COUNTIF($D$2:D507,"&gt;0"))</f>
        <v/>
      </c>
      <c r="F507" s="24" t="str">
        <f t="shared" ca="1" si="32"/>
        <v/>
      </c>
    </row>
    <row r="508" spans="1:6">
      <c r="A508" s="41" t="s">
        <v>929</v>
      </c>
      <c r="B508" s="25" t="s">
        <v>343</v>
      </c>
      <c r="C508" s="45" t="s">
        <v>441</v>
      </c>
      <c r="D508">
        <f t="shared" ca="1" si="30"/>
        <v>0</v>
      </c>
      <c r="E508" t="str">
        <f ca="1">IF(D508=0,"",COUNTIF($D$2:D508,"&gt;0"))</f>
        <v/>
      </c>
      <c r="F508" s="24" t="str">
        <f t="shared" ca="1" si="32"/>
        <v/>
      </c>
    </row>
    <row r="509" spans="1:6">
      <c r="A509" s="41" t="s">
        <v>930</v>
      </c>
      <c r="B509" s="25" t="s">
        <v>343</v>
      </c>
      <c r="C509" s="45" t="s">
        <v>442</v>
      </c>
      <c r="D509">
        <f t="shared" ca="1" si="30"/>
        <v>0</v>
      </c>
      <c r="E509" t="str">
        <f ca="1">IF(D509=0,"",COUNTIF($D$2:D509,"&gt;0"))</f>
        <v/>
      </c>
      <c r="F509" s="24" t="str">
        <f t="shared" ca="1" si="32"/>
        <v/>
      </c>
    </row>
    <row r="510" spans="1:6">
      <c r="A510" s="41" t="s">
        <v>931</v>
      </c>
      <c r="B510" s="25" t="s">
        <v>443</v>
      </c>
      <c r="C510" s="45" t="s">
        <v>444</v>
      </c>
      <c r="D510">
        <f t="shared" ca="1" si="30"/>
        <v>0</v>
      </c>
      <c r="E510" t="str">
        <f ca="1">IF(D510=0,"",COUNTIF($D$2:D510,"&gt;0"))</f>
        <v/>
      </c>
      <c r="F510" s="24" t="str">
        <f t="shared" ca="1" si="32"/>
        <v/>
      </c>
    </row>
    <row r="511" spans="1:6">
      <c r="A511" s="46" t="s">
        <v>926</v>
      </c>
      <c r="B511" s="25" t="s">
        <v>343</v>
      </c>
      <c r="C511" s="45" t="s">
        <v>445</v>
      </c>
      <c r="D511">
        <f t="shared" ca="1" si="30"/>
        <v>0</v>
      </c>
      <c r="E511" t="str">
        <f ca="1">IF(D511=0,"",COUNTIF($D$2:D511,"&gt;0"))</f>
        <v/>
      </c>
      <c r="F511" s="24" t="str">
        <f t="shared" ca="1" si="32"/>
        <v/>
      </c>
    </row>
    <row r="512" spans="1:6">
      <c r="A512" s="44" t="s">
        <v>932</v>
      </c>
      <c r="B512" s="25"/>
      <c r="C512" s="45"/>
      <c r="D512">
        <f t="shared" ca="1" si="30"/>
        <v>0</v>
      </c>
      <c r="E512" t="str">
        <f ca="1">IF(D512=0,"",COUNTIF($D$2:D512,"&gt;0"))</f>
        <v/>
      </c>
      <c r="F512" s="24" t="str">
        <f t="shared" ca="1" si="32"/>
        <v/>
      </c>
    </row>
    <row r="513" spans="1:6">
      <c r="A513" s="47" t="s">
        <v>933</v>
      </c>
      <c r="B513" s="25" t="s">
        <v>343</v>
      </c>
      <c r="C513" s="45" t="s">
        <v>438</v>
      </c>
      <c r="D513">
        <f t="shared" ca="1" si="30"/>
        <v>0</v>
      </c>
      <c r="E513" t="str">
        <f ca="1">IF(D513=0,"",COUNTIF($D$2:D513,"&gt;0"))</f>
        <v/>
      </c>
      <c r="F513" s="24" t="str">
        <f t="shared" ca="1" si="32"/>
        <v/>
      </c>
    </row>
    <row r="514" spans="1:6">
      <c r="A514" s="41" t="s">
        <v>934</v>
      </c>
      <c r="B514" s="25" t="s">
        <v>343</v>
      </c>
      <c r="C514" s="45" t="s">
        <v>405</v>
      </c>
      <c r="D514">
        <f t="shared" ca="1" si="30"/>
        <v>0</v>
      </c>
      <c r="E514" t="str">
        <f ca="1">IF(D514=0,"",COUNTIF($D$2:D514,"&gt;0"))</f>
        <v/>
      </c>
      <c r="F514" s="24" t="str">
        <f t="shared" ca="1" si="32"/>
        <v/>
      </c>
    </row>
    <row r="515" spans="1:6">
      <c r="A515" s="41" t="s">
        <v>936</v>
      </c>
      <c r="B515" s="25" t="s">
        <v>343</v>
      </c>
      <c r="C515" s="45" t="s">
        <v>394</v>
      </c>
      <c r="D515">
        <f t="shared" ref="D515:D542" ca="1" si="33">IFERROR(SEARCH(INDIRECT(CELL("address")),A515),0)</f>
        <v>0</v>
      </c>
      <c r="E515" t="str">
        <f ca="1">IF(D515=0,"",COUNTIF($D$2:D515,"&gt;0"))</f>
        <v/>
      </c>
      <c r="F515" s="24" t="str">
        <f t="shared" ca="1" si="32"/>
        <v/>
      </c>
    </row>
    <row r="516" spans="1:6">
      <c r="A516" s="41" t="s">
        <v>937</v>
      </c>
      <c r="B516" s="25" t="s">
        <v>343</v>
      </c>
      <c r="C516" s="45" t="s">
        <v>411</v>
      </c>
      <c r="D516">
        <f t="shared" ca="1" si="33"/>
        <v>0</v>
      </c>
      <c r="E516" t="str">
        <f ca="1">IF(D516=0,"",COUNTIF($D$2:D516,"&gt;0"))</f>
        <v/>
      </c>
      <c r="F516" s="24" t="str">
        <f t="shared" ca="1" si="32"/>
        <v/>
      </c>
    </row>
    <row r="517" spans="1:6">
      <c r="A517" s="41" t="s">
        <v>938</v>
      </c>
      <c r="B517" s="25" t="s">
        <v>343</v>
      </c>
      <c r="C517" s="45" t="s">
        <v>412</v>
      </c>
      <c r="D517">
        <f t="shared" ca="1" si="33"/>
        <v>0</v>
      </c>
      <c r="E517" t="str">
        <f ca="1">IF(D517=0,"",COUNTIF($D$2:D517,"&gt;0"))</f>
        <v/>
      </c>
      <c r="F517" s="24" t="str">
        <f t="shared" ca="1" si="32"/>
        <v/>
      </c>
    </row>
    <row r="518" spans="1:6">
      <c r="A518" s="41" t="s">
        <v>939</v>
      </c>
      <c r="B518" s="25" t="s">
        <v>343</v>
      </c>
      <c r="C518" s="45" t="s">
        <v>409</v>
      </c>
      <c r="D518">
        <f t="shared" ca="1" si="33"/>
        <v>0</v>
      </c>
      <c r="E518" t="str">
        <f ca="1">IF(D518=0,"",COUNTIF($D$2:D518,"&gt;0"))</f>
        <v/>
      </c>
      <c r="F518" s="24" t="str">
        <f t="shared" ca="1" si="32"/>
        <v/>
      </c>
    </row>
    <row r="519" spans="1:6">
      <c r="A519" s="41" t="s">
        <v>940</v>
      </c>
      <c r="B519" s="25" t="s">
        <v>343</v>
      </c>
      <c r="C519" s="45" t="s">
        <v>446</v>
      </c>
      <c r="D519">
        <f t="shared" ca="1" si="33"/>
        <v>0</v>
      </c>
      <c r="E519" t="str">
        <f ca="1">IF(D519=0,"",COUNTIF($D$2:D519,"&gt;0"))</f>
        <v/>
      </c>
      <c r="F519" s="24" t="str">
        <f t="shared" ca="1" si="32"/>
        <v/>
      </c>
    </row>
    <row r="520" spans="1:6">
      <c r="A520" s="46" t="s">
        <v>935</v>
      </c>
      <c r="B520" s="25" t="s">
        <v>343</v>
      </c>
      <c r="C520" s="45" t="s">
        <v>391</v>
      </c>
      <c r="D520">
        <f t="shared" ca="1" si="33"/>
        <v>0</v>
      </c>
      <c r="E520" t="str">
        <f ca="1">IF(D520=0,"",COUNTIF($D$2:D520,"&gt;0"))</f>
        <v/>
      </c>
      <c r="F520" s="24" t="str">
        <f>IFERROR(INDEX(A:A,MATCH(ROW(#REF!),E:E,0)),"")</f>
        <v/>
      </c>
    </row>
    <row r="521" spans="1:6">
      <c r="A521" s="44" t="s">
        <v>941</v>
      </c>
      <c r="B521" s="25"/>
      <c r="C521" s="45"/>
      <c r="D521">
        <f t="shared" ca="1" si="33"/>
        <v>0</v>
      </c>
      <c r="E521" t="str">
        <f ca="1">IF(D521=0,"",COUNTIF($D$2:D521,"&gt;0"))</f>
        <v/>
      </c>
      <c r="F521" s="24" t="str">
        <f t="shared" ref="F521:F542" ca="1" si="34">IFERROR(INDEX(A:A,MATCH(ROW(D520),E:E,0)),"")</f>
        <v/>
      </c>
    </row>
    <row r="522" spans="1:6">
      <c r="A522" s="46" t="s">
        <v>942</v>
      </c>
      <c r="B522" s="25" t="s">
        <v>343</v>
      </c>
      <c r="C522" s="45" t="s">
        <v>438</v>
      </c>
      <c r="D522">
        <f t="shared" ca="1" si="33"/>
        <v>0</v>
      </c>
      <c r="E522" t="str">
        <f ca="1">IF(D522=0,"",COUNTIF($D$2:D522,"&gt;0"))</f>
        <v/>
      </c>
      <c r="F522" s="24" t="str">
        <f t="shared" ca="1" si="34"/>
        <v/>
      </c>
    </row>
    <row r="523" spans="1:6">
      <c r="A523" s="41" t="s">
        <v>943</v>
      </c>
      <c r="B523" s="25" t="s">
        <v>348</v>
      </c>
      <c r="C523" s="45" t="s">
        <v>447</v>
      </c>
      <c r="D523">
        <f t="shared" ca="1" si="33"/>
        <v>0</v>
      </c>
      <c r="E523" t="str">
        <f ca="1">IF(D523=0,"",COUNTIF($D$2:D523,"&gt;0"))</f>
        <v/>
      </c>
      <c r="F523" s="24" t="str">
        <f t="shared" ca="1" si="34"/>
        <v/>
      </c>
    </row>
    <row r="524" spans="1:6">
      <c r="A524" s="41" t="s">
        <v>945</v>
      </c>
      <c r="B524" s="25" t="s">
        <v>343</v>
      </c>
      <c r="C524" s="45" t="s">
        <v>423</v>
      </c>
      <c r="D524">
        <f t="shared" ca="1" si="33"/>
        <v>0</v>
      </c>
      <c r="E524" t="str">
        <f ca="1">IF(D524=0,"",COUNTIF($D$2:D524,"&gt;0"))</f>
        <v/>
      </c>
      <c r="F524" s="24" t="str">
        <f t="shared" ca="1" si="34"/>
        <v/>
      </c>
    </row>
    <row r="525" spans="1:6">
      <c r="A525" s="41" t="s">
        <v>946</v>
      </c>
      <c r="B525" s="25" t="s">
        <v>343</v>
      </c>
      <c r="C525" s="45" t="s">
        <v>425</v>
      </c>
      <c r="D525">
        <f t="shared" ca="1" si="33"/>
        <v>0</v>
      </c>
      <c r="E525" t="str">
        <f ca="1">IF(D525=0,"",COUNTIF($D$2:D525,"&gt;0"))</f>
        <v/>
      </c>
      <c r="F525" s="24" t="str">
        <f t="shared" ca="1" si="34"/>
        <v/>
      </c>
    </row>
    <row r="526" spans="1:6">
      <c r="A526" s="41" t="s">
        <v>947</v>
      </c>
      <c r="B526" s="25" t="s">
        <v>343</v>
      </c>
      <c r="C526" s="45" t="s">
        <v>411</v>
      </c>
      <c r="D526">
        <f t="shared" ca="1" si="33"/>
        <v>0</v>
      </c>
      <c r="E526" t="str">
        <f ca="1">IF(D526=0,"",COUNTIF($D$2:D526,"&gt;0"))</f>
        <v/>
      </c>
      <c r="F526" s="24" t="str">
        <f t="shared" ca="1" si="34"/>
        <v/>
      </c>
    </row>
    <row r="527" spans="1:6">
      <c r="A527" s="46" t="s">
        <v>944</v>
      </c>
      <c r="B527" s="25" t="s">
        <v>343</v>
      </c>
      <c r="C527" s="45" t="s">
        <v>427</v>
      </c>
      <c r="D527">
        <f t="shared" ca="1" si="33"/>
        <v>0</v>
      </c>
      <c r="E527" t="str">
        <f ca="1">IF(D527=0,"",COUNTIF($D$2:D527,"&gt;0"))</f>
        <v/>
      </c>
      <c r="F527" s="24" t="str">
        <f t="shared" ca="1" si="34"/>
        <v/>
      </c>
    </row>
    <row r="528" spans="1:6">
      <c r="A528" s="44" t="s">
        <v>948</v>
      </c>
      <c r="B528" s="25"/>
      <c r="C528" s="45"/>
      <c r="D528">
        <f t="shared" ca="1" si="33"/>
        <v>0</v>
      </c>
      <c r="E528" t="str">
        <f ca="1">IF(D528=0,"",COUNTIF($D$2:D528,"&gt;0"))</f>
        <v/>
      </c>
      <c r="F528" s="24" t="str">
        <f t="shared" ca="1" si="34"/>
        <v/>
      </c>
    </row>
    <row r="529" spans="1:6">
      <c r="A529" s="41" t="s">
        <v>949</v>
      </c>
      <c r="B529" s="25" t="s">
        <v>343</v>
      </c>
      <c r="C529" s="45" t="s">
        <v>439</v>
      </c>
      <c r="D529">
        <f t="shared" ca="1" si="33"/>
        <v>0</v>
      </c>
      <c r="E529" t="str">
        <f ca="1">IF(D529=0,"",COUNTIF($D$2:D529,"&gt;0"))</f>
        <v/>
      </c>
      <c r="F529" s="24" t="str">
        <f t="shared" ca="1" si="34"/>
        <v/>
      </c>
    </row>
    <row r="530" spans="1:6">
      <c r="A530" s="41" t="s">
        <v>951</v>
      </c>
      <c r="B530" s="25" t="s">
        <v>343</v>
      </c>
      <c r="C530" s="45" t="s">
        <v>448</v>
      </c>
      <c r="D530">
        <f t="shared" ca="1" si="33"/>
        <v>0</v>
      </c>
      <c r="E530" t="str">
        <f ca="1">IF(D530=0,"",COUNTIF($D$2:D530,"&gt;0"))</f>
        <v/>
      </c>
      <c r="F530" s="24" t="str">
        <f t="shared" ca="1" si="34"/>
        <v/>
      </c>
    </row>
    <row r="531" spans="1:6">
      <c r="A531" s="41" t="s">
        <v>952</v>
      </c>
      <c r="B531" s="25" t="s">
        <v>343</v>
      </c>
      <c r="C531" s="45" t="s">
        <v>449</v>
      </c>
      <c r="D531">
        <f t="shared" ca="1" si="33"/>
        <v>0</v>
      </c>
      <c r="E531" t="str">
        <f ca="1">IF(D531=0,"",COUNTIF($D$2:D531,"&gt;0"))</f>
        <v/>
      </c>
      <c r="F531" s="24" t="str">
        <f t="shared" ca="1" si="34"/>
        <v/>
      </c>
    </row>
    <row r="532" spans="1:6">
      <c r="A532" s="41" t="s">
        <v>953</v>
      </c>
      <c r="B532" s="25" t="s">
        <v>343</v>
      </c>
      <c r="C532" s="45" t="s">
        <v>450</v>
      </c>
      <c r="D532">
        <f t="shared" ca="1" si="33"/>
        <v>0</v>
      </c>
      <c r="E532" t="str">
        <f ca="1">IF(D532=0,"",COUNTIF($D$2:D532,"&gt;0"))</f>
        <v/>
      </c>
      <c r="F532" s="24" t="str">
        <f t="shared" ca="1" si="34"/>
        <v/>
      </c>
    </row>
    <row r="533" spans="1:6">
      <c r="A533" s="46" t="s">
        <v>950</v>
      </c>
      <c r="B533" s="25" t="s">
        <v>343</v>
      </c>
      <c r="C533" s="45" t="s">
        <v>451</v>
      </c>
      <c r="D533">
        <f t="shared" ca="1" si="33"/>
        <v>0</v>
      </c>
      <c r="E533" t="str">
        <f ca="1">IF(D533=0,"",COUNTIF($D$2:D533,"&gt;0"))</f>
        <v/>
      </c>
      <c r="F533" s="24" t="str">
        <f t="shared" ca="1" si="34"/>
        <v/>
      </c>
    </row>
    <row r="534" spans="1:6">
      <c r="A534" s="44" t="s">
        <v>954</v>
      </c>
      <c r="B534" s="25"/>
      <c r="C534" s="45"/>
      <c r="D534">
        <f t="shared" ca="1" si="33"/>
        <v>0</v>
      </c>
      <c r="E534" t="str">
        <f ca="1">IF(D534=0,"",COUNTIF($D$2:D534,"&gt;0"))</f>
        <v/>
      </c>
      <c r="F534" s="24" t="str">
        <f t="shared" ca="1" si="34"/>
        <v/>
      </c>
    </row>
    <row r="535" spans="1:6">
      <c r="A535" s="46" t="s">
        <v>955</v>
      </c>
      <c r="B535" s="25" t="s">
        <v>343</v>
      </c>
      <c r="C535" s="45" t="s">
        <v>438</v>
      </c>
      <c r="D535">
        <f t="shared" ca="1" si="33"/>
        <v>0</v>
      </c>
      <c r="E535" t="str">
        <f ca="1">IF(D535=0,"",COUNTIF($D$2:D535,"&gt;0"))</f>
        <v/>
      </c>
      <c r="F535" s="24" t="str">
        <f t="shared" ca="1" si="34"/>
        <v/>
      </c>
    </row>
    <row r="536" spans="1:6">
      <c r="A536" s="41" t="s">
        <v>956</v>
      </c>
      <c r="B536" s="25" t="s">
        <v>343</v>
      </c>
      <c r="C536" s="45" t="s">
        <v>452</v>
      </c>
      <c r="D536">
        <f t="shared" ca="1" si="33"/>
        <v>0</v>
      </c>
      <c r="E536" t="str">
        <f ca="1">IF(D536=0,"",COUNTIF($D$2:D536,"&gt;0"))</f>
        <v/>
      </c>
      <c r="F536" s="24" t="str">
        <f t="shared" ca="1" si="34"/>
        <v/>
      </c>
    </row>
    <row r="537" spans="1:6">
      <c r="A537" s="41" t="s">
        <v>958</v>
      </c>
      <c r="B537" s="25" t="s">
        <v>343</v>
      </c>
      <c r="C537" s="45" t="s">
        <v>397</v>
      </c>
      <c r="D537">
        <f t="shared" ca="1" si="33"/>
        <v>0</v>
      </c>
      <c r="E537" t="str">
        <f ca="1">IF(D537=0,"",COUNTIF($D$2:D537,"&gt;0"))</f>
        <v/>
      </c>
      <c r="F537" s="24" t="str">
        <f t="shared" ca="1" si="34"/>
        <v/>
      </c>
    </row>
    <row r="538" spans="1:6">
      <c r="A538" s="41" t="s">
        <v>959</v>
      </c>
      <c r="B538" s="25" t="s">
        <v>343</v>
      </c>
      <c r="C538" s="45" t="s">
        <v>355</v>
      </c>
      <c r="D538">
        <f t="shared" ca="1" si="33"/>
        <v>0</v>
      </c>
      <c r="E538" t="str">
        <f ca="1">IF(D538=0,"",COUNTIF($D$2:D538,"&gt;0"))</f>
        <v/>
      </c>
      <c r="F538" s="24" t="str">
        <f t="shared" ca="1" si="34"/>
        <v/>
      </c>
    </row>
    <row r="539" spans="1:6">
      <c r="A539" s="41" t="s">
        <v>960</v>
      </c>
      <c r="B539" s="25" t="s">
        <v>343</v>
      </c>
      <c r="C539" s="45" t="s">
        <v>453</v>
      </c>
      <c r="D539">
        <f t="shared" ca="1" si="33"/>
        <v>0</v>
      </c>
      <c r="E539" t="str">
        <f ca="1">IF(D539=0,"",COUNTIF($D$2:D539,"&gt;0"))</f>
        <v/>
      </c>
      <c r="F539" s="24" t="str">
        <f t="shared" ca="1" si="34"/>
        <v/>
      </c>
    </row>
    <row r="540" spans="1:6">
      <c r="A540" s="41" t="s">
        <v>961</v>
      </c>
      <c r="B540" s="25" t="s">
        <v>343</v>
      </c>
      <c r="C540" s="45" t="s">
        <v>436</v>
      </c>
      <c r="D540">
        <f t="shared" ca="1" si="33"/>
        <v>0</v>
      </c>
      <c r="E540" t="str">
        <f ca="1">IF(D540=0,"",COUNTIF($D$2:D540,"&gt;0"))</f>
        <v/>
      </c>
      <c r="F540" s="24" t="str">
        <f t="shared" ca="1" si="34"/>
        <v/>
      </c>
    </row>
    <row r="541" spans="1:6">
      <c r="A541" s="41" t="s">
        <v>962</v>
      </c>
      <c r="B541" s="25" t="s">
        <v>343</v>
      </c>
      <c r="C541" s="45" t="s">
        <v>454</v>
      </c>
      <c r="D541">
        <f t="shared" ca="1" si="33"/>
        <v>0</v>
      </c>
      <c r="E541" t="str">
        <f ca="1">IF(D541=0,"",COUNTIF($D$2:D541,"&gt;0"))</f>
        <v/>
      </c>
      <c r="F541" s="24" t="str">
        <f t="shared" ca="1" si="34"/>
        <v/>
      </c>
    </row>
    <row r="542" spans="1:6">
      <c r="A542" s="46" t="s">
        <v>957</v>
      </c>
      <c r="B542" s="25" t="s">
        <v>343</v>
      </c>
      <c r="C542" s="45" t="s">
        <v>455</v>
      </c>
      <c r="D542">
        <f t="shared" ca="1" si="33"/>
        <v>0</v>
      </c>
      <c r="E542" t="str">
        <f ca="1">IF(D542=0,"",COUNTIF($D$2:D542,"&gt;0"))</f>
        <v/>
      </c>
      <c r="F542" s="24" t="str">
        <f t="shared" ca="1" si="34"/>
        <v/>
      </c>
    </row>
    <row r="543" spans="1:6">
      <c r="A543" s="44" t="s">
        <v>963</v>
      </c>
      <c r="B543" s="25"/>
      <c r="C543" s="45"/>
      <c r="D543">
        <f t="shared" ref="D543:D572" ca="1" si="35">IFERROR(SEARCH(INDIRECT(CELL("address")),A543),0)</f>
        <v>0</v>
      </c>
      <c r="E543" t="str">
        <f ca="1">IF(D543=0,"",COUNTIF($D$2:D543,"&gt;0"))</f>
        <v/>
      </c>
      <c r="F543" s="24" t="str">
        <f ca="1">IFERROR(INDEX(A:A,MATCH(ROW(D236),E:E,0)),"")</f>
        <v/>
      </c>
    </row>
    <row r="544" spans="1:6">
      <c r="A544" s="41" t="s">
        <v>964</v>
      </c>
      <c r="B544" s="25" t="s">
        <v>343</v>
      </c>
      <c r="C544" s="45" t="s">
        <v>456</v>
      </c>
      <c r="D544">
        <f t="shared" ca="1" si="35"/>
        <v>0</v>
      </c>
      <c r="E544" t="str">
        <f ca="1">IF(D544=0,"",COUNTIF($D$2:D544,"&gt;0"))</f>
        <v/>
      </c>
      <c r="F544" s="24" t="str">
        <f t="shared" ref="F544:F564" ca="1" si="36">IFERROR(INDEX(A:A,MATCH(ROW(D543),E:E,0)),"")</f>
        <v/>
      </c>
    </row>
    <row r="545" spans="1:6">
      <c r="A545" s="41" t="s">
        <v>966</v>
      </c>
      <c r="B545" s="25" t="s">
        <v>343</v>
      </c>
      <c r="C545" s="45" t="s">
        <v>457</v>
      </c>
      <c r="D545">
        <f t="shared" ca="1" si="35"/>
        <v>0</v>
      </c>
      <c r="E545" t="str">
        <f ca="1">IF(D545=0,"",COUNTIF($D$2:D545,"&gt;0"))</f>
        <v/>
      </c>
      <c r="F545" s="24" t="str">
        <f t="shared" ca="1" si="36"/>
        <v/>
      </c>
    </row>
    <row r="546" spans="1:6">
      <c r="A546" s="46" t="s">
        <v>967</v>
      </c>
      <c r="B546" s="25" t="s">
        <v>343</v>
      </c>
      <c r="C546" s="45" t="s">
        <v>458</v>
      </c>
      <c r="D546">
        <f t="shared" ca="1" si="35"/>
        <v>0</v>
      </c>
      <c r="E546" t="str">
        <f ca="1">IF(D546=0,"",COUNTIF($D$2:D546,"&gt;0"))</f>
        <v/>
      </c>
      <c r="F546" s="24" t="str">
        <f t="shared" ca="1" si="36"/>
        <v/>
      </c>
    </row>
    <row r="547" spans="1:6">
      <c r="A547" s="41" t="s">
        <v>968</v>
      </c>
      <c r="B547" s="25" t="s">
        <v>343</v>
      </c>
      <c r="C547" s="45" t="s">
        <v>459</v>
      </c>
      <c r="D547">
        <f t="shared" ca="1" si="35"/>
        <v>0</v>
      </c>
      <c r="E547" t="str">
        <f ca="1">IF(D547=0,"",COUNTIF($D$2:D547,"&gt;0"))</f>
        <v/>
      </c>
      <c r="F547" s="24" t="str">
        <f t="shared" ca="1" si="36"/>
        <v/>
      </c>
    </row>
    <row r="548" spans="1:6">
      <c r="A548" s="46" t="s">
        <v>965</v>
      </c>
      <c r="B548" s="25" t="s">
        <v>343</v>
      </c>
      <c r="C548" s="45" t="s">
        <v>460</v>
      </c>
      <c r="D548">
        <f t="shared" ca="1" si="35"/>
        <v>0</v>
      </c>
      <c r="E548" t="str">
        <f ca="1">IF(D548=0,"",COUNTIF($D$2:D548,"&gt;0"))</f>
        <v/>
      </c>
      <c r="F548" s="24" t="str">
        <f t="shared" ca="1" si="36"/>
        <v/>
      </c>
    </row>
    <row r="549" spans="1:6">
      <c r="A549" s="44" t="s">
        <v>969</v>
      </c>
      <c r="B549" s="25"/>
      <c r="C549" s="45"/>
      <c r="D549">
        <f t="shared" ca="1" si="35"/>
        <v>0</v>
      </c>
      <c r="E549" t="str">
        <f ca="1">IF(D549=0,"",COUNTIF($D$2:D549,"&gt;0"))</f>
        <v/>
      </c>
      <c r="F549" s="24" t="str">
        <f t="shared" ca="1" si="36"/>
        <v/>
      </c>
    </row>
    <row r="550" spans="1:6">
      <c r="A550" s="46" t="s">
        <v>970</v>
      </c>
      <c r="B550" s="25" t="s">
        <v>343</v>
      </c>
      <c r="C550" s="45" t="s">
        <v>420</v>
      </c>
      <c r="D550">
        <f t="shared" ca="1" si="35"/>
        <v>0</v>
      </c>
      <c r="E550" t="str">
        <f ca="1">IF(D550=0,"",COUNTIF($D$2:D550,"&gt;0"))</f>
        <v/>
      </c>
      <c r="F550" s="24" t="str">
        <f t="shared" ca="1" si="36"/>
        <v/>
      </c>
    </row>
    <row r="551" spans="1:6">
      <c r="A551" s="46" t="s">
        <v>971</v>
      </c>
      <c r="B551" s="25" t="s">
        <v>343</v>
      </c>
      <c r="C551" s="45" t="s">
        <v>346</v>
      </c>
      <c r="D551">
        <f t="shared" ca="1" si="35"/>
        <v>0</v>
      </c>
      <c r="E551" t="str">
        <f ca="1">IF(D551=0,"",COUNTIF($D$2:D551,"&gt;0"))</f>
        <v/>
      </c>
      <c r="F551" s="24" t="str">
        <f t="shared" ca="1" si="36"/>
        <v/>
      </c>
    </row>
    <row r="552" spans="1:6">
      <c r="A552" s="41" t="s">
        <v>972</v>
      </c>
      <c r="B552" s="25" t="s">
        <v>343</v>
      </c>
      <c r="C552" s="45" t="s">
        <v>389</v>
      </c>
      <c r="D552">
        <f t="shared" ca="1" si="35"/>
        <v>0</v>
      </c>
      <c r="E552" t="str">
        <f ca="1">IF(D552=0,"",COUNTIF($D$2:D552,"&gt;0"))</f>
        <v/>
      </c>
      <c r="F552" s="24" t="str">
        <f t="shared" ca="1" si="36"/>
        <v/>
      </c>
    </row>
    <row r="553" spans="1:6">
      <c r="A553" s="41" t="s">
        <v>974</v>
      </c>
      <c r="B553" s="25" t="s">
        <v>343</v>
      </c>
      <c r="C553" s="45" t="s">
        <v>353</v>
      </c>
      <c r="D553">
        <f t="shared" ca="1" si="35"/>
        <v>0</v>
      </c>
      <c r="E553" t="str">
        <f ca="1">IF(D553=0,"",COUNTIF($D$2:D553,"&gt;0"))</f>
        <v/>
      </c>
      <c r="F553" s="24" t="str">
        <f t="shared" ca="1" si="36"/>
        <v/>
      </c>
    </row>
    <row r="554" spans="1:6">
      <c r="A554" s="41" t="s">
        <v>975</v>
      </c>
      <c r="B554" s="25" t="s">
        <v>343</v>
      </c>
      <c r="C554" s="45" t="s">
        <v>402</v>
      </c>
      <c r="D554">
        <f t="shared" ca="1" si="35"/>
        <v>0</v>
      </c>
      <c r="E554" t="str">
        <f ca="1">IF(D554=0,"",COUNTIF($D$2:D554,"&gt;0"))</f>
        <v/>
      </c>
      <c r="F554" s="24" t="str">
        <f t="shared" ca="1" si="36"/>
        <v/>
      </c>
    </row>
    <row r="555" spans="1:6">
      <c r="A555" s="41" t="s">
        <v>976</v>
      </c>
      <c r="B555" s="25" t="s">
        <v>343</v>
      </c>
      <c r="C555" s="45" t="s">
        <v>403</v>
      </c>
      <c r="D555">
        <f t="shared" ca="1" si="35"/>
        <v>0</v>
      </c>
      <c r="E555" t="str">
        <f ca="1">IF(D555=0,"",COUNTIF($D$2:D555,"&gt;0"))</f>
        <v/>
      </c>
      <c r="F555" s="24" t="str">
        <f t="shared" ca="1" si="36"/>
        <v/>
      </c>
    </row>
    <row r="556" spans="1:6">
      <c r="A556" s="46" t="s">
        <v>973</v>
      </c>
      <c r="B556" s="25" t="s">
        <v>348</v>
      </c>
      <c r="C556" s="45" t="s">
        <v>404</v>
      </c>
      <c r="D556">
        <f t="shared" ca="1" si="35"/>
        <v>0</v>
      </c>
      <c r="E556" t="str">
        <f ca="1">IF(D556=0,"",COUNTIF($D$2:D556,"&gt;0"))</f>
        <v/>
      </c>
      <c r="F556" s="24" t="str">
        <f t="shared" ca="1" si="36"/>
        <v/>
      </c>
    </row>
    <row r="557" spans="1:6">
      <c r="A557" s="44" t="s">
        <v>977</v>
      </c>
      <c r="B557" s="25"/>
      <c r="C557" s="45"/>
      <c r="D557">
        <f t="shared" ref="D557:D564" ca="1" si="37">IFERROR(SEARCH(INDIRECT(CELL("address")),A557),0)</f>
        <v>0</v>
      </c>
      <c r="E557" t="str">
        <f ca="1">IF(D557=0,"",COUNTIF($D$2:D557,"&gt;0"))</f>
        <v/>
      </c>
      <c r="F557" s="24" t="str">
        <f t="shared" ca="1" si="36"/>
        <v/>
      </c>
    </row>
    <row r="558" spans="1:6">
      <c r="A558" s="46" t="s">
        <v>978</v>
      </c>
      <c r="B558" s="25" t="s">
        <v>343</v>
      </c>
      <c r="C558" s="45" t="s">
        <v>420</v>
      </c>
      <c r="D558">
        <f t="shared" ca="1" si="37"/>
        <v>0</v>
      </c>
      <c r="E558" t="str">
        <f ca="1">IF(D558=0,"",COUNTIF($D$2:D558,"&gt;0"))</f>
        <v/>
      </c>
      <c r="F558" s="24" t="str">
        <f t="shared" ca="1" si="36"/>
        <v/>
      </c>
    </row>
    <row r="559" spans="1:6">
      <c r="A559" s="46" t="s">
        <v>979</v>
      </c>
      <c r="B559" s="25" t="s">
        <v>343</v>
      </c>
      <c r="C559" s="45" t="s">
        <v>346</v>
      </c>
      <c r="D559">
        <f t="shared" ca="1" si="37"/>
        <v>0</v>
      </c>
      <c r="E559" t="str">
        <f ca="1">IF(D559=0,"",COUNTIF($D$2:D559,"&gt;0"))</f>
        <v/>
      </c>
      <c r="F559" s="24" t="str">
        <f t="shared" ca="1" si="36"/>
        <v/>
      </c>
    </row>
    <row r="560" spans="1:6">
      <c r="A560" s="41" t="s">
        <v>980</v>
      </c>
      <c r="B560" s="25" t="s">
        <v>343</v>
      </c>
      <c r="C560" s="45" t="s">
        <v>389</v>
      </c>
      <c r="D560">
        <f t="shared" ca="1" si="37"/>
        <v>0</v>
      </c>
      <c r="E560" t="str">
        <f ca="1">IF(D560=0,"",COUNTIF($D$2:D560,"&gt;0"))</f>
        <v/>
      </c>
      <c r="F560" s="24" t="str">
        <f t="shared" ca="1" si="36"/>
        <v/>
      </c>
    </row>
    <row r="561" spans="1:6">
      <c r="A561" s="41" t="s">
        <v>982</v>
      </c>
      <c r="B561" s="25" t="s">
        <v>343</v>
      </c>
      <c r="C561" s="45" t="s">
        <v>353</v>
      </c>
      <c r="D561">
        <f t="shared" ca="1" si="37"/>
        <v>0</v>
      </c>
      <c r="E561" t="str">
        <f ca="1">IF(D561=0,"",COUNTIF($D$2:D561,"&gt;0"))</f>
        <v/>
      </c>
      <c r="F561" s="24" t="str">
        <f t="shared" ca="1" si="36"/>
        <v/>
      </c>
    </row>
    <row r="562" spans="1:6">
      <c r="A562" s="41" t="s">
        <v>983</v>
      </c>
      <c r="B562" s="25" t="s">
        <v>343</v>
      </c>
      <c r="C562" s="45" t="s">
        <v>402</v>
      </c>
      <c r="D562">
        <f t="shared" ca="1" si="37"/>
        <v>0</v>
      </c>
      <c r="E562" t="str">
        <f ca="1">IF(D562=0,"",COUNTIF($D$2:D562,"&gt;0"))</f>
        <v/>
      </c>
      <c r="F562" s="24" t="str">
        <f t="shared" ca="1" si="36"/>
        <v/>
      </c>
    </row>
    <row r="563" spans="1:6">
      <c r="A563" s="41" t="s">
        <v>984</v>
      </c>
      <c r="B563" s="25" t="s">
        <v>343</v>
      </c>
      <c r="C563" s="45" t="s">
        <v>403</v>
      </c>
      <c r="D563">
        <f t="shared" ca="1" si="37"/>
        <v>0</v>
      </c>
      <c r="E563" t="str">
        <f ca="1">IF(D563=0,"",COUNTIF($D$2:D563,"&gt;0"))</f>
        <v/>
      </c>
      <c r="F563" s="24" t="str">
        <f t="shared" ca="1" si="36"/>
        <v/>
      </c>
    </row>
    <row r="564" spans="1:6">
      <c r="A564" s="46" t="s">
        <v>981</v>
      </c>
      <c r="B564" s="25" t="s">
        <v>348</v>
      </c>
      <c r="C564" s="45" t="s">
        <v>404</v>
      </c>
      <c r="D564">
        <f t="shared" ca="1" si="37"/>
        <v>0</v>
      </c>
      <c r="E564" t="str">
        <f ca="1">IF(D564=0,"",COUNTIF($D$2:D564,"&gt;0"))</f>
        <v/>
      </c>
      <c r="F564" s="24" t="str">
        <f t="shared" ca="1" si="36"/>
        <v/>
      </c>
    </row>
    <row r="565" spans="1:6">
      <c r="A565" s="44" t="s">
        <v>985</v>
      </c>
      <c r="B565" s="25"/>
      <c r="C565" s="45"/>
      <c r="D565">
        <f t="shared" ca="1" si="35"/>
        <v>0</v>
      </c>
      <c r="E565" t="str">
        <f ca="1">IF(D565=0,"",COUNTIF($D$2:D565,"&gt;0"))</f>
        <v/>
      </c>
      <c r="F565" s="24" t="str">
        <f ca="1">IFERROR(INDEX(A:A,MATCH(ROW(D556),E:E,0)),"")</f>
        <v/>
      </c>
    </row>
    <row r="566" spans="1:6">
      <c r="A566" s="41" t="s">
        <v>986</v>
      </c>
      <c r="B566" s="25" t="s">
        <v>343</v>
      </c>
      <c r="C566" s="45" t="s">
        <v>349</v>
      </c>
      <c r="D566">
        <f t="shared" ca="1" si="35"/>
        <v>0</v>
      </c>
      <c r="E566" t="str">
        <f ca="1">IF(D566=0,"",COUNTIF($D$2:D566,"&gt;0"))</f>
        <v/>
      </c>
      <c r="F566" s="24" t="str">
        <f t="shared" ref="F566:F572" ca="1" si="38">IFERROR(INDEX(A:A,MATCH(ROW(D565),E:E,0)),"")</f>
        <v/>
      </c>
    </row>
    <row r="567" spans="1:6">
      <c r="A567" s="41" t="s">
        <v>988</v>
      </c>
      <c r="B567" s="25" t="s">
        <v>343</v>
      </c>
      <c r="C567" s="45" t="s">
        <v>351</v>
      </c>
      <c r="D567">
        <f t="shared" ca="1" si="35"/>
        <v>0</v>
      </c>
      <c r="E567" t="str">
        <f ca="1">IF(D567=0,"",COUNTIF($D$2:D567,"&gt;0"))</f>
        <v/>
      </c>
      <c r="F567" s="24" t="str">
        <f t="shared" ca="1" si="38"/>
        <v/>
      </c>
    </row>
    <row r="568" spans="1:6">
      <c r="A568" s="41" t="s">
        <v>989</v>
      </c>
      <c r="B568" s="25" t="s">
        <v>343</v>
      </c>
      <c r="C568" s="45" t="s">
        <v>353</v>
      </c>
      <c r="D568">
        <f t="shared" ca="1" si="35"/>
        <v>0</v>
      </c>
      <c r="E568" t="str">
        <f ca="1">IF(D568=0,"",COUNTIF($D$2:D568,"&gt;0"))</f>
        <v/>
      </c>
      <c r="F568" s="24" t="str">
        <f t="shared" ca="1" si="38"/>
        <v/>
      </c>
    </row>
    <row r="569" spans="1:6">
      <c r="A569" s="41" t="s">
        <v>990</v>
      </c>
      <c r="B569" s="25" t="s">
        <v>343</v>
      </c>
      <c r="C569" s="45" t="s">
        <v>355</v>
      </c>
      <c r="D569">
        <f t="shared" ca="1" si="35"/>
        <v>0</v>
      </c>
      <c r="E569" t="str">
        <f ca="1">IF(D569=0,"",COUNTIF($D$2:D569,"&gt;0"))</f>
        <v/>
      </c>
      <c r="F569" s="24" t="str">
        <f t="shared" ca="1" si="38"/>
        <v/>
      </c>
    </row>
    <row r="570" spans="1:6">
      <c r="A570" s="41" t="s">
        <v>991</v>
      </c>
      <c r="B570" s="25" t="s">
        <v>343</v>
      </c>
      <c r="C570" s="45" t="s">
        <v>357</v>
      </c>
      <c r="D570">
        <f t="shared" ca="1" si="35"/>
        <v>0</v>
      </c>
      <c r="E570" t="str">
        <f ca="1">IF(D570=0,"",COUNTIF($D$2:D570,"&gt;0"))</f>
        <v/>
      </c>
      <c r="F570" s="24" t="str">
        <f t="shared" ca="1" si="38"/>
        <v/>
      </c>
    </row>
    <row r="571" spans="1:6">
      <c r="A571" s="46" t="s">
        <v>987</v>
      </c>
      <c r="B571" s="25" t="s">
        <v>343</v>
      </c>
      <c r="C571" s="45" t="s">
        <v>359</v>
      </c>
      <c r="D571">
        <f t="shared" ca="1" si="35"/>
        <v>0</v>
      </c>
      <c r="E571" t="str">
        <f ca="1">IF(D571=0,"",COUNTIF($D$2:D571,"&gt;0"))</f>
        <v/>
      </c>
      <c r="F571" s="24" t="str">
        <f t="shared" ca="1" si="38"/>
        <v/>
      </c>
    </row>
    <row r="572" spans="1:6">
      <c r="A572" s="44" t="s">
        <v>992</v>
      </c>
      <c r="B572" s="25"/>
      <c r="C572" s="45"/>
      <c r="D572">
        <f t="shared" ca="1" si="35"/>
        <v>0</v>
      </c>
      <c r="E572" t="str">
        <f ca="1">IF(D572=0,"",COUNTIF($D$2:D1109,"&gt;0"))</f>
        <v/>
      </c>
      <c r="F572" s="24" t="str">
        <f t="shared" ca="1" si="38"/>
        <v/>
      </c>
    </row>
    <row r="573" spans="1:6">
      <c r="A573" s="47" t="s">
        <v>993</v>
      </c>
      <c r="B573" s="25" t="s">
        <v>343</v>
      </c>
      <c r="C573" s="45" t="s">
        <v>420</v>
      </c>
      <c r="D573">
        <f t="shared" ref="D573:D583" ca="1" si="39">IFERROR(SEARCH(INDIRECT(CELL("address")),A573),0)</f>
        <v>0</v>
      </c>
      <c r="E573" t="str">
        <f ca="1">IF(D573=0,"",COUNTIF($D$2:D573,"&gt;0"))</f>
        <v/>
      </c>
      <c r="F573" s="24" t="str">
        <f>IFERROR(INDEX(A:A,MATCH(ROW(#REF!),E:E,0)),"")</f>
        <v/>
      </c>
    </row>
    <row r="574" spans="1:6">
      <c r="A574" s="46" t="s">
        <v>994</v>
      </c>
      <c r="B574" s="25" t="s">
        <v>343</v>
      </c>
      <c r="C574" s="45" t="s">
        <v>345</v>
      </c>
      <c r="D574">
        <f t="shared" ca="1" si="39"/>
        <v>0</v>
      </c>
      <c r="E574" t="str">
        <f ca="1">IF(D574=0,"",COUNTIF($D$2:D574,"&gt;0"))</f>
        <v/>
      </c>
      <c r="F574" s="24" t="str">
        <f t="shared" ref="F574:F583" ca="1" si="40">IFERROR(INDEX(A:A,MATCH(ROW(D573),E:E,0)),"")</f>
        <v/>
      </c>
    </row>
    <row r="575" spans="1:6">
      <c r="A575" s="47" t="s">
        <v>995</v>
      </c>
      <c r="B575" s="25" t="s">
        <v>343</v>
      </c>
      <c r="C575" s="45" t="s">
        <v>423</v>
      </c>
      <c r="D575">
        <f t="shared" ca="1" si="39"/>
        <v>0</v>
      </c>
      <c r="E575" t="str">
        <f ca="1">IF(D575=0,"",COUNTIF($D$2:D575,"&gt;0"))</f>
        <v/>
      </c>
      <c r="F575" s="24" t="str">
        <f t="shared" ca="1" si="40"/>
        <v/>
      </c>
    </row>
    <row r="576" spans="1:6">
      <c r="A576" s="47" t="s">
        <v>996</v>
      </c>
      <c r="B576" s="25" t="s">
        <v>343</v>
      </c>
      <c r="C576" s="45" t="s">
        <v>346</v>
      </c>
      <c r="D576">
        <f t="shared" ca="1" si="39"/>
        <v>0</v>
      </c>
      <c r="E576" t="str">
        <f ca="1">IF(D576=0,"",COUNTIF($D$2:D576,"&gt;0"))</f>
        <v/>
      </c>
      <c r="F576" s="24" t="str">
        <f t="shared" ca="1" si="40"/>
        <v/>
      </c>
    </row>
    <row r="577" spans="1:6">
      <c r="A577" s="41" t="s">
        <v>997</v>
      </c>
      <c r="B577" s="25" t="s">
        <v>343</v>
      </c>
      <c r="C577" s="45" t="s">
        <v>461</v>
      </c>
      <c r="D577">
        <f t="shared" ca="1" si="39"/>
        <v>0</v>
      </c>
      <c r="E577" t="str">
        <f ca="1">IF(D577=0,"",COUNTIF($D$2:D577,"&gt;0"))</f>
        <v/>
      </c>
      <c r="F577" s="24" t="str">
        <f t="shared" ca="1" si="40"/>
        <v/>
      </c>
    </row>
    <row r="578" spans="1:6">
      <c r="A578" s="41" t="s">
        <v>998</v>
      </c>
      <c r="B578" s="25" t="s">
        <v>343</v>
      </c>
      <c r="C578" s="45" t="s">
        <v>462</v>
      </c>
      <c r="D578">
        <f t="shared" ca="1" si="39"/>
        <v>0</v>
      </c>
      <c r="E578" t="str">
        <f ca="1">IF(D578=0,"",COUNTIF($D$2:D578,"&gt;0"))</f>
        <v/>
      </c>
      <c r="F578" s="24" t="str">
        <f t="shared" ca="1" si="40"/>
        <v/>
      </c>
    </row>
    <row r="579" spans="1:6">
      <c r="A579" s="46" t="s">
        <v>999</v>
      </c>
      <c r="B579" s="25" t="s">
        <v>343</v>
      </c>
      <c r="C579" s="45" t="s">
        <v>463</v>
      </c>
      <c r="D579">
        <f t="shared" ca="1" si="39"/>
        <v>0</v>
      </c>
      <c r="E579" t="str">
        <f ca="1">IF(D579=0,"",COUNTIF($D$2:D579,"&gt;0"))</f>
        <v/>
      </c>
      <c r="F579" s="24" t="str">
        <f t="shared" ca="1" si="40"/>
        <v/>
      </c>
    </row>
    <row r="580" spans="1:6">
      <c r="A580" s="46" t="s">
        <v>1000</v>
      </c>
      <c r="B580" s="25" t="s">
        <v>343</v>
      </c>
      <c r="C580" s="45" t="s">
        <v>464</v>
      </c>
      <c r="D580">
        <f t="shared" ca="1" si="39"/>
        <v>0</v>
      </c>
      <c r="E580" t="str">
        <f ca="1">IF(D580=0,"",COUNTIF($D$2:D580,"&gt;0"))</f>
        <v/>
      </c>
      <c r="F580" s="24" t="str">
        <f t="shared" ca="1" si="40"/>
        <v/>
      </c>
    </row>
    <row r="581" spans="1:6">
      <c r="A581" s="44" t="s">
        <v>1008</v>
      </c>
      <c r="B581" s="25"/>
      <c r="C581" s="45"/>
      <c r="D581">
        <f t="shared" ca="1" si="39"/>
        <v>0</v>
      </c>
      <c r="E581" t="str">
        <f ca="1">IF(D581=0,"",COUNTIF($D$2:D581,"&gt;0"))</f>
        <v/>
      </c>
      <c r="F581" s="24" t="str">
        <f t="shared" ca="1" si="40"/>
        <v/>
      </c>
    </row>
    <row r="582" spans="1:6">
      <c r="A582" s="46" t="s">
        <v>1001</v>
      </c>
      <c r="B582" s="25" t="s">
        <v>343</v>
      </c>
      <c r="C582" s="45" t="s">
        <v>420</v>
      </c>
      <c r="D582">
        <f t="shared" ca="1" si="39"/>
        <v>0</v>
      </c>
      <c r="E582" t="str">
        <f ca="1">IF(D582=0,"",COUNTIF($D$2:D582,"&gt;0"))</f>
        <v/>
      </c>
      <c r="F582" s="24" t="str">
        <f t="shared" ca="1" si="40"/>
        <v/>
      </c>
    </row>
    <row r="583" spans="1:6">
      <c r="A583" s="41" t="s">
        <v>1002</v>
      </c>
      <c r="B583" s="25" t="s">
        <v>343</v>
      </c>
      <c r="C583" s="45" t="s">
        <v>465</v>
      </c>
      <c r="D583">
        <f t="shared" ca="1" si="39"/>
        <v>0</v>
      </c>
      <c r="E583" t="str">
        <f ca="1">IF(D583=0,"",COUNTIF($D$2:D583,"&gt;0"))</f>
        <v/>
      </c>
      <c r="F583" s="24" t="str">
        <f t="shared" ca="1" si="40"/>
        <v/>
      </c>
    </row>
    <row r="584" spans="1:6">
      <c r="A584" s="41" t="s">
        <v>1003</v>
      </c>
      <c r="B584" s="25" t="s">
        <v>343</v>
      </c>
      <c r="C584" s="45" t="s">
        <v>466</v>
      </c>
      <c r="D584">
        <f t="shared" ref="D584:D602" ca="1" si="41">IFERROR(SEARCH(INDIRECT(CELL("address")),A584),0)</f>
        <v>0</v>
      </c>
      <c r="E584" t="str">
        <f ca="1">IF(D584=0,"",COUNTIF($D$2:D584,"&gt;0"))</f>
        <v/>
      </c>
      <c r="F584" s="24" t="str">
        <f ca="1">IFERROR(INDEX(A:A,MATCH(ROW(D572),E:E,0)),"")</f>
        <v/>
      </c>
    </row>
    <row r="585" spans="1:6">
      <c r="A585" s="41" t="s">
        <v>1004</v>
      </c>
      <c r="B585" s="25" t="s">
        <v>343</v>
      </c>
      <c r="C585" s="45" t="s">
        <v>467</v>
      </c>
      <c r="D585">
        <f t="shared" ca="1" si="41"/>
        <v>0</v>
      </c>
      <c r="E585" t="str">
        <f ca="1">IF(D585=0,"",COUNTIF($D$2:D585,"&gt;0"))</f>
        <v/>
      </c>
      <c r="F585" s="24" t="str">
        <f t="shared" ref="F585:F591" ca="1" si="42">IFERROR(INDEX(A:A,MATCH(ROW(D584),E:E,0)),"")</f>
        <v/>
      </c>
    </row>
    <row r="586" spans="1:6">
      <c r="A586" s="41" t="s">
        <v>1005</v>
      </c>
      <c r="B586" s="25" t="s">
        <v>343</v>
      </c>
      <c r="C586" s="45" t="s">
        <v>468</v>
      </c>
      <c r="D586">
        <f t="shared" ca="1" si="41"/>
        <v>0</v>
      </c>
      <c r="E586" t="str">
        <f ca="1">IF(D586=0,"",COUNTIF($D$2:D586,"&gt;0"))</f>
        <v/>
      </c>
      <c r="F586" s="24" t="str">
        <f t="shared" ca="1" si="42"/>
        <v/>
      </c>
    </row>
    <row r="587" spans="1:6">
      <c r="A587" s="41" t="s">
        <v>1006</v>
      </c>
      <c r="B587" s="25" t="s">
        <v>343</v>
      </c>
      <c r="C587" s="45" t="s">
        <v>469</v>
      </c>
      <c r="D587">
        <f t="shared" ca="1" si="41"/>
        <v>0</v>
      </c>
      <c r="E587" t="str">
        <f ca="1">IF(D587=0,"",COUNTIF($D$2:D587,"&gt;0"))</f>
        <v/>
      </c>
      <c r="F587" s="24" t="str">
        <f t="shared" ca="1" si="42"/>
        <v/>
      </c>
    </row>
    <row r="588" spans="1:6">
      <c r="A588" s="46" t="s">
        <v>1007</v>
      </c>
      <c r="B588" s="25" t="s">
        <v>343</v>
      </c>
      <c r="C588" s="45" t="s">
        <v>470</v>
      </c>
      <c r="D588">
        <f t="shared" ca="1" si="41"/>
        <v>0</v>
      </c>
      <c r="E588" t="str">
        <f ca="1">IF(D588=0,"",COUNTIF($D$2:D588,"&gt;0"))</f>
        <v/>
      </c>
      <c r="F588" s="24" t="str">
        <f t="shared" ca="1" si="42"/>
        <v/>
      </c>
    </row>
    <row r="589" spans="1:6">
      <c r="A589" s="44" t="s">
        <v>1009</v>
      </c>
      <c r="B589" s="25"/>
      <c r="C589" s="45"/>
      <c r="D589">
        <f t="shared" ca="1" si="41"/>
        <v>0</v>
      </c>
      <c r="E589" t="str">
        <f ca="1">IF(D589=0,"",COUNTIF($D$2:D589,"&gt;0"))</f>
        <v/>
      </c>
      <c r="F589" s="24" t="str">
        <f t="shared" ca="1" si="42"/>
        <v/>
      </c>
    </row>
    <row r="590" spans="1:6">
      <c r="A590" s="46" t="s">
        <v>1010</v>
      </c>
      <c r="B590" s="25" t="s">
        <v>343</v>
      </c>
      <c r="C590" s="45" t="s">
        <v>420</v>
      </c>
      <c r="D590">
        <f t="shared" ca="1" si="41"/>
        <v>0</v>
      </c>
      <c r="E590" t="str">
        <f ca="1">IF(D590=0,"",COUNTIF($D$2:D590,"&gt;0"))</f>
        <v/>
      </c>
      <c r="F590" s="24" t="str">
        <f t="shared" ca="1" si="42"/>
        <v/>
      </c>
    </row>
    <row r="591" spans="1:6">
      <c r="A591" s="41" t="s">
        <v>1011</v>
      </c>
      <c r="B591" s="25" t="s">
        <v>343</v>
      </c>
      <c r="C591" s="45" t="s">
        <v>465</v>
      </c>
      <c r="D591">
        <f t="shared" ca="1" si="41"/>
        <v>0</v>
      </c>
      <c r="E591" t="str">
        <f ca="1">IF(D591=0,"",COUNTIF($D$2:D591,"&gt;0"))</f>
        <v/>
      </c>
      <c r="F591" s="24" t="str">
        <f t="shared" ca="1" si="42"/>
        <v/>
      </c>
    </row>
    <row r="592" spans="1:6">
      <c r="A592" s="41" t="s">
        <v>1012</v>
      </c>
      <c r="B592" s="25" t="s">
        <v>343</v>
      </c>
      <c r="C592" s="45" t="s">
        <v>466</v>
      </c>
      <c r="D592">
        <f ca="1">IFERROR(SEARCH(INDIRECT(CELL("address")),A592),0)</f>
        <v>0</v>
      </c>
      <c r="E592" t="str">
        <f ca="1">IF(D592=0,"",COUNTIF($D$2:D592,"&gt;0"))</f>
        <v/>
      </c>
      <c r="F592" s="24" t="str">
        <f ca="1">IFERROR(INDEX(A:A,MATCH(ROW(D580),E:E,0)),"")</f>
        <v/>
      </c>
    </row>
    <row r="593" spans="1:6">
      <c r="A593" s="41" t="s">
        <v>1013</v>
      </c>
      <c r="B593" s="25" t="s">
        <v>343</v>
      </c>
      <c r="C593" s="45" t="s">
        <v>467</v>
      </c>
      <c r="D593">
        <f ca="1">IFERROR(SEARCH(INDIRECT(CELL("address")),A593),0)</f>
        <v>0</v>
      </c>
      <c r="E593" t="str">
        <f ca="1">IF(D593=0,"",COUNTIF($D$2:D593,"&gt;0"))</f>
        <v/>
      </c>
      <c r="F593" s="24" t="str">
        <f ca="1">IFERROR(INDEX(A:A,MATCH(ROW(D592),E:E,0)),"")</f>
        <v/>
      </c>
    </row>
    <row r="594" spans="1:6">
      <c r="A594" s="41" t="s">
        <v>1014</v>
      </c>
      <c r="B594" s="25" t="s">
        <v>343</v>
      </c>
      <c r="C594" s="45" t="s">
        <v>468</v>
      </c>
      <c r="D594">
        <f ca="1">IFERROR(SEARCH(INDIRECT(CELL("address")),A594),0)</f>
        <v>0</v>
      </c>
      <c r="E594" t="str">
        <f ca="1">IF(D594=0,"",COUNTIF($D$2:D594,"&gt;0"))</f>
        <v/>
      </c>
      <c r="F594" s="24" t="str">
        <f ca="1">IFERROR(INDEX(A:A,MATCH(ROW(D593),E:E,0)),"")</f>
        <v/>
      </c>
    </row>
    <row r="595" spans="1:6">
      <c r="A595" s="41" t="s">
        <v>1015</v>
      </c>
      <c r="B595" s="25" t="s">
        <v>343</v>
      </c>
      <c r="C595" s="45" t="s">
        <v>469</v>
      </c>
      <c r="D595">
        <f ca="1">IFERROR(SEARCH(INDIRECT(CELL("address")),A595),0)</f>
        <v>0</v>
      </c>
      <c r="E595" t="str">
        <f ca="1">IF(D595=0,"",COUNTIF($D$2:D595,"&gt;0"))</f>
        <v/>
      </c>
      <c r="F595" s="24" t="str">
        <f ca="1">IFERROR(INDEX(A:A,MATCH(ROW(D594),E:E,0)),"")</f>
        <v/>
      </c>
    </row>
    <row r="596" spans="1:6">
      <c r="A596" s="46" t="s">
        <v>1016</v>
      </c>
      <c r="B596" s="25" t="s">
        <v>343</v>
      </c>
      <c r="C596" s="45" t="s">
        <v>470</v>
      </c>
      <c r="D596">
        <f ca="1">IFERROR(SEARCH(INDIRECT(CELL("address")),A596),0)</f>
        <v>0</v>
      </c>
      <c r="E596" t="str">
        <f ca="1">IF(D596=0,"",COUNTIF($D$2:D596,"&gt;0"))</f>
        <v/>
      </c>
      <c r="F596" s="24" t="str">
        <f ca="1">IFERROR(INDEX(A:A,MATCH(ROW(D595),E:E,0)),"")</f>
        <v/>
      </c>
    </row>
    <row r="597" spans="1:6">
      <c r="A597" s="44" t="s">
        <v>1017</v>
      </c>
      <c r="B597" s="25"/>
      <c r="C597" s="45"/>
      <c r="D597">
        <f t="shared" ca="1" si="41"/>
        <v>0</v>
      </c>
      <c r="E597" t="str">
        <f ca="1">IF(D597=0,"",COUNTIF($D$2:D597,"&gt;0"))</f>
        <v/>
      </c>
      <c r="F597" s="24" t="str">
        <f ca="1">IFERROR(INDEX(A:A,MATCH(ROW(D588),E:E,0)),"")</f>
        <v/>
      </c>
    </row>
    <row r="598" spans="1:6">
      <c r="A598" s="46" t="s">
        <v>1018</v>
      </c>
      <c r="B598" s="25" t="s">
        <v>343</v>
      </c>
      <c r="C598" s="45" t="s">
        <v>420</v>
      </c>
      <c r="D598">
        <f t="shared" ca="1" si="41"/>
        <v>0</v>
      </c>
      <c r="E598" t="str">
        <f ca="1">IF(D598=0,"",COUNTIF($D$2:D598,"&gt;0"))</f>
        <v/>
      </c>
      <c r="F598" s="24" t="str">
        <f ca="1">IFERROR(INDEX(A:A,MATCH(ROW(D597),E:E,0)),"")</f>
        <v/>
      </c>
    </row>
    <row r="599" spans="1:6">
      <c r="A599" s="41" t="s">
        <v>1019</v>
      </c>
      <c r="B599" s="25" t="s">
        <v>343</v>
      </c>
      <c r="C599" s="45" t="s">
        <v>465</v>
      </c>
      <c r="D599">
        <f t="shared" ca="1" si="41"/>
        <v>0</v>
      </c>
      <c r="E599" t="str">
        <f ca="1">IF(D599=0,"",COUNTIF($D$2:D599,"&gt;0"))</f>
        <v/>
      </c>
      <c r="F599" s="24" t="str">
        <f ca="1">IFERROR(INDEX(A:A,MATCH(ROW(D598),E:E,0)),"")</f>
        <v/>
      </c>
    </row>
    <row r="600" spans="1:6">
      <c r="A600" s="41" t="s">
        <v>1020</v>
      </c>
      <c r="B600" s="25" t="s">
        <v>343</v>
      </c>
      <c r="C600" s="45" t="s">
        <v>466</v>
      </c>
      <c r="D600">
        <f t="shared" ca="1" si="41"/>
        <v>0</v>
      </c>
      <c r="E600" t="str">
        <f ca="1">IF(D600=0,"",COUNTIF($D$2:D600,"&gt;0"))</f>
        <v/>
      </c>
      <c r="F600" s="24" t="str">
        <f ca="1">IFERROR(INDEX(A:A,MATCH(ROW(D599),E:E,0)),"")</f>
        <v/>
      </c>
    </row>
    <row r="601" spans="1:6">
      <c r="A601" s="41" t="s">
        <v>1021</v>
      </c>
      <c r="B601" s="25" t="s">
        <v>343</v>
      </c>
      <c r="C601" s="45" t="s">
        <v>467</v>
      </c>
      <c r="D601">
        <f t="shared" ca="1" si="41"/>
        <v>0</v>
      </c>
      <c r="E601" t="str">
        <f ca="1">IF(D601=0,"",COUNTIF($D$2:D601,"&gt;0"))</f>
        <v/>
      </c>
      <c r="F601" s="24" t="str">
        <f ca="1">IFERROR(INDEX(A:A,MATCH(ROW(D600),E:E,0)),"")</f>
        <v/>
      </c>
    </row>
    <row r="602" spans="1:6">
      <c r="A602" s="41" t="s">
        <v>1022</v>
      </c>
      <c r="B602" s="25" t="s">
        <v>343</v>
      </c>
      <c r="C602" s="45" t="s">
        <v>468</v>
      </c>
      <c r="D602">
        <f t="shared" ca="1" si="41"/>
        <v>0</v>
      </c>
      <c r="E602" t="str">
        <f ca="1">IF(D602=0,"",COUNTIF($D$2:D1109,"&gt;0"))</f>
        <v/>
      </c>
      <c r="F602" s="24" t="str">
        <f ca="1">IFERROR(INDEX(A:A,MATCH(ROW(D601),E:E,0)),"")</f>
        <v/>
      </c>
    </row>
    <row r="603" spans="1:6">
      <c r="A603" s="41" t="s">
        <v>1023</v>
      </c>
      <c r="B603" s="25" t="s">
        <v>343</v>
      </c>
      <c r="C603" s="45" t="s">
        <v>469</v>
      </c>
      <c r="D603">
        <f t="shared" ref="D603:D612" ca="1" si="43">IFERROR(SEARCH(INDIRECT(CELL("address")),A603),0)</f>
        <v>0</v>
      </c>
      <c r="E603" t="str">
        <f ca="1">IF(D603=0,"",COUNTIF($D$2:D603,"&gt;0"))</f>
        <v/>
      </c>
      <c r="F603" s="24" t="str">
        <f ca="1">IFERROR(INDEX(A:A,MATCH(ROW(D583),E:E,0)),"")</f>
        <v/>
      </c>
    </row>
    <row r="604" spans="1:6">
      <c r="A604" s="46" t="s">
        <v>1024</v>
      </c>
      <c r="B604" s="25" t="s">
        <v>343</v>
      </c>
      <c r="C604" s="45" t="s">
        <v>470</v>
      </c>
      <c r="D604">
        <f t="shared" ca="1" si="43"/>
        <v>0</v>
      </c>
      <c r="E604" t="str">
        <f ca="1">IF(D604=0,"",COUNTIF($D$2:D604,"&gt;0"))</f>
        <v/>
      </c>
      <c r="F604" s="24" t="str">
        <f t="shared" ref="F604:F620" ca="1" si="44">IFERROR(INDEX(A:A,MATCH(ROW(D603),E:E,0)),"")</f>
        <v/>
      </c>
    </row>
    <row r="605" spans="1:6">
      <c r="A605" s="44" t="s">
        <v>1032</v>
      </c>
      <c r="B605" s="25"/>
      <c r="C605" s="45"/>
      <c r="D605">
        <f t="shared" ca="1" si="43"/>
        <v>0</v>
      </c>
      <c r="E605" t="str">
        <f ca="1">IF(D605=0,"",COUNTIF($D$2:D605,"&gt;0"))</f>
        <v/>
      </c>
      <c r="F605" s="24" t="str">
        <f t="shared" ca="1" si="44"/>
        <v/>
      </c>
    </row>
    <row r="606" spans="1:6">
      <c r="A606" s="46" t="s">
        <v>1025</v>
      </c>
      <c r="B606" s="25" t="s">
        <v>343</v>
      </c>
      <c r="C606" s="45" t="s">
        <v>420</v>
      </c>
      <c r="D606">
        <f t="shared" ca="1" si="43"/>
        <v>0</v>
      </c>
      <c r="E606" t="str">
        <f ca="1">IF(D606=0,"",COUNTIF($D$2:D606,"&gt;0"))</f>
        <v/>
      </c>
      <c r="F606" s="24" t="str">
        <f t="shared" ca="1" si="44"/>
        <v/>
      </c>
    </row>
    <row r="607" spans="1:6">
      <c r="A607" s="41" t="s">
        <v>1026</v>
      </c>
      <c r="B607" s="25" t="s">
        <v>343</v>
      </c>
      <c r="C607" s="45" t="s">
        <v>465</v>
      </c>
      <c r="D607">
        <f t="shared" ca="1" si="43"/>
        <v>0</v>
      </c>
      <c r="E607" t="str">
        <f ca="1">IF(D607=0,"",COUNTIF($D$2:D607,"&gt;0"))</f>
        <v/>
      </c>
      <c r="F607" s="24" t="str">
        <f t="shared" ca="1" si="44"/>
        <v/>
      </c>
    </row>
    <row r="608" spans="1:6">
      <c r="A608" s="41" t="s">
        <v>1027</v>
      </c>
      <c r="B608" s="25" t="s">
        <v>343</v>
      </c>
      <c r="C608" s="45" t="s">
        <v>466</v>
      </c>
      <c r="D608">
        <f t="shared" ca="1" si="43"/>
        <v>0</v>
      </c>
      <c r="E608" t="str">
        <f ca="1">IF(D608=0,"",COUNTIF($D$2:D608,"&gt;0"))</f>
        <v/>
      </c>
      <c r="F608" s="24" t="str">
        <f t="shared" ca="1" si="44"/>
        <v/>
      </c>
    </row>
    <row r="609" spans="1:6">
      <c r="A609" s="41" t="s">
        <v>1028</v>
      </c>
      <c r="B609" s="25" t="s">
        <v>343</v>
      </c>
      <c r="C609" s="45" t="s">
        <v>467</v>
      </c>
      <c r="D609">
        <f t="shared" ca="1" si="43"/>
        <v>0</v>
      </c>
      <c r="E609" t="str">
        <f ca="1">IF(D609=0,"",COUNTIF($D$2:D609,"&gt;0"))</f>
        <v/>
      </c>
      <c r="F609" s="24" t="str">
        <f t="shared" ca="1" si="44"/>
        <v/>
      </c>
    </row>
    <row r="610" spans="1:6">
      <c r="A610" s="41" t="s">
        <v>1029</v>
      </c>
      <c r="B610" s="25" t="s">
        <v>343</v>
      </c>
      <c r="C610" s="45" t="s">
        <v>468</v>
      </c>
      <c r="D610">
        <f t="shared" ca="1" si="43"/>
        <v>0</v>
      </c>
      <c r="E610" t="str">
        <f ca="1">IF(D610=0,"",COUNTIF($D$2:D610,"&gt;0"))</f>
        <v/>
      </c>
      <c r="F610" s="24" t="str">
        <f t="shared" ca="1" si="44"/>
        <v/>
      </c>
    </row>
    <row r="611" spans="1:6">
      <c r="A611" s="41" t="s">
        <v>1030</v>
      </c>
      <c r="B611" s="25" t="s">
        <v>343</v>
      </c>
      <c r="C611" s="45" t="s">
        <v>469</v>
      </c>
      <c r="D611">
        <f t="shared" ca="1" si="43"/>
        <v>0</v>
      </c>
      <c r="E611" t="str">
        <f ca="1">IF(D611=0,"",COUNTIF($D$2:D611,"&gt;0"))</f>
        <v/>
      </c>
      <c r="F611" s="24" t="str">
        <f t="shared" ca="1" si="44"/>
        <v/>
      </c>
    </row>
    <row r="612" spans="1:6">
      <c r="A612" s="46" t="s">
        <v>1031</v>
      </c>
      <c r="B612" s="25" t="s">
        <v>343</v>
      </c>
      <c r="C612" s="45" t="s">
        <v>470</v>
      </c>
      <c r="D612">
        <f t="shared" ca="1" si="43"/>
        <v>0</v>
      </c>
      <c r="E612" t="str">
        <f ca="1">IF(D612=0,"",COUNTIF($D$2:D612,"&gt;0"))</f>
        <v/>
      </c>
      <c r="F612" s="24" t="str">
        <f t="shared" ca="1" si="44"/>
        <v/>
      </c>
    </row>
    <row r="613" spans="1:6">
      <c r="A613" s="44" t="s">
        <v>1033</v>
      </c>
      <c r="B613" s="25"/>
      <c r="C613" s="45"/>
      <c r="D613">
        <f t="shared" ref="D613:D620" ca="1" si="45">IFERROR(SEARCH(INDIRECT(CELL("address")),A613),0)</f>
        <v>0</v>
      </c>
      <c r="E613" t="str">
        <f ca="1">IF(D613=0,"",COUNTIF($D$2:D613,"&gt;0"))</f>
        <v/>
      </c>
      <c r="F613" s="24" t="str">
        <f t="shared" ca="1" si="44"/>
        <v/>
      </c>
    </row>
    <row r="614" spans="1:6">
      <c r="A614" s="46" t="s">
        <v>1034</v>
      </c>
      <c r="B614" s="25" t="s">
        <v>343</v>
      </c>
      <c r="C614" s="45" t="s">
        <v>420</v>
      </c>
      <c r="D614">
        <f t="shared" ca="1" si="45"/>
        <v>0</v>
      </c>
      <c r="E614" t="str">
        <f ca="1">IF(D614=0,"",COUNTIF($D$2:D614,"&gt;0"))</f>
        <v/>
      </c>
      <c r="F614" s="24" t="str">
        <f t="shared" ca="1" si="44"/>
        <v/>
      </c>
    </row>
    <row r="615" spans="1:6">
      <c r="A615" s="41" t="s">
        <v>1035</v>
      </c>
      <c r="B615" s="25" t="s">
        <v>343</v>
      </c>
      <c r="C615" s="45" t="s">
        <v>465</v>
      </c>
      <c r="D615">
        <f t="shared" ca="1" si="45"/>
        <v>0</v>
      </c>
      <c r="E615" t="str">
        <f ca="1">IF(D615=0,"",COUNTIF($D$2:D615,"&gt;0"))</f>
        <v/>
      </c>
      <c r="F615" s="24" t="str">
        <f t="shared" ca="1" si="44"/>
        <v/>
      </c>
    </row>
    <row r="616" spans="1:6">
      <c r="A616" s="41" t="s">
        <v>1036</v>
      </c>
      <c r="B616" s="25" t="s">
        <v>343</v>
      </c>
      <c r="C616" s="45" t="s">
        <v>466</v>
      </c>
      <c r="D616">
        <f t="shared" ca="1" si="45"/>
        <v>0</v>
      </c>
      <c r="E616" t="str">
        <f ca="1">IF(D616=0,"",COUNTIF($D$2:D616,"&gt;0"))</f>
        <v/>
      </c>
      <c r="F616" s="24" t="str">
        <f t="shared" ca="1" si="44"/>
        <v/>
      </c>
    </row>
    <row r="617" spans="1:6">
      <c r="A617" s="41" t="s">
        <v>1037</v>
      </c>
      <c r="B617" s="25" t="s">
        <v>343</v>
      </c>
      <c r="C617" s="45" t="s">
        <v>467</v>
      </c>
      <c r="D617">
        <f t="shared" ca="1" si="45"/>
        <v>0</v>
      </c>
      <c r="E617" t="str">
        <f ca="1">IF(D617=0,"",COUNTIF($D$2:D617,"&gt;0"))</f>
        <v/>
      </c>
      <c r="F617" s="24" t="str">
        <f t="shared" ca="1" si="44"/>
        <v/>
      </c>
    </row>
    <row r="618" spans="1:6">
      <c r="A618" s="41" t="s">
        <v>1038</v>
      </c>
      <c r="B618" s="25" t="s">
        <v>343</v>
      </c>
      <c r="C618" s="45" t="s">
        <v>468</v>
      </c>
      <c r="D618">
        <f t="shared" ca="1" si="45"/>
        <v>0</v>
      </c>
      <c r="E618" t="str">
        <f ca="1">IF(D618=0,"",COUNTIF($D$2:D618,"&gt;0"))</f>
        <v/>
      </c>
      <c r="F618" s="24" t="str">
        <f t="shared" ca="1" si="44"/>
        <v/>
      </c>
    </row>
    <row r="619" spans="1:6">
      <c r="A619" s="41" t="s">
        <v>1039</v>
      </c>
      <c r="B619" s="25" t="s">
        <v>343</v>
      </c>
      <c r="C619" s="45" t="s">
        <v>469</v>
      </c>
      <c r="D619">
        <f t="shared" ca="1" si="45"/>
        <v>0</v>
      </c>
      <c r="E619" t="str">
        <f ca="1">IF(D619=0,"",COUNTIF($D$2:D619,"&gt;0"))</f>
        <v/>
      </c>
      <c r="F619" s="24" t="str">
        <f t="shared" ca="1" si="44"/>
        <v/>
      </c>
    </row>
    <row r="620" spans="1:6">
      <c r="A620" s="46" t="s">
        <v>1040</v>
      </c>
      <c r="B620" s="25" t="s">
        <v>343</v>
      </c>
      <c r="C620" s="45" t="s">
        <v>470</v>
      </c>
      <c r="D620">
        <f t="shared" ca="1" si="45"/>
        <v>0</v>
      </c>
      <c r="E620" t="str">
        <f ca="1">IF(D620=0,"",COUNTIF($D$2:D620,"&gt;0"))</f>
        <v/>
      </c>
      <c r="F620" s="24" t="str">
        <f t="shared" ca="1" si="44"/>
        <v/>
      </c>
    </row>
    <row r="621" spans="1:6">
      <c r="A621" s="69" t="s">
        <v>1041</v>
      </c>
      <c r="B621" s="25"/>
      <c r="C621" s="45"/>
      <c r="D621">
        <f ca="1">IFERROR(SEARCH(INDIRECT(CELL("address")),A621),0)</f>
        <v>0</v>
      </c>
      <c r="E621" t="str">
        <f ca="1">IF(D621=0,"",COUNTIF($D$2:D621,"&gt;0"))</f>
        <v/>
      </c>
      <c r="F621" s="24" t="str">
        <f ca="1">IFERROR(INDEX(A:A,MATCH(ROW(D612),E:E,0)),"")</f>
        <v/>
      </c>
    </row>
    <row r="622" spans="1:6">
      <c r="A622" s="46" t="s">
        <v>1042</v>
      </c>
      <c r="B622" s="25" t="s">
        <v>343</v>
      </c>
      <c r="C622" s="45" t="s">
        <v>438</v>
      </c>
      <c r="D622">
        <f ca="1">IFERROR(SEARCH(INDIRECT(CELL("address")),A622),0)</f>
        <v>0</v>
      </c>
      <c r="E622" t="str">
        <f ca="1">IF(D622=0,"",COUNTIF($D$2:D622,"&gt;0"))</f>
        <v/>
      </c>
      <c r="F622" s="24" t="str">
        <f ca="1">IFERROR(INDEX(A:A,MATCH(ROW(D621),E:E,0)),"")</f>
        <v/>
      </c>
    </row>
    <row r="623" spans="1:6">
      <c r="A623" s="41" t="s">
        <v>1043</v>
      </c>
      <c r="B623" s="25" t="s">
        <v>343</v>
      </c>
      <c r="C623" s="45" t="s">
        <v>471</v>
      </c>
      <c r="D623">
        <f t="shared" ref="D623:D654" ca="1" si="46">IFERROR(SEARCH(INDIRECT(CELL("address")),A623),0)</f>
        <v>0</v>
      </c>
      <c r="E623" t="str">
        <f ca="1">IF(D623=0,"",COUNTIF($D$2:D623,"&gt;0"))</f>
        <v/>
      </c>
      <c r="F623" s="24" t="str">
        <f>IFERROR(INDEX(A:A,MATCH(ROW(#REF!),E:E,0)),"")</f>
        <v/>
      </c>
    </row>
    <row r="624" spans="1:6">
      <c r="A624" s="41" t="s">
        <v>1048</v>
      </c>
      <c r="B624" s="25" t="s">
        <v>343</v>
      </c>
      <c r="C624" s="45" t="s">
        <v>472</v>
      </c>
      <c r="D624">
        <f t="shared" ca="1" si="46"/>
        <v>0</v>
      </c>
      <c r="E624" t="str">
        <f ca="1">IF(D624=0,"",COUNTIF($D$2:D624,"&gt;0"))</f>
        <v/>
      </c>
      <c r="F624" s="24" t="str">
        <f t="shared" ref="F624:F655" ca="1" si="47">IFERROR(INDEX(A:A,MATCH(ROW(D623),E:E,0)),"")</f>
        <v/>
      </c>
    </row>
    <row r="625" spans="1:6">
      <c r="A625" s="41" t="s">
        <v>1049</v>
      </c>
      <c r="B625" s="25" t="s">
        <v>343</v>
      </c>
      <c r="C625" s="45" t="s">
        <v>467</v>
      </c>
      <c r="D625">
        <f t="shared" ca="1" si="46"/>
        <v>0</v>
      </c>
      <c r="E625" t="str">
        <f ca="1">IF(D625=0,"",COUNTIF($D$2:D625,"&gt;0"))</f>
        <v/>
      </c>
      <c r="F625" s="24" t="str">
        <f t="shared" ca="1" si="47"/>
        <v/>
      </c>
    </row>
    <row r="626" spans="1:6">
      <c r="A626" s="41" t="s">
        <v>1050</v>
      </c>
      <c r="B626" s="25" t="s">
        <v>343</v>
      </c>
      <c r="C626" s="45" t="s">
        <v>468</v>
      </c>
      <c r="D626">
        <f t="shared" ca="1" si="46"/>
        <v>0</v>
      </c>
      <c r="E626" t="str">
        <f ca="1">IF(D626=0,"",COUNTIF($D$2:D626,"&gt;0"))</f>
        <v/>
      </c>
      <c r="F626" s="24" t="str">
        <f t="shared" ca="1" si="47"/>
        <v/>
      </c>
    </row>
    <row r="627" spans="1:6">
      <c r="A627" s="41" t="s">
        <v>1051</v>
      </c>
      <c r="B627" s="25" t="s">
        <v>343</v>
      </c>
      <c r="C627" s="45" t="s">
        <v>473</v>
      </c>
      <c r="D627">
        <f t="shared" ca="1" si="46"/>
        <v>0</v>
      </c>
      <c r="E627" t="str">
        <f ca="1">IF(D627=0,"",COUNTIF($D$2:D627,"&gt;0"))</f>
        <v/>
      </c>
      <c r="F627" s="24" t="str">
        <f t="shared" ca="1" si="47"/>
        <v/>
      </c>
    </row>
    <row r="628" spans="1:6">
      <c r="A628" s="41" t="s">
        <v>1052</v>
      </c>
      <c r="B628" s="25" t="s">
        <v>343</v>
      </c>
      <c r="C628" s="45" t="s">
        <v>474</v>
      </c>
      <c r="D628">
        <f t="shared" ca="1" si="46"/>
        <v>0</v>
      </c>
      <c r="E628" t="str">
        <f ca="1">IF(D628=0,"",COUNTIF($D$2:D628,"&gt;0"))</f>
        <v/>
      </c>
      <c r="F628" s="24" t="str">
        <f t="shared" ca="1" si="47"/>
        <v/>
      </c>
    </row>
    <row r="629" spans="1:6">
      <c r="A629" s="46" t="s">
        <v>1044</v>
      </c>
      <c r="B629" s="25" t="s">
        <v>343</v>
      </c>
      <c r="C629" s="45" t="s">
        <v>464</v>
      </c>
      <c r="D629">
        <f t="shared" ca="1" si="46"/>
        <v>0</v>
      </c>
      <c r="E629" t="str">
        <f ca="1">IF(D629=0,"",COUNTIF($D$2:D629,"&gt;0"))</f>
        <v/>
      </c>
      <c r="F629" s="24" t="str">
        <f t="shared" ca="1" si="47"/>
        <v/>
      </c>
    </row>
    <row r="630" spans="1:6">
      <c r="A630" s="44" t="s">
        <v>1045</v>
      </c>
      <c r="B630" s="25"/>
      <c r="C630" s="45"/>
      <c r="D630">
        <f t="shared" ca="1" si="46"/>
        <v>0</v>
      </c>
      <c r="E630" t="str">
        <f ca="1">IF(D630=0,"",COUNTIF($D$2:D630,"&gt;0"))</f>
        <v/>
      </c>
      <c r="F630" s="24" t="str">
        <f t="shared" ca="1" si="47"/>
        <v/>
      </c>
    </row>
    <row r="631" spans="1:6">
      <c r="A631" s="47" t="s">
        <v>1046</v>
      </c>
      <c r="B631" s="25" t="s">
        <v>343</v>
      </c>
      <c r="C631" s="45" t="s">
        <v>345</v>
      </c>
      <c r="D631">
        <f t="shared" ca="1" si="46"/>
        <v>0</v>
      </c>
      <c r="E631" t="str">
        <f ca="1">IF(D631=0,"",COUNTIF($D$2:D631,"&gt;0"))</f>
        <v/>
      </c>
      <c r="F631" s="24" t="str">
        <f t="shared" ca="1" si="47"/>
        <v/>
      </c>
    </row>
    <row r="632" spans="1:6">
      <c r="A632" s="46" t="s">
        <v>1053</v>
      </c>
      <c r="B632" s="25" t="s">
        <v>343</v>
      </c>
      <c r="C632" s="45" t="s">
        <v>475</v>
      </c>
      <c r="D632">
        <f t="shared" ca="1" si="46"/>
        <v>0</v>
      </c>
      <c r="E632" t="str">
        <f ca="1">IF(D632=0,"",COUNTIF($D$2:D632,"&gt;0"))</f>
        <v/>
      </c>
      <c r="F632" s="24" t="str">
        <f t="shared" ca="1" si="47"/>
        <v/>
      </c>
    </row>
    <row r="633" spans="1:6">
      <c r="A633" s="46" t="s">
        <v>1059</v>
      </c>
      <c r="B633" s="25" t="s">
        <v>343</v>
      </c>
      <c r="C633" s="45" t="s">
        <v>476</v>
      </c>
      <c r="D633">
        <f t="shared" ca="1" si="46"/>
        <v>0</v>
      </c>
      <c r="E633" t="str">
        <f ca="1">IF(D633=0,"",COUNTIF($D$2:D633,"&gt;0"))</f>
        <v/>
      </c>
      <c r="F633" s="24" t="str">
        <f t="shared" ca="1" si="47"/>
        <v/>
      </c>
    </row>
    <row r="634" spans="1:6">
      <c r="A634" s="46" t="s">
        <v>1054</v>
      </c>
      <c r="B634" s="25" t="s">
        <v>343</v>
      </c>
      <c r="C634" s="45" t="s">
        <v>433</v>
      </c>
      <c r="D634">
        <f t="shared" ca="1" si="46"/>
        <v>0</v>
      </c>
      <c r="E634" t="str">
        <f ca="1">IF(D634=0,"",COUNTIF($D$2:D634,"&gt;0"))</f>
        <v/>
      </c>
      <c r="F634" s="24" t="str">
        <f t="shared" ca="1" si="47"/>
        <v/>
      </c>
    </row>
    <row r="635" spans="1:6">
      <c r="A635" s="46" t="s">
        <v>1055</v>
      </c>
      <c r="B635" s="25" t="s">
        <v>343</v>
      </c>
      <c r="C635" s="45" t="s">
        <v>477</v>
      </c>
      <c r="D635">
        <f t="shared" ca="1" si="46"/>
        <v>0</v>
      </c>
      <c r="E635" t="str">
        <f ca="1">IF(D635=0,"",COUNTIF($D$2:D635,"&gt;0"))</f>
        <v/>
      </c>
      <c r="F635" s="24" t="str">
        <f t="shared" ca="1" si="47"/>
        <v/>
      </c>
    </row>
    <row r="636" spans="1:6">
      <c r="A636" s="46" t="s">
        <v>1056</v>
      </c>
      <c r="B636" s="25" t="s">
        <v>343</v>
      </c>
      <c r="C636" s="45" t="s">
        <v>435</v>
      </c>
      <c r="D636">
        <f t="shared" ca="1" si="46"/>
        <v>0</v>
      </c>
      <c r="E636" t="str">
        <f ca="1">IF(D636=0,"",COUNTIF($D$2:D636,"&gt;0"))</f>
        <v/>
      </c>
      <c r="F636" s="24" t="str">
        <f t="shared" ca="1" si="47"/>
        <v/>
      </c>
    </row>
    <row r="637" spans="1:6">
      <c r="A637" s="46" t="s">
        <v>1057</v>
      </c>
      <c r="B637" s="25" t="s">
        <v>343</v>
      </c>
      <c r="C637" s="45" t="s">
        <v>478</v>
      </c>
      <c r="D637">
        <f t="shared" ca="1" si="46"/>
        <v>0</v>
      </c>
      <c r="E637" t="str">
        <f ca="1">IF(D637=0,"",COUNTIF($D$2:D637,"&gt;0"))</f>
        <v/>
      </c>
      <c r="F637" s="24" t="str">
        <f t="shared" ca="1" si="47"/>
        <v/>
      </c>
    </row>
    <row r="638" spans="1:6">
      <c r="A638" s="46" t="s">
        <v>1058</v>
      </c>
      <c r="B638" s="25" t="s">
        <v>343</v>
      </c>
      <c r="C638" s="45" t="s">
        <v>479</v>
      </c>
      <c r="D638">
        <f t="shared" ca="1" si="46"/>
        <v>0</v>
      </c>
      <c r="E638" t="str">
        <f ca="1">IF(D638=0,"",COUNTIF($D$2:D638,"&gt;0"))</f>
        <v/>
      </c>
      <c r="F638" s="24" t="str">
        <f t="shared" ca="1" si="47"/>
        <v/>
      </c>
    </row>
    <row r="639" spans="1:6">
      <c r="A639" s="46" t="s">
        <v>1047</v>
      </c>
      <c r="B639" s="25" t="s">
        <v>343</v>
      </c>
      <c r="C639" s="45" t="s">
        <v>480</v>
      </c>
      <c r="D639">
        <f t="shared" ca="1" si="46"/>
        <v>0</v>
      </c>
      <c r="E639" t="str">
        <f ca="1">IF(D639=0,"",COUNTIF($D$2:D639,"&gt;0"))</f>
        <v/>
      </c>
      <c r="F639" s="24" t="str">
        <f t="shared" ca="1" si="47"/>
        <v/>
      </c>
    </row>
    <row r="640" spans="1:6">
      <c r="A640" s="44" t="s">
        <v>756</v>
      </c>
      <c r="B640" s="25" t="s">
        <v>343</v>
      </c>
      <c r="C640" s="45"/>
      <c r="D640">
        <f t="shared" ca="1" si="46"/>
        <v>0</v>
      </c>
      <c r="E640" t="str">
        <f ca="1">IF(D640=0,"",COUNTIF($D$2:D640,"&gt;0"))</f>
        <v/>
      </c>
      <c r="F640" s="24" t="str">
        <f t="shared" ca="1" si="47"/>
        <v/>
      </c>
    </row>
    <row r="641" spans="1:6">
      <c r="A641" s="46" t="s">
        <v>1060</v>
      </c>
      <c r="B641" s="25" t="s">
        <v>343</v>
      </c>
      <c r="C641" s="45" t="s">
        <v>455</v>
      </c>
      <c r="D641">
        <f t="shared" ca="1" si="46"/>
        <v>0</v>
      </c>
      <c r="E641" t="str">
        <f ca="1">IF(D641=0,"",COUNTIF($D$2:D641,"&gt;0"))</f>
        <v/>
      </c>
      <c r="F641" s="24" t="str">
        <f t="shared" ca="1" si="47"/>
        <v/>
      </c>
    </row>
    <row r="642" spans="1:6">
      <c r="A642" s="46" t="s">
        <v>1061</v>
      </c>
      <c r="B642" s="25" t="s">
        <v>343</v>
      </c>
      <c r="C642" s="45" t="s">
        <v>481</v>
      </c>
      <c r="D642">
        <f t="shared" ca="1" si="46"/>
        <v>0</v>
      </c>
      <c r="E642" t="str">
        <f ca="1">IF(D642=0,"",COUNTIF($D$2:D642,"&gt;0"))</f>
        <v/>
      </c>
      <c r="F642" s="24" t="str">
        <f t="shared" ca="1" si="47"/>
        <v/>
      </c>
    </row>
    <row r="643" spans="1:6">
      <c r="A643" s="46" t="s">
        <v>1062</v>
      </c>
      <c r="B643" s="25" t="s">
        <v>343</v>
      </c>
      <c r="C643" s="45" t="s">
        <v>482</v>
      </c>
      <c r="D643">
        <f t="shared" ca="1" si="46"/>
        <v>0</v>
      </c>
      <c r="E643" t="str">
        <f ca="1">IF(D643=0,"",COUNTIF($D$2:D643,"&gt;0"))</f>
        <v/>
      </c>
      <c r="F643" s="24" t="str">
        <f t="shared" ca="1" si="47"/>
        <v/>
      </c>
    </row>
    <row r="644" spans="1:6">
      <c r="A644" s="46" t="s">
        <v>1063</v>
      </c>
      <c r="B644" s="25" t="s">
        <v>343</v>
      </c>
      <c r="C644" s="45" t="s">
        <v>483</v>
      </c>
      <c r="D644">
        <f t="shared" ca="1" si="46"/>
        <v>0</v>
      </c>
      <c r="E644" t="str">
        <f ca="1">IF(D644=0,"",COUNTIF($D$2:D644,"&gt;0"))</f>
        <v/>
      </c>
      <c r="F644" s="24" t="str">
        <f t="shared" ca="1" si="47"/>
        <v/>
      </c>
    </row>
    <row r="645" spans="1:6">
      <c r="A645" s="46" t="s">
        <v>1064</v>
      </c>
      <c r="B645" s="25" t="s">
        <v>343</v>
      </c>
      <c r="C645" s="45" t="s">
        <v>484</v>
      </c>
      <c r="D645">
        <f t="shared" ca="1" si="46"/>
        <v>0</v>
      </c>
      <c r="E645" t="str">
        <f ca="1">IF(D645=0,"",COUNTIF($D$2:D645,"&gt;0"))</f>
        <v/>
      </c>
      <c r="F645" s="24" t="str">
        <f t="shared" ca="1" si="47"/>
        <v/>
      </c>
    </row>
    <row r="646" spans="1:6">
      <c r="A646" s="44" t="s">
        <v>1065</v>
      </c>
      <c r="B646" s="25"/>
      <c r="C646" s="45"/>
      <c r="D646">
        <f t="shared" ca="1" si="46"/>
        <v>0</v>
      </c>
      <c r="E646" t="str">
        <f ca="1">IF(D646=0,"",COUNTIF($D$2:D646,"&gt;0"))</f>
        <v/>
      </c>
      <c r="F646" s="24" t="str">
        <f t="shared" ca="1" si="47"/>
        <v/>
      </c>
    </row>
    <row r="647" spans="1:6">
      <c r="A647" s="47" t="s">
        <v>1066</v>
      </c>
      <c r="B647" s="25" t="s">
        <v>343</v>
      </c>
      <c r="C647" s="45" t="s">
        <v>345</v>
      </c>
      <c r="D647">
        <f t="shared" ca="1" si="46"/>
        <v>0</v>
      </c>
      <c r="E647" t="str">
        <f ca="1">IF(D647=0,"",COUNTIF($D$2:D647,"&gt;0"))</f>
        <v/>
      </c>
      <c r="F647" s="24" t="str">
        <f t="shared" ca="1" si="47"/>
        <v/>
      </c>
    </row>
    <row r="648" spans="1:6">
      <c r="A648" s="41" t="s">
        <v>1068</v>
      </c>
      <c r="B648" s="25" t="s">
        <v>343</v>
      </c>
      <c r="C648" s="45" t="s">
        <v>465</v>
      </c>
      <c r="D648">
        <f t="shared" ca="1" si="46"/>
        <v>0</v>
      </c>
      <c r="E648" t="str">
        <f ca="1">IF(D648=0,"",COUNTIF($D$2:D648,"&gt;0"))</f>
        <v/>
      </c>
      <c r="F648" s="24" t="str">
        <f t="shared" ca="1" si="47"/>
        <v/>
      </c>
    </row>
    <row r="649" spans="1:6">
      <c r="A649" s="41" t="s">
        <v>1069</v>
      </c>
      <c r="B649" s="25" t="s">
        <v>343</v>
      </c>
      <c r="C649" s="45" t="s">
        <v>456</v>
      </c>
      <c r="D649">
        <f t="shared" ca="1" si="46"/>
        <v>0</v>
      </c>
      <c r="E649" t="str">
        <f ca="1">IF(D649=0,"",COUNTIF($D$2:D649,"&gt;0"))</f>
        <v/>
      </c>
      <c r="F649" s="24" t="str">
        <f t="shared" ca="1" si="47"/>
        <v/>
      </c>
    </row>
    <row r="650" spans="1:6">
      <c r="A650" s="41" t="s">
        <v>1070</v>
      </c>
      <c r="B650" s="25" t="s">
        <v>343</v>
      </c>
      <c r="C650" s="45" t="s">
        <v>473</v>
      </c>
      <c r="D650">
        <f t="shared" ca="1" si="46"/>
        <v>0</v>
      </c>
      <c r="E650" t="str">
        <f ca="1">IF(D650=0,"",COUNTIF($D$2:D650,"&gt;0"))</f>
        <v/>
      </c>
      <c r="F650" s="24" t="str">
        <f t="shared" ca="1" si="47"/>
        <v/>
      </c>
    </row>
    <row r="651" spans="1:6">
      <c r="A651" s="41" t="s">
        <v>1071</v>
      </c>
      <c r="B651" s="25" t="s">
        <v>343</v>
      </c>
      <c r="C651" s="45" t="s">
        <v>485</v>
      </c>
      <c r="D651">
        <f t="shared" ca="1" si="46"/>
        <v>0</v>
      </c>
      <c r="E651" t="str">
        <f ca="1">IF(D651=0,"",COUNTIF($D$2:D651,"&gt;0"))</f>
        <v/>
      </c>
      <c r="F651" s="24" t="str">
        <f t="shared" ca="1" si="47"/>
        <v/>
      </c>
    </row>
    <row r="652" spans="1:6">
      <c r="A652" s="41" t="s">
        <v>1072</v>
      </c>
      <c r="B652" s="25" t="s">
        <v>348</v>
      </c>
      <c r="C652" s="45" t="s">
        <v>486</v>
      </c>
      <c r="D652">
        <f t="shared" ca="1" si="46"/>
        <v>0</v>
      </c>
      <c r="E652" t="str">
        <f ca="1">IF(D652=0,"",COUNTIF($D$2:D652,"&gt;0"))</f>
        <v/>
      </c>
      <c r="F652" s="24" t="str">
        <f t="shared" ca="1" si="47"/>
        <v/>
      </c>
    </row>
    <row r="653" spans="1:6">
      <c r="A653" s="41" t="s">
        <v>1073</v>
      </c>
      <c r="B653" s="25" t="s">
        <v>343</v>
      </c>
      <c r="C653" s="45" t="s">
        <v>479</v>
      </c>
      <c r="D653">
        <f t="shared" ca="1" si="46"/>
        <v>0</v>
      </c>
      <c r="E653" t="str">
        <f ca="1">IF(D653=0,"",COUNTIF($D$2:D653,"&gt;0"))</f>
        <v/>
      </c>
      <c r="F653" s="24" t="str">
        <f t="shared" ca="1" si="47"/>
        <v/>
      </c>
    </row>
    <row r="654" spans="1:6">
      <c r="A654" s="46" t="s">
        <v>1067</v>
      </c>
      <c r="B654" s="25" t="s">
        <v>343</v>
      </c>
      <c r="C654" s="45" t="s">
        <v>487</v>
      </c>
      <c r="D654">
        <f t="shared" ca="1" si="46"/>
        <v>0</v>
      </c>
      <c r="E654" t="str">
        <f ca="1">IF(D654=0,"",COUNTIF($D$2:D654,"&gt;0"))</f>
        <v/>
      </c>
      <c r="F654" s="24" t="str">
        <f t="shared" ca="1" si="47"/>
        <v/>
      </c>
    </row>
    <row r="655" spans="1:6">
      <c r="A655" s="44" t="s">
        <v>1074</v>
      </c>
      <c r="B655" s="25"/>
      <c r="C655" s="45"/>
      <c r="D655">
        <f t="shared" ref="D655:D677" ca="1" si="48">IFERROR(SEARCH(INDIRECT(CELL("address")),A655),0)</f>
        <v>0</v>
      </c>
      <c r="E655" t="str">
        <f ca="1">IF(D655=0,"",COUNTIF($D$2:D655,"&gt;0"))</f>
        <v/>
      </c>
      <c r="F655" s="24" t="str">
        <f t="shared" ca="1" si="47"/>
        <v/>
      </c>
    </row>
    <row r="656" spans="1:6">
      <c r="A656" s="46" t="s">
        <v>1075</v>
      </c>
      <c r="B656" s="25" t="s">
        <v>343</v>
      </c>
      <c r="C656" s="45" t="s">
        <v>345</v>
      </c>
      <c r="D656">
        <f t="shared" ca="1" si="48"/>
        <v>0</v>
      </c>
      <c r="E656" t="str">
        <f ca="1">IF(D656=0,"",COUNTIF($D$2:D656,"&gt;0"))</f>
        <v/>
      </c>
      <c r="F656" s="24" t="str">
        <f t="shared" ref="F656:F677" ca="1" si="49">IFERROR(INDEX(A:A,MATCH(ROW(D655),E:E,0)),"")</f>
        <v/>
      </c>
    </row>
    <row r="657" spans="1:6">
      <c r="A657" s="46" t="s">
        <v>1077</v>
      </c>
      <c r="B657" s="25" t="s">
        <v>343</v>
      </c>
      <c r="C657" s="45" t="s">
        <v>488</v>
      </c>
      <c r="D657">
        <f t="shared" ca="1" si="48"/>
        <v>0</v>
      </c>
      <c r="E657" t="str">
        <f ca="1">IF(D657=0,"",COUNTIF($D$2:D657,"&gt;0"))</f>
        <v/>
      </c>
      <c r="F657" s="24" t="str">
        <f t="shared" ca="1" si="49"/>
        <v/>
      </c>
    </row>
    <row r="658" spans="1:6">
      <c r="A658" s="46" t="s">
        <v>1078</v>
      </c>
      <c r="B658" s="25" t="s">
        <v>343</v>
      </c>
      <c r="C658" s="45" t="s">
        <v>489</v>
      </c>
      <c r="D658">
        <f t="shared" ca="1" si="48"/>
        <v>0</v>
      </c>
      <c r="E658" t="str">
        <f ca="1">IF(D658=0,"",COUNTIF($D$2:D658,"&gt;0"))</f>
        <v/>
      </c>
      <c r="F658" s="24" t="str">
        <f t="shared" ca="1" si="49"/>
        <v/>
      </c>
    </row>
    <row r="659" spans="1:6">
      <c r="A659" s="46" t="s">
        <v>1079</v>
      </c>
      <c r="B659" s="25" t="s">
        <v>343</v>
      </c>
      <c r="C659" s="45" t="s">
        <v>469</v>
      </c>
      <c r="D659">
        <f t="shared" ca="1" si="48"/>
        <v>0</v>
      </c>
      <c r="E659" t="str">
        <f ca="1">IF(D659=0,"",COUNTIF($D$2:D659,"&gt;0"))</f>
        <v/>
      </c>
      <c r="F659" s="24" t="str">
        <f t="shared" ca="1" si="49"/>
        <v/>
      </c>
    </row>
    <row r="660" spans="1:6">
      <c r="A660" s="46" t="s">
        <v>1080</v>
      </c>
      <c r="B660" s="25" t="s">
        <v>348</v>
      </c>
      <c r="C660" s="45" t="s">
        <v>490</v>
      </c>
      <c r="D660">
        <f t="shared" ca="1" si="48"/>
        <v>0</v>
      </c>
      <c r="E660" t="str">
        <f ca="1">IF(D660=0,"",COUNTIF($D$2:D660,"&gt;0"))</f>
        <v/>
      </c>
      <c r="F660" s="24" t="str">
        <f t="shared" ca="1" si="49"/>
        <v/>
      </c>
    </row>
    <row r="661" spans="1:6">
      <c r="A661" s="46" t="s">
        <v>1081</v>
      </c>
      <c r="B661" s="25" t="s">
        <v>343</v>
      </c>
      <c r="C661" s="45" t="s">
        <v>491</v>
      </c>
      <c r="D661">
        <f t="shared" ca="1" si="48"/>
        <v>0</v>
      </c>
      <c r="E661" t="str">
        <f ca="1">IF(D661=0,"",COUNTIF($D$2:D661,"&gt;0"))</f>
        <v/>
      </c>
      <c r="F661" s="24" t="str">
        <f t="shared" ca="1" si="49"/>
        <v/>
      </c>
    </row>
    <row r="662" spans="1:6">
      <c r="A662" s="46" t="s">
        <v>1082</v>
      </c>
      <c r="B662" s="25" t="s">
        <v>343</v>
      </c>
      <c r="C662" s="45" t="s">
        <v>436</v>
      </c>
      <c r="D662">
        <f t="shared" ca="1" si="48"/>
        <v>0</v>
      </c>
      <c r="E662" t="str">
        <f ca="1">IF(D662=0,"",COUNTIF($D$2:D662,"&gt;0"))</f>
        <v/>
      </c>
      <c r="F662" s="24" t="str">
        <f t="shared" ca="1" si="49"/>
        <v/>
      </c>
    </row>
    <row r="663" spans="1:6">
      <c r="A663" s="46" t="s">
        <v>1076</v>
      </c>
      <c r="B663" s="25" t="s">
        <v>343</v>
      </c>
      <c r="C663" s="45" t="s">
        <v>492</v>
      </c>
      <c r="D663">
        <f t="shared" ca="1" si="48"/>
        <v>0</v>
      </c>
      <c r="E663" t="str">
        <f ca="1">IF(D663=0,"",COUNTIF($D$2:D663,"&gt;0"))</f>
        <v/>
      </c>
      <c r="F663" s="24" t="str">
        <f t="shared" ca="1" si="49"/>
        <v/>
      </c>
    </row>
    <row r="664" spans="1:6">
      <c r="A664" s="44" t="s">
        <v>1083</v>
      </c>
      <c r="B664" s="25"/>
      <c r="C664" s="45"/>
      <c r="D664">
        <f t="shared" ca="1" si="48"/>
        <v>0</v>
      </c>
      <c r="E664" t="str">
        <f ca="1">IF(D664=0,"",COUNTIF($D$2:D664,"&gt;0"))</f>
        <v/>
      </c>
      <c r="F664" s="24" t="str">
        <f t="shared" ca="1" si="49"/>
        <v/>
      </c>
    </row>
    <row r="665" spans="1:6">
      <c r="A665" s="46" t="s">
        <v>1084</v>
      </c>
      <c r="B665" s="25" t="s">
        <v>343</v>
      </c>
      <c r="C665" s="45" t="s">
        <v>493</v>
      </c>
      <c r="D665">
        <f t="shared" ca="1" si="48"/>
        <v>0</v>
      </c>
      <c r="E665" t="str">
        <f ca="1">IF(D665=0,"",COUNTIF($D$2:D665,"&gt;0"))</f>
        <v/>
      </c>
      <c r="F665" s="24" t="str">
        <f t="shared" ca="1" si="49"/>
        <v/>
      </c>
    </row>
    <row r="666" spans="1:6">
      <c r="A666" s="41" t="s">
        <v>1086</v>
      </c>
      <c r="B666" s="25" t="s">
        <v>343</v>
      </c>
      <c r="C666" s="45" t="s">
        <v>494</v>
      </c>
      <c r="D666">
        <f t="shared" ca="1" si="48"/>
        <v>0</v>
      </c>
      <c r="E666" t="str">
        <f ca="1">IF(D666=0,"",COUNTIF($D$2:D666,"&gt;0"))</f>
        <v/>
      </c>
      <c r="F666" s="24" t="str">
        <f t="shared" ca="1" si="49"/>
        <v/>
      </c>
    </row>
    <row r="667" spans="1:6">
      <c r="A667" s="41" t="s">
        <v>1087</v>
      </c>
      <c r="B667" s="25" t="s">
        <v>343</v>
      </c>
      <c r="C667" s="45" t="s">
        <v>472</v>
      </c>
      <c r="D667">
        <f t="shared" ca="1" si="48"/>
        <v>0</v>
      </c>
      <c r="E667" t="str">
        <f ca="1">IF(D667=0,"",COUNTIF($D$2:D667,"&gt;0"))</f>
        <v/>
      </c>
      <c r="F667" s="24" t="str">
        <f t="shared" ca="1" si="49"/>
        <v/>
      </c>
    </row>
    <row r="668" spans="1:6">
      <c r="A668" s="41" t="s">
        <v>1088</v>
      </c>
      <c r="B668" s="25" t="s">
        <v>343</v>
      </c>
      <c r="C668" s="45" t="s">
        <v>462</v>
      </c>
      <c r="D668">
        <f t="shared" ca="1" si="48"/>
        <v>0</v>
      </c>
      <c r="E668" t="str">
        <f ca="1">IF(D668=0,"",COUNTIF($D$2:D668,"&gt;0"))</f>
        <v/>
      </c>
      <c r="F668" s="24" t="str">
        <f t="shared" ca="1" si="49"/>
        <v/>
      </c>
    </row>
    <row r="669" spans="1:6">
      <c r="A669" s="41" t="s">
        <v>1089</v>
      </c>
      <c r="B669" s="25" t="s">
        <v>343</v>
      </c>
      <c r="C669" s="45" t="s">
        <v>495</v>
      </c>
      <c r="D669">
        <f t="shared" ca="1" si="48"/>
        <v>0</v>
      </c>
      <c r="E669" t="str">
        <f ca="1">IF(D669=0,"",COUNTIF($D$2:D669,"&gt;0"))</f>
        <v/>
      </c>
      <c r="F669" s="24" t="str">
        <f t="shared" ca="1" si="49"/>
        <v/>
      </c>
    </row>
    <row r="670" spans="1:6">
      <c r="A670" s="41" t="s">
        <v>1090</v>
      </c>
      <c r="B670" s="25" t="s">
        <v>343</v>
      </c>
      <c r="C670" s="45" t="s">
        <v>463</v>
      </c>
      <c r="D670">
        <f t="shared" ca="1" si="48"/>
        <v>0</v>
      </c>
      <c r="E670" t="str">
        <f ca="1">IF(D670=0,"",COUNTIF($D$2:D670,"&gt;0"))</f>
        <v/>
      </c>
      <c r="F670" s="24" t="str">
        <f t="shared" ca="1" si="49"/>
        <v/>
      </c>
    </row>
    <row r="671" spans="1:6">
      <c r="A671" s="46" t="s">
        <v>1085</v>
      </c>
      <c r="B671" s="25" t="s">
        <v>343</v>
      </c>
      <c r="C671" s="45" t="s">
        <v>496</v>
      </c>
      <c r="D671">
        <f t="shared" ca="1" si="48"/>
        <v>0</v>
      </c>
      <c r="E671" t="str">
        <f ca="1">IF(D671=0,"",COUNTIF($D$2:D671,"&gt;0"))</f>
        <v/>
      </c>
      <c r="F671" s="24" t="str">
        <f t="shared" ca="1" si="49"/>
        <v/>
      </c>
    </row>
    <row r="672" spans="1:6">
      <c r="A672" s="44" t="s">
        <v>1091</v>
      </c>
      <c r="B672" s="25"/>
      <c r="C672" s="45"/>
      <c r="D672">
        <f t="shared" ca="1" si="48"/>
        <v>0</v>
      </c>
      <c r="E672" t="str">
        <f ca="1">IF(D672=0,"",COUNTIF($D$2:D672,"&gt;0"))</f>
        <v/>
      </c>
      <c r="F672" s="24" t="str">
        <f t="shared" ca="1" si="49"/>
        <v/>
      </c>
    </row>
    <row r="673" spans="1:6">
      <c r="A673" s="46" t="s">
        <v>1092</v>
      </c>
      <c r="B673" s="25" t="s">
        <v>343</v>
      </c>
      <c r="C673" s="45" t="s">
        <v>497</v>
      </c>
      <c r="D673">
        <f t="shared" ca="1" si="48"/>
        <v>0</v>
      </c>
      <c r="E673" t="str">
        <f ca="1">IF(D673=0,"",COUNTIF($D$2:D673,"&gt;0"))</f>
        <v/>
      </c>
      <c r="F673" s="24" t="str">
        <f t="shared" ca="1" si="49"/>
        <v/>
      </c>
    </row>
    <row r="674" spans="1:6">
      <c r="A674" s="41" t="s">
        <v>1094</v>
      </c>
      <c r="B674" s="25" t="s">
        <v>343</v>
      </c>
      <c r="C674" s="45" t="s">
        <v>494</v>
      </c>
      <c r="D674">
        <f t="shared" ca="1" si="48"/>
        <v>0</v>
      </c>
      <c r="E674" t="str">
        <f ca="1">IF(D674=0,"",COUNTIF($D$2:D674,"&gt;0"))</f>
        <v/>
      </c>
      <c r="F674" s="24" t="str">
        <f t="shared" ca="1" si="49"/>
        <v/>
      </c>
    </row>
    <row r="675" spans="1:6">
      <c r="A675" s="41" t="s">
        <v>1095</v>
      </c>
      <c r="B675" s="25" t="s">
        <v>343</v>
      </c>
      <c r="C675" s="45" t="s">
        <v>472</v>
      </c>
      <c r="D675">
        <f t="shared" ca="1" si="48"/>
        <v>0</v>
      </c>
      <c r="E675" t="str">
        <f ca="1">IF(D675=0,"",COUNTIF($D$2:D675,"&gt;0"))</f>
        <v/>
      </c>
      <c r="F675" s="24" t="str">
        <f t="shared" ca="1" si="49"/>
        <v/>
      </c>
    </row>
    <row r="676" spans="1:6">
      <c r="A676" s="41" t="s">
        <v>1096</v>
      </c>
      <c r="B676" s="25" t="s">
        <v>343</v>
      </c>
      <c r="C676" s="45" t="s">
        <v>462</v>
      </c>
      <c r="D676">
        <f t="shared" ca="1" si="48"/>
        <v>0</v>
      </c>
      <c r="E676" t="str">
        <f ca="1">IF(D676=0,"",COUNTIF($D$2:D676,"&gt;0"))</f>
        <v/>
      </c>
      <c r="F676" s="24" t="str">
        <f t="shared" ca="1" si="49"/>
        <v/>
      </c>
    </row>
    <row r="677" spans="1:6">
      <c r="A677" s="41" t="s">
        <v>1097</v>
      </c>
      <c r="B677" s="25" t="s">
        <v>343</v>
      </c>
      <c r="C677" s="45" t="s">
        <v>495</v>
      </c>
      <c r="D677">
        <f t="shared" ca="1" si="48"/>
        <v>0</v>
      </c>
      <c r="E677" t="str">
        <f ca="1">IF(D677=0,"",COUNTIF($D$2:D1109,"&gt;0"))</f>
        <v/>
      </c>
      <c r="F677" s="24" t="str">
        <f t="shared" ca="1" si="49"/>
        <v/>
      </c>
    </row>
    <row r="678" spans="1:6">
      <c r="A678" s="41" t="s">
        <v>1098</v>
      </c>
      <c r="B678" s="25" t="s">
        <v>343</v>
      </c>
      <c r="C678" s="45" t="s">
        <v>463</v>
      </c>
      <c r="D678">
        <f ca="1">IFERROR(SEARCH(INDIRECT(CELL("address")),A678),0)</f>
        <v>0</v>
      </c>
      <c r="E678" t="str">
        <f ca="1">IF(D678=0,"",COUNTIF($D$2:D678,"&gt;0"))</f>
        <v/>
      </c>
      <c r="F678" s="24" t="str">
        <f ca="1">IFERROR(INDEX(A:A,MATCH(ROW(D622),E:E,0)),"")</f>
        <v/>
      </c>
    </row>
    <row r="679" spans="1:6">
      <c r="A679" s="41" t="s">
        <v>1099</v>
      </c>
      <c r="B679" s="25" t="s">
        <v>343</v>
      </c>
      <c r="C679" s="45" t="s">
        <v>498</v>
      </c>
      <c r="D679">
        <f ca="1">IFERROR(SEARCH(INDIRECT(CELL("address")),A679),0)</f>
        <v>0</v>
      </c>
      <c r="E679" t="str">
        <f ca="1">IF(D679=0,"",COUNTIF($D$2:D679,"&gt;0"))</f>
        <v/>
      </c>
      <c r="F679" s="24" t="str">
        <f t="shared" ref="F679:F696" ca="1" si="50">IFERROR(INDEX(A:A,MATCH(ROW(D678),E:E,0)),"")</f>
        <v/>
      </c>
    </row>
    <row r="680" spans="1:6">
      <c r="A680" s="46" t="s">
        <v>1093</v>
      </c>
      <c r="B680" s="25" t="s">
        <v>343</v>
      </c>
      <c r="C680" s="45" t="s">
        <v>437</v>
      </c>
      <c r="D680">
        <f ca="1">IFERROR(SEARCH(INDIRECT(CELL("address")),A680),0)</f>
        <v>0</v>
      </c>
      <c r="E680" t="str">
        <f ca="1">IF(D680=0,"",COUNTIF($D$2:D680,"&gt;0"))</f>
        <v/>
      </c>
      <c r="F680" s="24" t="str">
        <f t="shared" ca="1" si="50"/>
        <v/>
      </c>
    </row>
    <row r="681" spans="1:6">
      <c r="A681" s="44" t="s">
        <v>1107</v>
      </c>
      <c r="B681" s="25"/>
      <c r="C681" s="45"/>
      <c r="D681">
        <f ca="1">IFERROR(SEARCH(INDIRECT(CELL("address")),A681),0)</f>
        <v>0</v>
      </c>
      <c r="E681" t="str">
        <f ca="1">IF(D681=0,"",COUNTIF($D$2:D681,"&gt;0"))</f>
        <v/>
      </c>
      <c r="F681" s="24" t="str">
        <f t="shared" ca="1" si="50"/>
        <v/>
      </c>
    </row>
    <row r="682" spans="1:6">
      <c r="A682" s="46" t="s">
        <v>1100</v>
      </c>
      <c r="B682" s="25" t="s">
        <v>343</v>
      </c>
      <c r="C682" s="45" t="s">
        <v>497</v>
      </c>
      <c r="D682">
        <f ca="1">IFERROR(SEARCH(INDIRECT(CELL("address")),A682),0)</f>
        <v>0</v>
      </c>
      <c r="E682" t="str">
        <f ca="1">IF(D682=0,"",COUNTIF($D$2:D682,"&gt;0"))</f>
        <v/>
      </c>
      <c r="F682" s="24" t="str">
        <f t="shared" ca="1" si="50"/>
        <v/>
      </c>
    </row>
    <row r="683" spans="1:6">
      <c r="A683" s="41" t="s">
        <v>1102</v>
      </c>
      <c r="B683" s="25" t="s">
        <v>343</v>
      </c>
      <c r="C683" s="45" t="s">
        <v>494</v>
      </c>
      <c r="D683">
        <f t="shared" ref="D683:D754" ca="1" si="51">IFERROR(SEARCH(INDIRECT(CELL("address")),A683),0)</f>
        <v>0</v>
      </c>
      <c r="E683" t="str">
        <f ca="1">IF(D683=0,"",COUNTIF($D$2:D683,"&gt;0"))</f>
        <v/>
      </c>
      <c r="F683" s="24" t="str">
        <f t="shared" ca="1" si="50"/>
        <v/>
      </c>
    </row>
    <row r="684" spans="1:6">
      <c r="A684" s="41" t="s">
        <v>1103</v>
      </c>
      <c r="B684" s="25" t="s">
        <v>343</v>
      </c>
      <c r="C684" s="45" t="s">
        <v>472</v>
      </c>
      <c r="D684">
        <f t="shared" ca="1" si="51"/>
        <v>0</v>
      </c>
      <c r="E684" t="str">
        <f ca="1">IF(D684=0,"",COUNTIF($D$2:D684,"&gt;0"))</f>
        <v/>
      </c>
      <c r="F684" s="24" t="str">
        <f t="shared" ca="1" si="50"/>
        <v/>
      </c>
    </row>
    <row r="685" spans="1:6">
      <c r="A685" s="41" t="s">
        <v>1104</v>
      </c>
      <c r="B685" s="25" t="s">
        <v>343</v>
      </c>
      <c r="C685" s="45" t="s">
        <v>462</v>
      </c>
      <c r="D685">
        <f t="shared" ca="1" si="51"/>
        <v>0</v>
      </c>
      <c r="E685" t="str">
        <f ca="1">IF(D685=0,"",COUNTIF($D$2:D685,"&gt;0"))</f>
        <v/>
      </c>
      <c r="F685" s="24" t="str">
        <f t="shared" ca="1" si="50"/>
        <v/>
      </c>
    </row>
    <row r="686" spans="1:6">
      <c r="A686" s="41" t="s">
        <v>1105</v>
      </c>
      <c r="B686" s="25" t="s">
        <v>348</v>
      </c>
      <c r="C686" s="45" t="s">
        <v>495</v>
      </c>
      <c r="D686">
        <f t="shared" ca="1" si="51"/>
        <v>0</v>
      </c>
      <c r="E686" t="str">
        <f ca="1">IF(D686=0,"",COUNTIF($D$2:D686,"&gt;0"))</f>
        <v/>
      </c>
      <c r="F686" s="24" t="str">
        <f t="shared" ca="1" si="50"/>
        <v/>
      </c>
    </row>
    <row r="687" spans="1:6">
      <c r="A687" s="41" t="s">
        <v>1106</v>
      </c>
      <c r="B687" s="25" t="s">
        <v>343</v>
      </c>
      <c r="C687" s="45" t="s">
        <v>463</v>
      </c>
      <c r="D687">
        <f t="shared" ca="1" si="51"/>
        <v>0</v>
      </c>
      <c r="E687" t="str">
        <f ca="1">IF(D687=0,"",COUNTIF($D$2:D687,"&gt;0"))</f>
        <v/>
      </c>
      <c r="F687" s="24" t="str">
        <f t="shared" ca="1" si="50"/>
        <v/>
      </c>
    </row>
    <row r="688" spans="1:6">
      <c r="A688" s="46" t="s">
        <v>1101</v>
      </c>
      <c r="B688" s="25" t="s">
        <v>343</v>
      </c>
      <c r="C688" s="45" t="s">
        <v>464</v>
      </c>
      <c r="D688">
        <f t="shared" ca="1" si="51"/>
        <v>0</v>
      </c>
      <c r="E688" t="str">
        <f ca="1">IF(D688=0,"",COUNTIF($D$2:D688,"&gt;0"))</f>
        <v/>
      </c>
      <c r="F688" s="24" t="str">
        <f t="shared" ca="1" si="50"/>
        <v/>
      </c>
    </row>
    <row r="689" spans="1:6">
      <c r="A689" s="44" t="s">
        <v>1108</v>
      </c>
      <c r="B689" s="25"/>
      <c r="C689" s="45"/>
      <c r="D689">
        <f t="shared" ca="1" si="51"/>
        <v>0</v>
      </c>
      <c r="E689" t="str">
        <f ca="1">IF(D689=0,"",COUNTIF($D$2:D689,"&gt;0"))</f>
        <v/>
      </c>
      <c r="F689" s="24" t="str">
        <f t="shared" ca="1" si="50"/>
        <v/>
      </c>
    </row>
    <row r="690" spans="1:6">
      <c r="A690" s="46" t="s">
        <v>1109</v>
      </c>
      <c r="B690" s="25" t="s">
        <v>343</v>
      </c>
      <c r="C690" s="45" t="s">
        <v>497</v>
      </c>
      <c r="D690">
        <f t="shared" ca="1" si="51"/>
        <v>0</v>
      </c>
      <c r="E690" t="str">
        <f ca="1">IF(D690=0,"",COUNTIF($D$2:D690,"&gt;0"))</f>
        <v/>
      </c>
      <c r="F690" s="24" t="str">
        <f t="shared" ca="1" si="50"/>
        <v/>
      </c>
    </row>
    <row r="691" spans="1:6">
      <c r="A691" s="41" t="s">
        <v>1110</v>
      </c>
      <c r="B691" s="25" t="s">
        <v>343</v>
      </c>
      <c r="C691" s="45" t="s">
        <v>494</v>
      </c>
      <c r="D691">
        <f t="shared" ref="D691:D696" ca="1" si="52">IFERROR(SEARCH(INDIRECT(CELL("address")),A691),0)</f>
        <v>0</v>
      </c>
      <c r="E691" t="str">
        <f ca="1">IF(D691=0,"",COUNTIF($D$2:D691,"&gt;0"))</f>
        <v/>
      </c>
      <c r="F691" s="24" t="str">
        <f t="shared" ca="1" si="50"/>
        <v/>
      </c>
    </row>
    <row r="692" spans="1:6">
      <c r="A692" s="41" t="s">
        <v>1111</v>
      </c>
      <c r="B692" s="25" t="s">
        <v>343</v>
      </c>
      <c r="C692" s="45" t="s">
        <v>472</v>
      </c>
      <c r="D692">
        <f t="shared" ca="1" si="52"/>
        <v>0</v>
      </c>
      <c r="E692" t="str">
        <f ca="1">IF(D692=0,"",COUNTIF($D$2:D692,"&gt;0"))</f>
        <v/>
      </c>
      <c r="F692" s="24" t="str">
        <f t="shared" ca="1" si="50"/>
        <v/>
      </c>
    </row>
    <row r="693" spans="1:6">
      <c r="A693" s="41" t="s">
        <v>1112</v>
      </c>
      <c r="B693" s="25" t="s">
        <v>343</v>
      </c>
      <c r="C693" s="45" t="s">
        <v>462</v>
      </c>
      <c r="D693">
        <f t="shared" ca="1" si="52"/>
        <v>0</v>
      </c>
      <c r="E693" t="str">
        <f ca="1">IF(D693=0,"",COUNTIF($D$2:D693,"&gt;0"))</f>
        <v/>
      </c>
      <c r="F693" s="24" t="str">
        <f t="shared" ca="1" si="50"/>
        <v/>
      </c>
    </row>
    <row r="694" spans="1:6">
      <c r="A694" s="41" t="s">
        <v>1113</v>
      </c>
      <c r="B694" s="25" t="s">
        <v>348</v>
      </c>
      <c r="C694" s="45" t="s">
        <v>495</v>
      </c>
      <c r="D694">
        <f t="shared" ca="1" si="52"/>
        <v>0</v>
      </c>
      <c r="E694" t="str">
        <f ca="1">IF(D694=0,"",COUNTIF($D$2:D694,"&gt;0"))</f>
        <v/>
      </c>
      <c r="F694" s="24" t="str">
        <f t="shared" ca="1" si="50"/>
        <v/>
      </c>
    </row>
    <row r="695" spans="1:6">
      <c r="A695" s="41" t="s">
        <v>1114</v>
      </c>
      <c r="B695" s="25" t="s">
        <v>343</v>
      </c>
      <c r="C695" s="45" t="s">
        <v>463</v>
      </c>
      <c r="D695">
        <f t="shared" ca="1" si="52"/>
        <v>0</v>
      </c>
      <c r="E695" t="str">
        <f ca="1">IF(D695=0,"",COUNTIF($D$2:D695,"&gt;0"))</f>
        <v/>
      </c>
      <c r="F695" s="24" t="str">
        <f t="shared" ca="1" si="50"/>
        <v/>
      </c>
    </row>
    <row r="696" spans="1:6">
      <c r="A696" s="46" t="s">
        <v>1115</v>
      </c>
      <c r="B696" s="25" t="s">
        <v>343</v>
      </c>
      <c r="C696" s="45" t="s">
        <v>464</v>
      </c>
      <c r="D696">
        <f t="shared" ca="1" si="52"/>
        <v>0</v>
      </c>
      <c r="E696" t="str">
        <f ca="1">IF(D696=0,"",COUNTIF($D$2:D696,"&gt;0"))</f>
        <v/>
      </c>
      <c r="F696" s="24" t="str">
        <f t="shared" ca="1" si="50"/>
        <v/>
      </c>
    </row>
    <row r="697" spans="1:6">
      <c r="A697" s="44" t="s">
        <v>1116</v>
      </c>
      <c r="B697" s="25"/>
      <c r="C697" s="45"/>
      <c r="D697">
        <f t="shared" ca="1" si="51"/>
        <v>0</v>
      </c>
      <c r="E697" t="str">
        <f ca="1">IF(D697=0,"",COUNTIF($D$2:D697,"&gt;0"))</f>
        <v/>
      </c>
      <c r="F697" s="24" t="str">
        <f ca="1">IFERROR(INDEX(A:A,MATCH(ROW(D688),E:E,0)),"")</f>
        <v/>
      </c>
    </row>
    <row r="698" spans="1:6">
      <c r="A698" s="46" t="s">
        <v>1117</v>
      </c>
      <c r="B698" s="25" t="s">
        <v>343</v>
      </c>
      <c r="C698" s="45" t="s">
        <v>365</v>
      </c>
      <c r="D698">
        <f t="shared" ca="1" si="51"/>
        <v>0</v>
      </c>
      <c r="E698" t="str">
        <f ca="1">IF(D698=0,"",COUNTIF($D$2:D698,"&gt;0"))</f>
        <v/>
      </c>
      <c r="F698" s="24" t="str">
        <f t="shared" ref="F698:F731" ca="1" si="53">IFERROR(INDEX(A:A,MATCH(ROW(D697),E:E,0)),"")</f>
        <v/>
      </c>
    </row>
    <row r="699" spans="1:6">
      <c r="A699" s="41" t="s">
        <v>1119</v>
      </c>
      <c r="B699" s="25" t="s">
        <v>343</v>
      </c>
      <c r="C699" s="45" t="s">
        <v>431</v>
      </c>
      <c r="D699">
        <f t="shared" ca="1" si="51"/>
        <v>0</v>
      </c>
      <c r="E699" t="str">
        <f ca="1">IF(D699=0,"",COUNTIF($D$2:D699,"&gt;0"))</f>
        <v/>
      </c>
      <c r="F699" s="24" t="str">
        <f t="shared" ca="1" si="53"/>
        <v/>
      </c>
    </row>
    <row r="700" spans="1:6">
      <c r="A700" s="41" t="s">
        <v>1120</v>
      </c>
      <c r="B700" s="25" t="s">
        <v>343</v>
      </c>
      <c r="C700" s="45" t="s">
        <v>472</v>
      </c>
      <c r="D700">
        <f t="shared" ca="1" si="51"/>
        <v>0</v>
      </c>
      <c r="E700" t="str">
        <f ca="1">IF(D700=0,"",COUNTIF($D$2:D700,"&gt;0"))</f>
        <v/>
      </c>
      <c r="F700" s="24" t="str">
        <f t="shared" ca="1" si="53"/>
        <v/>
      </c>
    </row>
    <row r="701" spans="1:6">
      <c r="A701" s="41" t="s">
        <v>1121</v>
      </c>
      <c r="B701" s="25" t="s">
        <v>343</v>
      </c>
      <c r="C701" s="45" t="s">
        <v>495</v>
      </c>
      <c r="D701">
        <f t="shared" ca="1" si="51"/>
        <v>0</v>
      </c>
      <c r="E701" t="str">
        <f ca="1">IF(D701=0,"",COUNTIF($D$2:D701,"&gt;0"))</f>
        <v/>
      </c>
      <c r="F701" s="24" t="str">
        <f t="shared" ca="1" si="53"/>
        <v/>
      </c>
    </row>
    <row r="702" spans="1:6">
      <c r="A702" s="41" t="s">
        <v>1122</v>
      </c>
      <c r="B702" s="25" t="s">
        <v>343</v>
      </c>
      <c r="C702" s="45" t="s">
        <v>463</v>
      </c>
      <c r="D702">
        <f t="shared" ca="1" si="51"/>
        <v>0</v>
      </c>
      <c r="E702" t="str">
        <f ca="1">IF(D702=0,"",COUNTIF($D$2:D702,"&gt;0"))</f>
        <v/>
      </c>
      <c r="F702" s="24" t="str">
        <f t="shared" ca="1" si="53"/>
        <v/>
      </c>
    </row>
    <row r="703" spans="1:6">
      <c r="A703" s="41" t="s">
        <v>1123</v>
      </c>
      <c r="B703" s="25" t="s">
        <v>343</v>
      </c>
      <c r="C703" s="45" t="s">
        <v>464</v>
      </c>
      <c r="D703">
        <f t="shared" ca="1" si="51"/>
        <v>0</v>
      </c>
      <c r="E703" t="str">
        <f ca="1">IF(D703=0,"",COUNTIF($D$2:D703,"&gt;0"))</f>
        <v/>
      </c>
      <c r="F703" s="24" t="str">
        <f t="shared" ca="1" si="53"/>
        <v/>
      </c>
    </row>
    <row r="704" spans="1:6">
      <c r="A704" s="46" t="s">
        <v>1118</v>
      </c>
      <c r="B704" s="25" t="s">
        <v>343</v>
      </c>
      <c r="C704" s="45" t="s">
        <v>437</v>
      </c>
      <c r="D704">
        <f t="shared" ca="1" si="51"/>
        <v>0</v>
      </c>
      <c r="E704" t="str">
        <f ca="1">IF(D704=0,"",COUNTIF($D$2:D704,"&gt;0"))</f>
        <v/>
      </c>
      <c r="F704" s="24" t="str">
        <f t="shared" ca="1" si="53"/>
        <v/>
      </c>
    </row>
    <row r="705" spans="1:6">
      <c r="A705" s="41" t="s">
        <v>499</v>
      </c>
      <c r="B705" s="25"/>
      <c r="C705" s="45"/>
      <c r="D705">
        <f t="shared" ca="1" si="51"/>
        <v>0</v>
      </c>
      <c r="E705" t="str">
        <f ca="1">IF(D705=0,"",COUNTIF($D$2:D705,"&gt;0"))</f>
        <v/>
      </c>
      <c r="F705" s="24" t="str">
        <f t="shared" ca="1" si="53"/>
        <v/>
      </c>
    </row>
    <row r="706" spans="1:6">
      <c r="A706" s="46" t="s">
        <v>1124</v>
      </c>
      <c r="B706" s="25" t="s">
        <v>343</v>
      </c>
      <c r="C706" s="45" t="s">
        <v>365</v>
      </c>
      <c r="D706">
        <f t="shared" ca="1" si="51"/>
        <v>0</v>
      </c>
      <c r="E706" t="str">
        <f ca="1">IF(D706=0,"",COUNTIF($D$2:D706,"&gt;0"))</f>
        <v/>
      </c>
      <c r="F706" s="24" t="str">
        <f t="shared" ca="1" si="53"/>
        <v/>
      </c>
    </row>
    <row r="707" spans="1:6">
      <c r="A707" s="41" t="s">
        <v>1125</v>
      </c>
      <c r="B707" s="25" t="s">
        <v>343</v>
      </c>
      <c r="C707" s="45" t="s">
        <v>500</v>
      </c>
      <c r="D707">
        <f t="shared" ca="1" si="51"/>
        <v>0</v>
      </c>
      <c r="E707" t="str">
        <f ca="1">IF(D707=0,"",COUNTIF($D$2:D707,"&gt;0"))</f>
        <v/>
      </c>
      <c r="F707" s="24" t="str">
        <f t="shared" ca="1" si="53"/>
        <v/>
      </c>
    </row>
    <row r="708" spans="1:6">
      <c r="A708" s="41" t="s">
        <v>1127</v>
      </c>
      <c r="B708" s="25" t="s">
        <v>343</v>
      </c>
      <c r="C708" s="45" t="s">
        <v>465</v>
      </c>
      <c r="D708">
        <f t="shared" ca="1" si="51"/>
        <v>0</v>
      </c>
      <c r="E708" t="str">
        <f ca="1">IF(D708=0,"",COUNTIF($D$2:D708,"&gt;0"))</f>
        <v/>
      </c>
      <c r="F708" s="24" t="str">
        <f t="shared" ca="1" si="53"/>
        <v/>
      </c>
    </row>
    <row r="709" spans="1:6">
      <c r="A709" s="41" t="s">
        <v>1128</v>
      </c>
      <c r="B709" s="25" t="s">
        <v>343</v>
      </c>
      <c r="C709" s="45" t="s">
        <v>405</v>
      </c>
      <c r="D709">
        <f t="shared" ca="1" si="51"/>
        <v>0</v>
      </c>
      <c r="E709" t="str">
        <f ca="1">IF(D709=0,"",COUNTIF($D$2:D709,"&gt;0"))</f>
        <v/>
      </c>
      <c r="F709" s="24" t="str">
        <f t="shared" ca="1" si="53"/>
        <v/>
      </c>
    </row>
    <row r="710" spans="1:6">
      <c r="A710" s="41" t="s">
        <v>1129</v>
      </c>
      <c r="B710" s="25" t="s">
        <v>343</v>
      </c>
      <c r="C710" s="45" t="s">
        <v>462</v>
      </c>
      <c r="D710">
        <f t="shared" ca="1" si="51"/>
        <v>0</v>
      </c>
      <c r="E710" t="str">
        <f ca="1">IF(D710=0,"",COUNTIF($D$2:D710,"&gt;0"))</f>
        <v/>
      </c>
      <c r="F710" s="24" t="str">
        <f t="shared" ca="1" si="53"/>
        <v/>
      </c>
    </row>
    <row r="711" spans="1:6">
      <c r="A711" s="41" t="s">
        <v>1130</v>
      </c>
      <c r="B711" s="25" t="s">
        <v>343</v>
      </c>
      <c r="C711" s="45" t="s">
        <v>491</v>
      </c>
      <c r="D711">
        <f t="shared" ca="1" si="51"/>
        <v>0</v>
      </c>
      <c r="E711" t="str">
        <f ca="1">IF(D711=0,"",COUNTIF($D$2:D711,"&gt;0"))</f>
        <v/>
      </c>
      <c r="F711" s="24" t="str">
        <f t="shared" ca="1" si="53"/>
        <v/>
      </c>
    </row>
    <row r="712" spans="1:6">
      <c r="A712" s="46" t="s">
        <v>1126</v>
      </c>
      <c r="B712" s="25" t="s">
        <v>343</v>
      </c>
      <c r="C712" s="45" t="s">
        <v>498</v>
      </c>
      <c r="D712">
        <f t="shared" ca="1" si="51"/>
        <v>0</v>
      </c>
      <c r="E712" t="str">
        <f ca="1">IF(D712=0,"",COUNTIF($D$2:D712,"&gt;0"))</f>
        <v/>
      </c>
      <c r="F712" s="24" t="str">
        <f t="shared" ca="1" si="53"/>
        <v/>
      </c>
    </row>
    <row r="713" spans="1:6">
      <c r="A713" s="44" t="s">
        <v>1131</v>
      </c>
      <c r="B713" s="25"/>
      <c r="C713" s="45"/>
      <c r="D713">
        <f t="shared" ca="1" si="51"/>
        <v>0</v>
      </c>
      <c r="E713" t="str">
        <f ca="1">IF(D713=0,"",COUNTIF($D$2:D713,"&gt;0"))</f>
        <v/>
      </c>
      <c r="F713" s="24" t="str">
        <f t="shared" ca="1" si="53"/>
        <v/>
      </c>
    </row>
    <row r="714" spans="1:6">
      <c r="A714" s="46" t="s">
        <v>1132</v>
      </c>
      <c r="B714" s="25" t="s">
        <v>348</v>
      </c>
      <c r="C714" s="45" t="s">
        <v>501</v>
      </c>
      <c r="D714">
        <f t="shared" ca="1" si="51"/>
        <v>0</v>
      </c>
      <c r="E714" t="str">
        <f ca="1">IF(D714=0,"",COUNTIF($D$2:D714,"&gt;0"))</f>
        <v/>
      </c>
      <c r="F714" s="24" t="str">
        <f t="shared" ca="1" si="53"/>
        <v/>
      </c>
    </row>
    <row r="715" spans="1:6">
      <c r="A715" s="41" t="s">
        <v>1134</v>
      </c>
      <c r="B715" s="25" t="s">
        <v>343</v>
      </c>
      <c r="C715" s="45" t="s">
        <v>502</v>
      </c>
      <c r="D715">
        <f t="shared" ca="1" si="51"/>
        <v>0</v>
      </c>
      <c r="E715" t="str">
        <f ca="1">IF(D715=0,"",COUNTIF($D$2:D715,"&gt;0"))</f>
        <v/>
      </c>
      <c r="F715" s="24" t="str">
        <f t="shared" ca="1" si="53"/>
        <v/>
      </c>
    </row>
    <row r="716" spans="1:6">
      <c r="A716" s="46" t="s">
        <v>1135</v>
      </c>
      <c r="B716" s="25" t="s">
        <v>343</v>
      </c>
      <c r="C716" s="45" t="s">
        <v>503</v>
      </c>
      <c r="D716">
        <f t="shared" ca="1" si="51"/>
        <v>0</v>
      </c>
      <c r="E716" t="str">
        <f ca="1">IF(D716=0,"",COUNTIF($D$2:D716,"&gt;0"))</f>
        <v/>
      </c>
      <c r="F716" s="24" t="str">
        <f t="shared" ca="1" si="53"/>
        <v/>
      </c>
    </row>
    <row r="717" spans="1:6">
      <c r="A717" s="41" t="s">
        <v>1136</v>
      </c>
      <c r="B717" s="25" t="s">
        <v>343</v>
      </c>
      <c r="C717" s="45" t="s">
        <v>504</v>
      </c>
      <c r="D717">
        <f t="shared" ca="1" si="51"/>
        <v>0</v>
      </c>
      <c r="E717" t="str">
        <f ca="1">IF(D717=0,"",COUNTIF($D$2:D717,"&gt;0"))</f>
        <v/>
      </c>
      <c r="F717" s="24" t="str">
        <f t="shared" ca="1" si="53"/>
        <v/>
      </c>
    </row>
    <row r="718" spans="1:6">
      <c r="A718" s="41" t="s">
        <v>1137</v>
      </c>
      <c r="B718" s="25" t="s">
        <v>343</v>
      </c>
      <c r="C718" s="45" t="s">
        <v>505</v>
      </c>
      <c r="D718">
        <f t="shared" ca="1" si="51"/>
        <v>0</v>
      </c>
      <c r="E718" t="str">
        <f ca="1">IF(D718=0,"",COUNTIF($D$2:D718,"&gt;0"))</f>
        <v/>
      </c>
      <c r="F718" s="24" t="str">
        <f t="shared" ca="1" si="53"/>
        <v/>
      </c>
    </row>
    <row r="719" spans="1:6">
      <c r="A719" s="41" t="s">
        <v>1138</v>
      </c>
      <c r="B719" s="25" t="s">
        <v>343</v>
      </c>
      <c r="C719" s="45" t="s">
        <v>435</v>
      </c>
      <c r="D719">
        <f t="shared" ca="1" si="51"/>
        <v>0</v>
      </c>
      <c r="E719" t="str">
        <f ca="1">IF(D719=0,"",COUNTIF($D$2:D719,"&gt;0"))</f>
        <v/>
      </c>
      <c r="F719" s="24" t="str">
        <f t="shared" ca="1" si="53"/>
        <v/>
      </c>
    </row>
    <row r="720" spans="1:6">
      <c r="A720" s="46" t="s">
        <v>1133</v>
      </c>
      <c r="B720" s="25" t="s">
        <v>343</v>
      </c>
      <c r="C720" s="45" t="s">
        <v>436</v>
      </c>
      <c r="D720">
        <f t="shared" ca="1" si="51"/>
        <v>0</v>
      </c>
      <c r="E720" t="str">
        <f ca="1">IF(D720=0,"",COUNTIF($D$2:D720,"&gt;0"))</f>
        <v/>
      </c>
      <c r="F720" s="24" t="str">
        <f t="shared" ca="1" si="53"/>
        <v/>
      </c>
    </row>
    <row r="721" spans="1:6">
      <c r="A721" s="44" t="s">
        <v>1139</v>
      </c>
      <c r="B721" s="25"/>
      <c r="C721" s="45"/>
      <c r="D721">
        <f t="shared" ca="1" si="51"/>
        <v>0</v>
      </c>
      <c r="E721" t="str">
        <f ca="1">IF(D721=0,"",COUNTIF($D$2:D721,"&gt;0"))</f>
        <v/>
      </c>
      <c r="F721" s="24" t="str">
        <f t="shared" ca="1" si="53"/>
        <v/>
      </c>
    </row>
    <row r="722" spans="1:6">
      <c r="A722" s="46" t="s">
        <v>1140</v>
      </c>
      <c r="B722" s="25" t="s">
        <v>343</v>
      </c>
      <c r="C722" s="45" t="s">
        <v>417</v>
      </c>
      <c r="D722">
        <f t="shared" ca="1" si="51"/>
        <v>0</v>
      </c>
      <c r="E722" t="str">
        <f ca="1">IF(D722=0,"",COUNTIF($D$2:D722,"&gt;0"))</f>
        <v/>
      </c>
      <c r="F722" s="24" t="str">
        <f t="shared" ca="1" si="53"/>
        <v/>
      </c>
    </row>
    <row r="723" spans="1:6">
      <c r="A723" s="41" t="s">
        <v>1142</v>
      </c>
      <c r="B723" s="25" t="s">
        <v>343</v>
      </c>
      <c r="C723" s="45" t="s">
        <v>423</v>
      </c>
      <c r="D723">
        <f t="shared" ca="1" si="51"/>
        <v>0</v>
      </c>
      <c r="E723" t="str">
        <f ca="1">IF(D723=0,"",COUNTIF($D$2:D723,"&gt;0"))</f>
        <v/>
      </c>
      <c r="F723" s="24" t="str">
        <f t="shared" ca="1" si="53"/>
        <v/>
      </c>
    </row>
    <row r="724" spans="1:6">
      <c r="A724" s="41" t="s">
        <v>1143</v>
      </c>
      <c r="B724" s="25" t="s">
        <v>343</v>
      </c>
      <c r="C724" s="45" t="s">
        <v>465</v>
      </c>
      <c r="D724">
        <f t="shared" ca="1" si="51"/>
        <v>0</v>
      </c>
      <c r="E724" t="str">
        <f ca="1">IF(D724=0,"",COUNTIF($D$2:D724,"&gt;0"))</f>
        <v/>
      </c>
      <c r="F724" s="24" t="str">
        <f t="shared" ca="1" si="53"/>
        <v/>
      </c>
    </row>
    <row r="725" spans="1:6">
      <c r="A725" s="41" t="s">
        <v>1144</v>
      </c>
      <c r="B725" s="25" t="s">
        <v>343</v>
      </c>
      <c r="C725" s="45" t="s">
        <v>506</v>
      </c>
      <c r="D725">
        <f t="shared" ca="1" si="51"/>
        <v>0</v>
      </c>
      <c r="E725" t="str">
        <f ca="1">IF(D725=0,"",COUNTIF($D$2:D725,"&gt;0"))</f>
        <v/>
      </c>
      <c r="F725" s="24" t="str">
        <f t="shared" ca="1" si="53"/>
        <v/>
      </c>
    </row>
    <row r="726" spans="1:6">
      <c r="A726" s="41" t="s">
        <v>1145</v>
      </c>
      <c r="B726" s="25" t="s">
        <v>348</v>
      </c>
      <c r="C726" s="45" t="s">
        <v>462</v>
      </c>
      <c r="D726">
        <f t="shared" ca="1" si="51"/>
        <v>0</v>
      </c>
      <c r="E726" t="str">
        <f ca="1">IF(D726=0,"",COUNTIF($D$2:D726,"&gt;0"))</f>
        <v/>
      </c>
      <c r="F726" s="24" t="str">
        <f t="shared" ca="1" si="53"/>
        <v/>
      </c>
    </row>
    <row r="727" spans="1:6">
      <c r="A727" s="46" t="s">
        <v>1141</v>
      </c>
      <c r="B727" s="25" t="s">
        <v>343</v>
      </c>
      <c r="C727" s="45" t="s">
        <v>457</v>
      </c>
      <c r="D727">
        <f t="shared" ca="1" si="51"/>
        <v>0</v>
      </c>
      <c r="E727" t="str">
        <f ca="1">IF(D727=0,"",COUNTIF($D$2:D727,"&gt;0"))</f>
        <v/>
      </c>
      <c r="F727" s="24" t="str">
        <f t="shared" ca="1" si="53"/>
        <v/>
      </c>
    </row>
    <row r="728" spans="1:6">
      <c r="A728" s="44" t="s">
        <v>1146</v>
      </c>
      <c r="B728" s="25"/>
      <c r="C728" s="45"/>
      <c r="D728">
        <f t="shared" ca="1" si="51"/>
        <v>0</v>
      </c>
      <c r="E728" t="str">
        <f ca="1">IF(D728=0,"",COUNTIF($D$2:D728,"&gt;0"))</f>
        <v/>
      </c>
      <c r="F728" s="24" t="str">
        <f t="shared" ca="1" si="53"/>
        <v/>
      </c>
    </row>
    <row r="729" spans="1:6">
      <c r="A729" s="46" t="s">
        <v>1147</v>
      </c>
      <c r="B729" s="25" t="s">
        <v>343</v>
      </c>
      <c r="C729" s="45" t="s">
        <v>507</v>
      </c>
      <c r="D729">
        <f t="shared" ca="1" si="51"/>
        <v>0</v>
      </c>
      <c r="E729" t="str">
        <f ca="1">IF(D729=0,"",COUNTIF($D$2:D729,"&gt;0"))</f>
        <v/>
      </c>
      <c r="F729" s="24" t="str">
        <f t="shared" ca="1" si="53"/>
        <v/>
      </c>
    </row>
    <row r="730" spans="1:6">
      <c r="A730" s="41" t="s">
        <v>1149</v>
      </c>
      <c r="B730" s="25" t="s">
        <v>343</v>
      </c>
      <c r="C730" s="45" t="s">
        <v>502</v>
      </c>
      <c r="D730">
        <f t="shared" ca="1" si="51"/>
        <v>0</v>
      </c>
      <c r="E730" t="str">
        <f ca="1">IF(D730=0,"",COUNTIF($D$2:D730,"&gt;0"))</f>
        <v/>
      </c>
      <c r="F730" s="24" t="str">
        <f t="shared" ca="1" si="53"/>
        <v/>
      </c>
    </row>
    <row r="731" spans="1:6">
      <c r="A731" s="41" t="s">
        <v>1150</v>
      </c>
      <c r="B731" s="25" t="s">
        <v>343</v>
      </c>
      <c r="C731" s="45" t="s">
        <v>476</v>
      </c>
      <c r="D731">
        <f t="shared" ca="1" si="51"/>
        <v>0</v>
      </c>
      <c r="E731" t="str">
        <f ca="1">IF(D731=0,"",COUNTIF($D$2:D731,"&gt;0"))</f>
        <v/>
      </c>
      <c r="F731" s="24" t="str">
        <f t="shared" ca="1" si="53"/>
        <v/>
      </c>
    </row>
    <row r="732" spans="1:6">
      <c r="A732" s="41" t="s">
        <v>1151</v>
      </c>
      <c r="B732" s="25" t="s">
        <v>343</v>
      </c>
      <c r="C732" s="45">
        <v>270000</v>
      </c>
      <c r="D732">
        <f t="shared" ca="1" si="51"/>
        <v>0</v>
      </c>
    </row>
    <row r="733" spans="1:6">
      <c r="A733" s="41" t="s">
        <v>1152</v>
      </c>
      <c r="B733" s="25" t="s">
        <v>348</v>
      </c>
      <c r="C733" s="45" t="s">
        <v>508</v>
      </c>
      <c r="D733">
        <f t="shared" ca="1" si="51"/>
        <v>0</v>
      </c>
      <c r="E733" t="str">
        <f ca="1">IF(D733=0,"",COUNTIF($D$2:D733,"&gt;0"))</f>
        <v/>
      </c>
      <c r="F733" s="24" t="str">
        <f>IFERROR(INDEX(A:A,MATCH(ROW(#REF!),E:E,0)),"")</f>
        <v/>
      </c>
    </row>
    <row r="734" spans="1:6">
      <c r="A734" s="41" t="s">
        <v>1153</v>
      </c>
      <c r="B734" s="25" t="s">
        <v>343</v>
      </c>
      <c r="C734" s="45" t="s">
        <v>509</v>
      </c>
      <c r="D734">
        <f t="shared" ca="1" si="51"/>
        <v>0</v>
      </c>
      <c r="E734" t="str">
        <f ca="1">IF(D734=0,"",COUNTIF($D$2:D734,"&gt;0"))</f>
        <v/>
      </c>
      <c r="F734" s="24" t="str">
        <f t="shared" ref="F734:F765" ca="1" si="54">IFERROR(INDEX(A:A,MATCH(ROW(D733),E:E,0)),"")</f>
        <v/>
      </c>
    </row>
    <row r="735" spans="1:6">
      <c r="A735" s="41" t="s">
        <v>1154</v>
      </c>
      <c r="B735" s="25" t="s">
        <v>343</v>
      </c>
      <c r="C735" s="45" t="s">
        <v>510</v>
      </c>
      <c r="D735">
        <f t="shared" ca="1" si="51"/>
        <v>0</v>
      </c>
      <c r="E735" t="str">
        <f ca="1">IF(D735=0,"",COUNTIF($D$2:D735,"&gt;0"))</f>
        <v/>
      </c>
      <c r="F735" s="24" t="str">
        <f t="shared" ca="1" si="54"/>
        <v/>
      </c>
    </row>
    <row r="736" spans="1:6">
      <c r="A736" s="46" t="s">
        <v>1148</v>
      </c>
      <c r="B736" s="25" t="s">
        <v>343</v>
      </c>
      <c r="C736" s="45" t="s">
        <v>511</v>
      </c>
      <c r="D736">
        <f t="shared" ca="1" si="51"/>
        <v>0</v>
      </c>
      <c r="E736" t="str">
        <f ca="1">IF(D736=0,"",COUNTIF($D$2:D736,"&gt;0"))</f>
        <v/>
      </c>
      <c r="F736" s="24" t="str">
        <f t="shared" ca="1" si="54"/>
        <v/>
      </c>
    </row>
    <row r="737" spans="1:6">
      <c r="A737" s="44" t="s">
        <v>1155</v>
      </c>
      <c r="B737" s="25"/>
      <c r="C737" s="45"/>
      <c r="D737">
        <f t="shared" ca="1" si="51"/>
        <v>0</v>
      </c>
      <c r="E737" t="str">
        <f ca="1">IF(D737=0,"",COUNTIF($D$2:D737,"&gt;0"))</f>
        <v/>
      </c>
      <c r="F737" s="24" t="str">
        <f t="shared" ca="1" si="54"/>
        <v/>
      </c>
    </row>
    <row r="738" spans="1:6">
      <c r="A738" s="46" t="s">
        <v>1156</v>
      </c>
      <c r="B738" s="25" t="s">
        <v>343</v>
      </c>
      <c r="C738" s="45" t="s">
        <v>438</v>
      </c>
      <c r="D738">
        <f t="shared" ca="1" si="51"/>
        <v>0</v>
      </c>
      <c r="E738" t="str">
        <f ca="1">IF(D738=0,"",COUNTIF($D$2:D738,"&gt;0"))</f>
        <v/>
      </c>
      <c r="F738" s="24" t="str">
        <f t="shared" ca="1" si="54"/>
        <v/>
      </c>
    </row>
    <row r="739" spans="1:6">
      <c r="A739" s="41" t="s">
        <v>1158</v>
      </c>
      <c r="B739" s="25" t="s">
        <v>343</v>
      </c>
      <c r="C739" s="45" t="s">
        <v>500</v>
      </c>
      <c r="D739">
        <f t="shared" ca="1" si="51"/>
        <v>0</v>
      </c>
      <c r="E739" t="str">
        <f ca="1">IF(D739=0,"",COUNTIF($D$2:D739,"&gt;0"))</f>
        <v/>
      </c>
      <c r="F739" s="24" t="str">
        <f t="shared" ca="1" si="54"/>
        <v/>
      </c>
    </row>
    <row r="740" spans="1:6">
      <c r="A740" s="41" t="s">
        <v>1159</v>
      </c>
      <c r="B740" s="25" t="s">
        <v>343</v>
      </c>
      <c r="C740" s="45" t="s">
        <v>405</v>
      </c>
      <c r="D740">
        <f t="shared" ca="1" si="51"/>
        <v>0</v>
      </c>
      <c r="E740" t="str">
        <f ca="1">IF(D740=0,"",COUNTIF($D$2:D740,"&gt;0"))</f>
        <v/>
      </c>
      <c r="F740" s="24" t="str">
        <f t="shared" ca="1" si="54"/>
        <v/>
      </c>
    </row>
    <row r="741" spans="1:6">
      <c r="A741" s="41" t="s">
        <v>1160</v>
      </c>
      <c r="B741" s="25" t="s">
        <v>343</v>
      </c>
      <c r="C741" s="45" t="s">
        <v>467</v>
      </c>
      <c r="D741">
        <f t="shared" ca="1" si="51"/>
        <v>0</v>
      </c>
      <c r="E741" t="str">
        <f ca="1">IF(D741=0,"",COUNTIF($D$2:D741,"&gt;0"))</f>
        <v/>
      </c>
      <c r="F741" s="24" t="str">
        <f t="shared" ca="1" si="54"/>
        <v/>
      </c>
    </row>
    <row r="742" spans="1:6">
      <c r="A742" s="41" t="s">
        <v>1161</v>
      </c>
      <c r="B742" s="25" t="s">
        <v>343</v>
      </c>
      <c r="C742" s="45" t="s">
        <v>433</v>
      </c>
      <c r="D742">
        <f t="shared" ca="1" si="51"/>
        <v>0</v>
      </c>
      <c r="E742" t="str">
        <f ca="1">IF(D742=0,"",COUNTIF($D$2:D742,"&gt;0"))</f>
        <v/>
      </c>
      <c r="F742" s="24" t="str">
        <f t="shared" ca="1" si="54"/>
        <v/>
      </c>
    </row>
    <row r="743" spans="1:6">
      <c r="A743" s="46" t="s">
        <v>1157</v>
      </c>
      <c r="B743" s="25" t="s">
        <v>343</v>
      </c>
      <c r="C743" s="45" t="s">
        <v>463</v>
      </c>
      <c r="D743">
        <f t="shared" ca="1" si="51"/>
        <v>0</v>
      </c>
      <c r="E743" t="str">
        <f ca="1">IF(D743=0,"",COUNTIF($D$2:D743,"&gt;0"))</f>
        <v/>
      </c>
      <c r="F743" s="24" t="str">
        <f t="shared" ca="1" si="54"/>
        <v/>
      </c>
    </row>
    <row r="744" spans="1:6">
      <c r="A744" s="41" t="s">
        <v>1162</v>
      </c>
      <c r="B744" s="25"/>
      <c r="C744" s="45"/>
      <c r="D744">
        <f t="shared" ca="1" si="51"/>
        <v>0</v>
      </c>
      <c r="E744" t="str">
        <f ca="1">IF(D744=0,"",COUNTIF($D$2:D744,"&gt;0"))</f>
        <v/>
      </c>
      <c r="F744" s="24" t="str">
        <f t="shared" ca="1" si="54"/>
        <v/>
      </c>
    </row>
    <row r="745" spans="1:6">
      <c r="A745" s="46" t="s">
        <v>1163</v>
      </c>
      <c r="B745" s="25" t="s">
        <v>343</v>
      </c>
      <c r="C745" s="45" t="s">
        <v>344</v>
      </c>
      <c r="D745">
        <f t="shared" ca="1" si="51"/>
        <v>0</v>
      </c>
      <c r="E745" t="str">
        <f ca="1">IF(D745=0,"",COUNTIF($D$2:D745,"&gt;0"))</f>
        <v/>
      </c>
      <c r="F745" s="24" t="str">
        <f t="shared" ca="1" si="54"/>
        <v/>
      </c>
    </row>
    <row r="746" spans="1:6">
      <c r="A746" s="41" t="s">
        <v>1165</v>
      </c>
      <c r="B746" s="25" t="s">
        <v>343</v>
      </c>
      <c r="C746" s="45" t="s">
        <v>431</v>
      </c>
      <c r="D746">
        <f t="shared" ca="1" si="51"/>
        <v>0</v>
      </c>
      <c r="E746" t="str">
        <f ca="1">IF(D746=0,"",COUNTIF($D$2:D746,"&gt;0"))</f>
        <v/>
      </c>
      <c r="F746" s="24" t="str">
        <f t="shared" ca="1" si="54"/>
        <v/>
      </c>
    </row>
    <row r="747" spans="1:6">
      <c r="A747" s="41" t="s">
        <v>1166</v>
      </c>
      <c r="B747" s="25" t="s">
        <v>343</v>
      </c>
      <c r="C747" s="45" t="s">
        <v>405</v>
      </c>
      <c r="D747">
        <f t="shared" ca="1" si="51"/>
        <v>0</v>
      </c>
      <c r="E747" t="str">
        <f ca="1">IF(D747=0,"",COUNTIF($D$2:D747,"&gt;0"))</f>
        <v/>
      </c>
      <c r="F747" s="24" t="str">
        <f t="shared" ca="1" si="54"/>
        <v/>
      </c>
    </row>
    <row r="748" spans="1:6">
      <c r="A748" s="41" t="s">
        <v>1167</v>
      </c>
      <c r="B748" s="25" t="s">
        <v>343</v>
      </c>
      <c r="C748" s="45" t="s">
        <v>472</v>
      </c>
      <c r="D748">
        <f t="shared" ca="1" si="51"/>
        <v>0</v>
      </c>
      <c r="E748" t="str">
        <f ca="1">IF(D748=0,"",COUNTIF($D$2:D748,"&gt;0"))</f>
        <v/>
      </c>
      <c r="F748" s="24" t="str">
        <f t="shared" ca="1" si="54"/>
        <v/>
      </c>
    </row>
    <row r="749" spans="1:6">
      <c r="A749" s="41" t="s">
        <v>1168</v>
      </c>
      <c r="B749" s="25" t="s">
        <v>343</v>
      </c>
      <c r="C749" s="45" t="s">
        <v>467</v>
      </c>
      <c r="D749">
        <f t="shared" ca="1" si="51"/>
        <v>0</v>
      </c>
      <c r="E749" t="str">
        <f ca="1">IF(D749=0,"",COUNTIF($D$2:D749,"&gt;0"))</f>
        <v/>
      </c>
      <c r="F749" s="24" t="str">
        <f t="shared" ca="1" si="54"/>
        <v/>
      </c>
    </row>
    <row r="750" spans="1:6">
      <c r="A750" s="41" t="s">
        <v>1169</v>
      </c>
      <c r="B750" s="25" t="s">
        <v>343</v>
      </c>
      <c r="C750" s="45" t="s">
        <v>434</v>
      </c>
      <c r="D750">
        <f t="shared" ca="1" si="51"/>
        <v>0</v>
      </c>
      <c r="E750" t="str">
        <f ca="1">IF(D750=0,"",COUNTIF($D$2:D750,"&gt;0"))</f>
        <v/>
      </c>
      <c r="F750" s="24" t="str">
        <f t="shared" ca="1" si="54"/>
        <v/>
      </c>
    </row>
    <row r="751" spans="1:6">
      <c r="A751" s="41" t="s">
        <v>1170</v>
      </c>
      <c r="B751" s="25" t="s">
        <v>343</v>
      </c>
      <c r="C751" s="45" t="s">
        <v>491</v>
      </c>
      <c r="D751">
        <f t="shared" ca="1" si="51"/>
        <v>0</v>
      </c>
      <c r="E751" t="str">
        <f ca="1">IF(D751=0,"",COUNTIF($D$2:D751,"&gt;0"))</f>
        <v/>
      </c>
      <c r="F751" s="24" t="str">
        <f t="shared" ca="1" si="54"/>
        <v/>
      </c>
    </row>
    <row r="752" spans="1:6">
      <c r="A752" s="46" t="s">
        <v>1164</v>
      </c>
      <c r="B752" s="25" t="s">
        <v>343</v>
      </c>
      <c r="C752" s="45" t="s">
        <v>437</v>
      </c>
      <c r="D752">
        <f t="shared" ca="1" si="51"/>
        <v>0</v>
      </c>
      <c r="E752" t="str">
        <f ca="1">IF(D752=0,"",COUNTIF($D$2:D752,"&gt;0"))</f>
        <v/>
      </c>
      <c r="F752" s="24" t="str">
        <f t="shared" ca="1" si="54"/>
        <v/>
      </c>
    </row>
    <row r="753" spans="1:6">
      <c r="A753" s="44" t="s">
        <v>1171</v>
      </c>
      <c r="B753" s="25"/>
      <c r="C753" s="45"/>
      <c r="D753">
        <f t="shared" ca="1" si="51"/>
        <v>0</v>
      </c>
      <c r="E753" t="str">
        <f ca="1">IF(D753=0,"",COUNTIF($D$2:D753,"&gt;0"))</f>
        <v/>
      </c>
      <c r="F753" s="24" t="str">
        <f t="shared" ca="1" si="54"/>
        <v/>
      </c>
    </row>
    <row r="754" spans="1:6">
      <c r="A754" s="47" t="s">
        <v>1172</v>
      </c>
      <c r="B754" s="25" t="s">
        <v>343</v>
      </c>
      <c r="C754" s="45" t="s">
        <v>346</v>
      </c>
      <c r="D754">
        <f t="shared" ca="1" si="51"/>
        <v>0</v>
      </c>
      <c r="E754" t="str">
        <f ca="1">IF(D754=0,"",COUNTIF($D$2:D754,"&gt;0"))</f>
        <v/>
      </c>
      <c r="F754" s="24" t="str">
        <f t="shared" ca="1" si="54"/>
        <v/>
      </c>
    </row>
    <row r="755" spans="1:6">
      <c r="A755" s="41" t="s">
        <v>1174</v>
      </c>
      <c r="B755" s="25" t="s">
        <v>343</v>
      </c>
      <c r="C755" s="45" t="s">
        <v>472</v>
      </c>
      <c r="D755">
        <f t="shared" ref="D755:D890" ca="1" si="55">IFERROR(SEARCH(INDIRECT(CELL("address")),A755),0)</f>
        <v>0</v>
      </c>
      <c r="E755" t="str">
        <f ca="1">IF(D755=0,"",COUNTIF($D$2:D755,"&gt;0"))</f>
        <v/>
      </c>
      <c r="F755" s="24" t="str">
        <f t="shared" ca="1" si="54"/>
        <v/>
      </c>
    </row>
    <row r="756" spans="1:6">
      <c r="A756" s="41" t="s">
        <v>1175</v>
      </c>
      <c r="B756" s="25" t="s">
        <v>343</v>
      </c>
      <c r="C756" s="45" t="s">
        <v>512</v>
      </c>
      <c r="D756">
        <f t="shared" ca="1" si="55"/>
        <v>0</v>
      </c>
      <c r="E756" t="str">
        <f ca="1">IF(D756=0,"",COUNTIF($D$2:D756,"&gt;0"))</f>
        <v/>
      </c>
      <c r="F756" s="24" t="str">
        <f t="shared" ca="1" si="54"/>
        <v/>
      </c>
    </row>
    <row r="757" spans="1:6">
      <c r="A757" s="41" t="s">
        <v>1176</v>
      </c>
      <c r="B757" s="25" t="s">
        <v>343</v>
      </c>
      <c r="C757" s="45" t="s">
        <v>513</v>
      </c>
      <c r="D757">
        <f t="shared" ca="1" si="55"/>
        <v>0</v>
      </c>
      <c r="E757" t="str">
        <f ca="1">IF(D757=0,"",COUNTIF($D$2:D757,"&gt;0"))</f>
        <v/>
      </c>
      <c r="F757" s="24" t="str">
        <f t="shared" ca="1" si="54"/>
        <v/>
      </c>
    </row>
    <row r="758" spans="1:6">
      <c r="A758" s="41" t="s">
        <v>1177</v>
      </c>
      <c r="B758" s="25" t="s">
        <v>343</v>
      </c>
      <c r="C758" s="45" t="s">
        <v>514</v>
      </c>
      <c r="D758">
        <f t="shared" ca="1" si="55"/>
        <v>0</v>
      </c>
      <c r="E758" t="str">
        <f ca="1">IF(D758=0,"",COUNTIF($D$2:D758,"&gt;0"))</f>
        <v/>
      </c>
      <c r="F758" s="24" t="str">
        <f t="shared" ca="1" si="54"/>
        <v/>
      </c>
    </row>
    <row r="759" spans="1:6">
      <c r="A759" s="46" t="s">
        <v>1173</v>
      </c>
      <c r="B759" s="25" t="s">
        <v>343</v>
      </c>
      <c r="C759" s="45" t="s">
        <v>515</v>
      </c>
      <c r="D759">
        <f t="shared" ca="1" si="55"/>
        <v>0</v>
      </c>
      <c r="E759" t="str">
        <f ca="1">IF(D759=0,"",COUNTIF($D$2:D759,"&gt;0"))</f>
        <v/>
      </c>
      <c r="F759" s="24" t="str">
        <f t="shared" ca="1" si="54"/>
        <v/>
      </c>
    </row>
    <row r="760" spans="1:6">
      <c r="A760" s="44" t="s">
        <v>1178</v>
      </c>
      <c r="B760" s="25"/>
      <c r="C760" s="45"/>
      <c r="D760">
        <f t="shared" ca="1" si="55"/>
        <v>0</v>
      </c>
      <c r="E760" t="str">
        <f ca="1">IF(D760=0,"",COUNTIF($D$2:D760,"&gt;0"))</f>
        <v/>
      </c>
      <c r="F760" s="24" t="str">
        <f t="shared" ca="1" si="54"/>
        <v/>
      </c>
    </row>
    <row r="761" spans="1:6">
      <c r="A761" s="47" t="s">
        <v>1179</v>
      </c>
      <c r="B761" s="25" t="s">
        <v>343</v>
      </c>
      <c r="C761" s="45" t="s">
        <v>493</v>
      </c>
      <c r="D761">
        <f t="shared" ca="1" si="55"/>
        <v>0</v>
      </c>
      <c r="E761" t="str">
        <f ca="1">IF(D761=0,"",COUNTIF($D$2:D761,"&gt;0"))</f>
        <v/>
      </c>
      <c r="F761" s="24" t="str">
        <f t="shared" ca="1" si="54"/>
        <v/>
      </c>
    </row>
    <row r="762" spans="1:6">
      <c r="A762" s="46" t="s">
        <v>1181</v>
      </c>
      <c r="B762" s="25" t="s">
        <v>343</v>
      </c>
      <c r="C762" s="45" t="s">
        <v>438</v>
      </c>
      <c r="D762">
        <f t="shared" ca="1" si="55"/>
        <v>0</v>
      </c>
      <c r="E762" t="str">
        <f ca="1">IF(D762=0,"",COUNTIF($D$2:D762,"&gt;0"))</f>
        <v/>
      </c>
      <c r="F762" s="24" t="str">
        <f t="shared" ca="1" si="54"/>
        <v/>
      </c>
    </row>
    <row r="763" spans="1:6">
      <c r="A763" s="46" t="s">
        <v>1186</v>
      </c>
      <c r="B763" s="25" t="s">
        <v>343</v>
      </c>
      <c r="C763" s="45" t="s">
        <v>345</v>
      </c>
      <c r="D763">
        <f t="shared" ca="1" si="55"/>
        <v>0</v>
      </c>
      <c r="E763" t="str">
        <f ca="1">IF(D763=0,"",COUNTIF($D$2:D763,"&gt;0"))</f>
        <v/>
      </c>
      <c r="F763" s="24" t="str">
        <f t="shared" ca="1" si="54"/>
        <v/>
      </c>
    </row>
    <row r="764" spans="1:6">
      <c r="A764" s="46" t="s">
        <v>1182</v>
      </c>
      <c r="B764" s="25" t="s">
        <v>343</v>
      </c>
      <c r="C764" s="45" t="s">
        <v>502</v>
      </c>
      <c r="D764">
        <f t="shared" ca="1" si="55"/>
        <v>0</v>
      </c>
      <c r="E764" t="str">
        <f ca="1">IF(D764=0,"",COUNTIF($D$2:D764,"&gt;0"))</f>
        <v/>
      </c>
      <c r="F764" s="24" t="str">
        <f t="shared" ca="1" si="54"/>
        <v/>
      </c>
    </row>
    <row r="765" spans="1:6">
      <c r="A765" s="46" t="s">
        <v>1183</v>
      </c>
      <c r="B765" s="25" t="s">
        <v>343</v>
      </c>
      <c r="C765" s="45" t="s">
        <v>516</v>
      </c>
      <c r="D765">
        <f t="shared" ca="1" si="55"/>
        <v>0</v>
      </c>
      <c r="E765" t="str">
        <f ca="1">IF(D765=0,"",COUNTIF($D$2:D765,"&gt;0"))</f>
        <v/>
      </c>
      <c r="F765" s="24" t="str">
        <f t="shared" ca="1" si="54"/>
        <v/>
      </c>
    </row>
    <row r="766" spans="1:6">
      <c r="A766" s="46" t="s">
        <v>1187</v>
      </c>
      <c r="B766" s="25" t="s">
        <v>343</v>
      </c>
      <c r="C766" s="45" t="s">
        <v>466</v>
      </c>
      <c r="D766">
        <f t="shared" ca="1" si="55"/>
        <v>0</v>
      </c>
      <c r="E766" t="str">
        <f ca="1">IF(D766=0,"",COUNTIF($D$2:D766,"&gt;0"))</f>
        <v/>
      </c>
      <c r="F766" s="24" t="str">
        <f t="shared" ref="F766:F789" ca="1" si="56">IFERROR(INDEX(A:A,MATCH(ROW(D765),E:E,0)),"")</f>
        <v/>
      </c>
    </row>
    <row r="767" spans="1:6">
      <c r="A767" s="46" t="s">
        <v>1184</v>
      </c>
      <c r="B767" s="25" t="s">
        <v>343</v>
      </c>
      <c r="C767" s="45" t="s">
        <v>488</v>
      </c>
      <c r="D767">
        <f t="shared" ca="1" si="55"/>
        <v>0</v>
      </c>
      <c r="E767" t="str">
        <f ca="1">IF(D767=0,"",COUNTIF($D$2:D767,"&gt;0"))</f>
        <v/>
      </c>
      <c r="F767" s="24" t="str">
        <f t="shared" ca="1" si="56"/>
        <v/>
      </c>
    </row>
    <row r="768" spans="1:6">
      <c r="A768" s="46" t="s">
        <v>1185</v>
      </c>
      <c r="B768" s="25" t="s">
        <v>343</v>
      </c>
      <c r="C768" s="45" t="s">
        <v>476</v>
      </c>
      <c r="D768">
        <f t="shared" ca="1" si="55"/>
        <v>0</v>
      </c>
      <c r="E768" t="str">
        <f ca="1">IF(D768=0,"",COUNTIF($D$2:D768,"&gt;0"))</f>
        <v/>
      </c>
      <c r="F768" s="24" t="str">
        <f t="shared" ca="1" si="56"/>
        <v/>
      </c>
    </row>
    <row r="769" spans="1:6">
      <c r="A769" s="46" t="s">
        <v>1180</v>
      </c>
      <c r="B769" s="25" t="s">
        <v>343</v>
      </c>
      <c r="C769" s="45" t="s">
        <v>490</v>
      </c>
      <c r="D769">
        <f t="shared" ca="1" si="55"/>
        <v>0</v>
      </c>
      <c r="E769" t="str">
        <f ca="1">IF(D769=0,"",COUNTIF($D$2:D769,"&gt;0"))</f>
        <v/>
      </c>
      <c r="F769" s="24" t="str">
        <f t="shared" ca="1" si="56"/>
        <v/>
      </c>
    </row>
    <row r="770" spans="1:6">
      <c r="A770" s="44" t="s">
        <v>1188</v>
      </c>
      <c r="B770" s="25"/>
      <c r="C770" s="45"/>
      <c r="D770">
        <f t="shared" ca="1" si="55"/>
        <v>0</v>
      </c>
      <c r="E770" t="str">
        <f ca="1">IF(D770=0,"",COUNTIF($D$2:D770,"&gt;0"))</f>
        <v/>
      </c>
      <c r="F770" s="24" t="str">
        <f t="shared" ca="1" si="56"/>
        <v/>
      </c>
    </row>
    <row r="771" spans="1:6">
      <c r="A771" s="46" t="s">
        <v>1189</v>
      </c>
      <c r="B771" s="25" t="s">
        <v>343</v>
      </c>
      <c r="C771" s="45" t="s">
        <v>365</v>
      </c>
      <c r="D771">
        <f t="shared" ca="1" si="55"/>
        <v>0</v>
      </c>
      <c r="E771" t="str">
        <f ca="1">IF(D771=0,"",COUNTIF($D$2:D771,"&gt;0"))</f>
        <v/>
      </c>
      <c r="F771" s="24" t="str">
        <f t="shared" ca="1" si="56"/>
        <v/>
      </c>
    </row>
    <row r="772" spans="1:6">
      <c r="A772" s="41" t="s">
        <v>1191</v>
      </c>
      <c r="B772" s="25" t="s">
        <v>343</v>
      </c>
      <c r="C772" s="45" t="s">
        <v>500</v>
      </c>
      <c r="D772">
        <f t="shared" ca="1" si="55"/>
        <v>0</v>
      </c>
      <c r="E772" t="str">
        <f ca="1">IF(D772=0,"",COUNTIF($D$2:D772,"&gt;0"))</f>
        <v/>
      </c>
      <c r="F772" s="24" t="str">
        <f t="shared" ca="1" si="56"/>
        <v/>
      </c>
    </row>
    <row r="773" spans="1:6">
      <c r="A773" s="41" t="s">
        <v>1192</v>
      </c>
      <c r="B773" s="25" t="s">
        <v>343</v>
      </c>
      <c r="C773" s="45" t="s">
        <v>467</v>
      </c>
      <c r="D773">
        <f t="shared" ca="1" si="55"/>
        <v>0</v>
      </c>
      <c r="E773" t="str">
        <f ca="1">IF(D773=0,"",COUNTIF($D$2:D773,"&gt;0"))</f>
        <v/>
      </c>
      <c r="F773" s="24" t="str">
        <f t="shared" ca="1" si="56"/>
        <v/>
      </c>
    </row>
    <row r="774" spans="1:6">
      <c r="A774" s="41" t="s">
        <v>1193</v>
      </c>
      <c r="B774" s="25" t="s">
        <v>343</v>
      </c>
      <c r="C774" s="45" t="s">
        <v>462</v>
      </c>
      <c r="D774">
        <f t="shared" ca="1" si="55"/>
        <v>0</v>
      </c>
      <c r="E774" t="str">
        <f ca="1">IF(D774=0,"",COUNTIF($D$2:D774,"&gt;0"))</f>
        <v/>
      </c>
      <c r="F774" s="24" t="str">
        <f t="shared" ca="1" si="56"/>
        <v/>
      </c>
    </row>
    <row r="775" spans="1:6">
      <c r="A775" s="41" t="s">
        <v>1194</v>
      </c>
      <c r="B775" s="25" t="s">
        <v>343</v>
      </c>
      <c r="C775" s="45" t="s">
        <v>517</v>
      </c>
      <c r="D775">
        <f t="shared" ca="1" si="55"/>
        <v>0</v>
      </c>
      <c r="E775" t="str">
        <f ca="1">IF(D775=0,"",COUNTIF($D$2:D775,"&gt;0"))</f>
        <v/>
      </c>
      <c r="F775" s="24" t="str">
        <f t="shared" ca="1" si="56"/>
        <v/>
      </c>
    </row>
    <row r="776" spans="1:6">
      <c r="A776" s="41" t="s">
        <v>1195</v>
      </c>
      <c r="B776" s="25" t="s">
        <v>343</v>
      </c>
      <c r="C776" s="45" t="s">
        <v>518</v>
      </c>
      <c r="D776">
        <f t="shared" ca="1" si="55"/>
        <v>0</v>
      </c>
      <c r="E776" t="str">
        <f ca="1">IF(D776=0,"",COUNTIF($D$2:D776,"&gt;0"))</f>
        <v/>
      </c>
      <c r="F776" s="24" t="str">
        <f t="shared" ca="1" si="56"/>
        <v/>
      </c>
    </row>
    <row r="777" spans="1:6">
      <c r="A777" s="41" t="s">
        <v>1196</v>
      </c>
      <c r="B777" s="25" t="s">
        <v>343</v>
      </c>
      <c r="C777" s="45" t="s">
        <v>437</v>
      </c>
      <c r="D777">
        <f t="shared" ca="1" si="55"/>
        <v>0</v>
      </c>
      <c r="E777" t="str">
        <f ca="1">IF(D777=0,"",COUNTIF($D$2:D777,"&gt;0"))</f>
        <v/>
      </c>
      <c r="F777" s="24" t="str">
        <f t="shared" ca="1" si="56"/>
        <v/>
      </c>
    </row>
    <row r="778" spans="1:6">
      <c r="A778" s="46" t="s">
        <v>1190</v>
      </c>
      <c r="B778" s="25" t="s">
        <v>343</v>
      </c>
      <c r="C778" s="45" t="s">
        <v>487</v>
      </c>
      <c r="D778">
        <f t="shared" ca="1" si="55"/>
        <v>0</v>
      </c>
      <c r="E778" t="str">
        <f ca="1">IF(D778=0,"",COUNTIF($D$2:D778,"&gt;0"))</f>
        <v/>
      </c>
      <c r="F778" s="24" t="str">
        <f t="shared" ca="1" si="56"/>
        <v/>
      </c>
    </row>
    <row r="779" spans="1:6">
      <c r="A779" s="44" t="s">
        <v>1197</v>
      </c>
      <c r="B779" s="25"/>
      <c r="C779" s="45"/>
      <c r="D779">
        <f t="shared" ca="1" si="55"/>
        <v>0</v>
      </c>
      <c r="E779" t="str">
        <f ca="1">IF(D779=0,"",COUNTIF($D$2:D779,"&gt;0"))</f>
        <v/>
      </c>
      <c r="F779" s="24" t="str">
        <f t="shared" ca="1" si="56"/>
        <v/>
      </c>
    </row>
    <row r="780" spans="1:6" ht="31.2">
      <c r="A780" s="47" t="s">
        <v>1198</v>
      </c>
      <c r="B780" s="25" t="s">
        <v>343</v>
      </c>
      <c r="C780" s="45" t="s">
        <v>346</v>
      </c>
      <c r="D780">
        <f t="shared" ca="1" si="55"/>
        <v>0</v>
      </c>
      <c r="E780" t="str">
        <f ca="1">IF(D780=0,"",COUNTIF($D$2:D780,"&gt;0"))</f>
        <v/>
      </c>
      <c r="F780" s="24" t="str">
        <f t="shared" ca="1" si="56"/>
        <v/>
      </c>
    </row>
    <row r="781" spans="1:6">
      <c r="A781" s="46" t="s">
        <v>1199</v>
      </c>
      <c r="B781" s="25" t="s">
        <v>343</v>
      </c>
      <c r="C781" s="45" t="s">
        <v>465</v>
      </c>
      <c r="D781">
        <f t="shared" ca="1" si="55"/>
        <v>0</v>
      </c>
      <c r="E781" t="str">
        <f ca="1">IF(D781=0,"",COUNTIF($D$2:D781,"&gt;0"))</f>
        <v/>
      </c>
      <c r="F781" s="24" t="str">
        <f t="shared" ca="1" si="56"/>
        <v/>
      </c>
    </row>
    <row r="782" spans="1:6">
      <c r="A782" s="46" t="s">
        <v>1200</v>
      </c>
      <c r="B782" s="25" t="s">
        <v>343</v>
      </c>
      <c r="C782" s="45" t="s">
        <v>461</v>
      </c>
      <c r="D782">
        <f t="shared" ca="1" si="55"/>
        <v>0</v>
      </c>
      <c r="E782" t="str">
        <f ca="1">IF(D782=0,"",COUNTIF($D$2:D782,"&gt;0"))</f>
        <v/>
      </c>
      <c r="F782" s="24" t="str">
        <f t="shared" ca="1" si="56"/>
        <v/>
      </c>
    </row>
    <row r="783" spans="1:6">
      <c r="A783" s="46" t="s">
        <v>1201</v>
      </c>
      <c r="B783" s="25" t="s">
        <v>343</v>
      </c>
      <c r="C783" s="45" t="s">
        <v>489</v>
      </c>
      <c r="D783">
        <f t="shared" ca="1" si="55"/>
        <v>0</v>
      </c>
      <c r="E783" t="str">
        <f ca="1">IF(D783=0,"",COUNTIF($D$2:D783,"&gt;0"))</f>
        <v/>
      </c>
      <c r="F783" s="24" t="str">
        <f t="shared" ca="1" si="56"/>
        <v/>
      </c>
    </row>
    <row r="784" spans="1:6">
      <c r="A784" s="46" t="s">
        <v>1202</v>
      </c>
      <c r="B784" s="25" t="s">
        <v>343</v>
      </c>
      <c r="C784" s="45" t="s">
        <v>469</v>
      </c>
      <c r="D784">
        <f t="shared" ca="1" si="55"/>
        <v>0</v>
      </c>
      <c r="E784" t="str">
        <f ca="1">IF(D784=0,"",COUNTIF($D$2:D784,"&gt;0"))</f>
        <v/>
      </c>
      <c r="F784" s="24" t="str">
        <f t="shared" ca="1" si="56"/>
        <v/>
      </c>
    </row>
    <row r="785" spans="1:6">
      <c r="A785" s="46" t="s">
        <v>1205</v>
      </c>
      <c r="B785" s="25" t="s">
        <v>343</v>
      </c>
      <c r="C785" s="45" t="s">
        <v>491</v>
      </c>
      <c r="D785">
        <f t="shared" ca="1" si="55"/>
        <v>0</v>
      </c>
      <c r="E785" t="str">
        <f ca="1">IF(D785=0,"",COUNTIF($D$2:D785,"&gt;0"))</f>
        <v/>
      </c>
      <c r="F785" s="24" t="str">
        <f t="shared" ca="1" si="56"/>
        <v/>
      </c>
    </row>
    <row r="786" spans="1:6">
      <c r="A786" s="46" t="s">
        <v>1203</v>
      </c>
      <c r="B786" s="25" t="s">
        <v>343</v>
      </c>
      <c r="C786" s="45" t="s">
        <v>479</v>
      </c>
      <c r="D786">
        <f t="shared" ca="1" si="55"/>
        <v>0</v>
      </c>
      <c r="E786" t="str">
        <f ca="1">IF(D786=0,"",COUNTIF($D$2:D786,"&gt;0"))</f>
        <v/>
      </c>
      <c r="F786" s="24" t="str">
        <f t="shared" ca="1" si="56"/>
        <v/>
      </c>
    </row>
    <row r="787" spans="1:6">
      <c r="A787" s="46" t="s">
        <v>1204</v>
      </c>
      <c r="B787" s="25" t="s">
        <v>343</v>
      </c>
      <c r="C787" s="45" t="s">
        <v>519</v>
      </c>
      <c r="D787">
        <f t="shared" ca="1" si="55"/>
        <v>0</v>
      </c>
      <c r="E787" t="str">
        <f ca="1">IF(D787=0,"",COUNTIF($D$2:D787,"&gt;0"))</f>
        <v/>
      </c>
      <c r="F787" s="24" t="str">
        <f t="shared" ca="1" si="56"/>
        <v/>
      </c>
    </row>
    <row r="788" spans="1:6">
      <c r="A788" s="46" t="s">
        <v>1206</v>
      </c>
      <c r="B788" s="25" t="s">
        <v>343</v>
      </c>
      <c r="C788" s="45" t="s">
        <v>520</v>
      </c>
      <c r="D788">
        <f t="shared" ca="1" si="55"/>
        <v>0</v>
      </c>
      <c r="E788" t="str">
        <f ca="1">IF(D788=0,"",COUNTIF($D$2:D788,"&gt;0"))</f>
        <v/>
      </c>
      <c r="F788" s="24" t="str">
        <f t="shared" ca="1" si="56"/>
        <v/>
      </c>
    </row>
    <row r="789" spans="1:6">
      <c r="A789" s="44" t="s">
        <v>1207</v>
      </c>
      <c r="B789" s="25"/>
      <c r="C789" s="45"/>
      <c r="D789">
        <f t="shared" ca="1" si="55"/>
        <v>0</v>
      </c>
      <c r="E789" t="str">
        <f ca="1">IF(D789=0,"",COUNTIF($D$2:D789,"&gt;0"))</f>
        <v/>
      </c>
      <c r="F789" s="24" t="str">
        <f t="shared" ca="1" si="56"/>
        <v/>
      </c>
    </row>
    <row r="790" spans="1:6">
      <c r="A790" s="47" t="s">
        <v>1208</v>
      </c>
      <c r="B790" s="25" t="s">
        <v>343</v>
      </c>
      <c r="C790" s="45" t="s">
        <v>420</v>
      </c>
      <c r="D790">
        <f t="shared" ca="1" si="55"/>
        <v>0</v>
      </c>
      <c r="E790" t="str">
        <f ca="1">IF(D790=0,"",COUNTIF($D$2:D790,"&gt;0"))</f>
        <v/>
      </c>
      <c r="F790" s="24" t="str">
        <f ca="1">IFERROR(INDEX(A:A,MATCH(ROW(D775),E:E,0)),"")</f>
        <v/>
      </c>
    </row>
    <row r="791" spans="1:6">
      <c r="A791" s="46" t="s">
        <v>1210</v>
      </c>
      <c r="B791" s="25" t="s">
        <v>343</v>
      </c>
      <c r="C791" s="45" t="s">
        <v>345</v>
      </c>
      <c r="D791">
        <f t="shared" ca="1" si="55"/>
        <v>0</v>
      </c>
      <c r="E791" t="str">
        <f ca="1">IF(D791=0,"",COUNTIF($D$2:D791,"&gt;0"))</f>
        <v/>
      </c>
      <c r="F791" s="24" t="str">
        <f t="shared" ref="F791:F814" ca="1" si="57">IFERROR(INDEX(A:A,MATCH(ROW(D790),E:E,0)),"")</f>
        <v/>
      </c>
    </row>
    <row r="792" spans="1:6">
      <c r="A792" s="46" t="s">
        <v>1211</v>
      </c>
      <c r="B792" s="25" t="s">
        <v>343</v>
      </c>
      <c r="C792" s="45" t="s">
        <v>516</v>
      </c>
      <c r="D792">
        <f t="shared" ca="1" si="55"/>
        <v>0</v>
      </c>
      <c r="E792" t="str">
        <f ca="1">IF(D792=0,"",COUNTIF($D$2:D792,"&gt;0"))</f>
        <v/>
      </c>
      <c r="F792" s="24" t="str">
        <f t="shared" ca="1" si="57"/>
        <v/>
      </c>
    </row>
    <row r="793" spans="1:6">
      <c r="A793" s="46" t="s">
        <v>1212</v>
      </c>
      <c r="B793" s="25" t="s">
        <v>343</v>
      </c>
      <c r="C793" s="45" t="s">
        <v>521</v>
      </c>
      <c r="D793">
        <f t="shared" ca="1" si="55"/>
        <v>0</v>
      </c>
      <c r="E793" t="str">
        <f ca="1">IF(D793=0,"",COUNTIF($D$2:D793,"&gt;0"))</f>
        <v/>
      </c>
      <c r="F793" s="24" t="str">
        <f t="shared" ca="1" si="57"/>
        <v/>
      </c>
    </row>
    <row r="794" spans="1:6">
      <c r="A794" s="46" t="s">
        <v>1213</v>
      </c>
      <c r="B794" s="25" t="s">
        <v>343</v>
      </c>
      <c r="C794" s="45" t="s">
        <v>476</v>
      </c>
      <c r="D794">
        <f t="shared" ca="1" si="55"/>
        <v>0</v>
      </c>
      <c r="E794" t="str">
        <f ca="1">IF(D794=0,"",COUNTIF($D$2:D794,"&gt;0"))</f>
        <v/>
      </c>
      <c r="F794" s="24" t="str">
        <f t="shared" ca="1" si="57"/>
        <v/>
      </c>
    </row>
    <row r="795" spans="1:6">
      <c r="A795" s="46" t="s">
        <v>1214</v>
      </c>
      <c r="B795" s="25" t="s">
        <v>343</v>
      </c>
      <c r="C795" s="45" t="s">
        <v>522</v>
      </c>
      <c r="D795">
        <f t="shared" ca="1" si="55"/>
        <v>0</v>
      </c>
      <c r="E795" t="str">
        <f ca="1">IF(D795=0,"",COUNTIF($D$2:D795,"&gt;0"))</f>
        <v/>
      </c>
      <c r="F795" s="24" t="str">
        <f t="shared" ca="1" si="57"/>
        <v/>
      </c>
    </row>
    <row r="796" spans="1:6">
      <c r="A796" s="46" t="s">
        <v>1215</v>
      </c>
      <c r="B796" s="25" t="s">
        <v>343</v>
      </c>
      <c r="C796" s="45" t="s">
        <v>433</v>
      </c>
      <c r="D796">
        <f t="shared" ca="1" si="55"/>
        <v>0</v>
      </c>
      <c r="E796" t="str">
        <f ca="1">IF(D796=0,"",COUNTIF($D$2:D796,"&gt;0"))</f>
        <v/>
      </c>
      <c r="F796" s="24" t="str">
        <f t="shared" ca="1" si="57"/>
        <v/>
      </c>
    </row>
    <row r="797" spans="1:6">
      <c r="A797" s="46" t="s">
        <v>1216</v>
      </c>
      <c r="B797" s="25" t="s">
        <v>343</v>
      </c>
      <c r="C797" s="45" t="s">
        <v>523</v>
      </c>
      <c r="D797">
        <f t="shared" ca="1" si="55"/>
        <v>0</v>
      </c>
      <c r="E797" t="str">
        <f ca="1">IF(D797=0,"",COUNTIF($D$2:D797,"&gt;0"))</f>
        <v/>
      </c>
      <c r="F797" s="24" t="str">
        <f t="shared" ca="1" si="57"/>
        <v/>
      </c>
    </row>
    <row r="798" spans="1:6">
      <c r="A798" s="46" t="s">
        <v>1217</v>
      </c>
      <c r="B798" s="25" t="s">
        <v>343</v>
      </c>
      <c r="C798" s="45" t="s">
        <v>524</v>
      </c>
      <c r="D798">
        <f t="shared" ca="1" si="55"/>
        <v>0</v>
      </c>
      <c r="E798" t="str">
        <f ca="1">IF(D798=0,"",COUNTIF($D$2:D798,"&gt;0"))</f>
        <v/>
      </c>
      <c r="F798" s="24" t="str">
        <f t="shared" ca="1" si="57"/>
        <v/>
      </c>
    </row>
    <row r="799" spans="1:6">
      <c r="A799" s="46" t="s">
        <v>1218</v>
      </c>
      <c r="B799" s="25" t="s">
        <v>343</v>
      </c>
      <c r="C799" s="45" t="s">
        <v>525</v>
      </c>
      <c r="D799">
        <f t="shared" ca="1" si="55"/>
        <v>0</v>
      </c>
      <c r="E799" t="str">
        <f ca="1">IF(D799=0,"",COUNTIF($D$2:D799,"&gt;0"))</f>
        <v/>
      </c>
      <c r="F799" s="24" t="str">
        <f t="shared" ca="1" si="57"/>
        <v/>
      </c>
    </row>
    <row r="800" spans="1:6">
      <c r="A800" s="46" t="s">
        <v>1219</v>
      </c>
      <c r="B800" s="25" t="s">
        <v>343</v>
      </c>
      <c r="C800" s="45" t="s">
        <v>526</v>
      </c>
      <c r="D800">
        <f t="shared" ca="1" si="55"/>
        <v>0</v>
      </c>
      <c r="E800" t="str">
        <f ca="1">IF(D800=0,"",COUNTIF($D$2:D800,"&gt;0"))</f>
        <v/>
      </c>
      <c r="F800" s="24" t="str">
        <f t="shared" ca="1" si="57"/>
        <v/>
      </c>
    </row>
    <row r="801" spans="1:6">
      <c r="A801" s="46" t="s">
        <v>1220</v>
      </c>
      <c r="B801" s="25" t="s">
        <v>343</v>
      </c>
      <c r="C801" s="45" t="s">
        <v>527</v>
      </c>
      <c r="D801">
        <f t="shared" ca="1" si="55"/>
        <v>0</v>
      </c>
      <c r="E801" t="str">
        <f ca="1">IF(D801=0,"",COUNTIF($D$2:D801,"&gt;0"))</f>
        <v/>
      </c>
      <c r="F801" s="24" t="str">
        <f t="shared" ca="1" si="57"/>
        <v/>
      </c>
    </row>
    <row r="802" spans="1:6">
      <c r="A802" s="46" t="s">
        <v>1209</v>
      </c>
      <c r="B802" s="25" t="s">
        <v>343</v>
      </c>
      <c r="C802" s="45" t="s">
        <v>496</v>
      </c>
      <c r="D802">
        <f t="shared" ca="1" si="55"/>
        <v>0</v>
      </c>
      <c r="E802" t="str">
        <f ca="1">IF(D802=0,"",COUNTIF($D$2:D802,"&gt;0"))</f>
        <v/>
      </c>
      <c r="F802" s="24" t="str">
        <f t="shared" ca="1" si="57"/>
        <v/>
      </c>
    </row>
    <row r="803" spans="1:6">
      <c r="A803" s="44" t="s">
        <v>1221</v>
      </c>
      <c r="B803" s="25"/>
      <c r="C803" s="45"/>
      <c r="D803">
        <f t="shared" ca="1" si="55"/>
        <v>0</v>
      </c>
      <c r="E803" t="str">
        <f ca="1">IF(D803=0,"",COUNTIF($D$2:D803,"&gt;0"))</f>
        <v/>
      </c>
      <c r="F803" s="24" t="str">
        <f t="shared" ca="1" si="57"/>
        <v/>
      </c>
    </row>
    <row r="804" spans="1:6">
      <c r="A804" s="46" t="s">
        <v>1222</v>
      </c>
      <c r="B804" s="25" t="s">
        <v>343</v>
      </c>
      <c r="C804" s="45" t="s">
        <v>497</v>
      </c>
      <c r="D804">
        <f t="shared" ca="1" si="55"/>
        <v>0</v>
      </c>
      <c r="E804" t="str">
        <f ca="1">IF(D804=0,"",COUNTIF($D$2:D804,"&gt;0"))</f>
        <v/>
      </c>
      <c r="F804" s="24" t="str">
        <f t="shared" ca="1" si="57"/>
        <v/>
      </c>
    </row>
    <row r="805" spans="1:6">
      <c r="A805" s="41" t="s">
        <v>1224</v>
      </c>
      <c r="B805" s="25" t="s">
        <v>343</v>
      </c>
      <c r="C805" s="45" t="s">
        <v>420</v>
      </c>
      <c r="D805">
        <f t="shared" ca="1" si="55"/>
        <v>0</v>
      </c>
      <c r="E805" t="str">
        <f ca="1">IF(D805=0,"",COUNTIF($D$2:D805,"&gt;0"))</f>
        <v/>
      </c>
      <c r="F805" s="24" t="str">
        <f t="shared" ca="1" si="57"/>
        <v/>
      </c>
    </row>
    <row r="806" spans="1:6">
      <c r="A806" s="41" t="s">
        <v>1225</v>
      </c>
      <c r="B806" s="25" t="s">
        <v>343</v>
      </c>
      <c r="C806" s="45" t="s">
        <v>345</v>
      </c>
      <c r="D806">
        <f t="shared" ca="1" si="55"/>
        <v>0</v>
      </c>
      <c r="E806" t="str">
        <f ca="1">IF(D806=0,"",COUNTIF($D$2:D806,"&gt;0"))</f>
        <v/>
      </c>
      <c r="F806" s="24" t="str">
        <f t="shared" ca="1" si="57"/>
        <v/>
      </c>
    </row>
    <row r="807" spans="1:6">
      <c r="A807" s="41" t="s">
        <v>1226</v>
      </c>
      <c r="B807" s="25" t="s">
        <v>343</v>
      </c>
      <c r="C807" s="45" t="s">
        <v>500</v>
      </c>
      <c r="D807">
        <f t="shared" ca="1" si="55"/>
        <v>0</v>
      </c>
      <c r="E807" t="str">
        <f ca="1">IF(D807=0,"",COUNTIF($D$2:D807,"&gt;0"))</f>
        <v/>
      </c>
      <c r="F807" s="24" t="str">
        <f t="shared" ca="1" si="57"/>
        <v/>
      </c>
    </row>
    <row r="808" spans="1:6">
      <c r="A808" s="41" t="s">
        <v>1227</v>
      </c>
      <c r="B808" s="25" t="s">
        <v>343</v>
      </c>
      <c r="C808" s="45" t="s">
        <v>506</v>
      </c>
      <c r="D808">
        <f t="shared" ca="1" si="55"/>
        <v>0</v>
      </c>
      <c r="E808" t="str">
        <f ca="1">IF(D808=0,"",COUNTIF($D$2:D808,"&gt;0"))</f>
        <v/>
      </c>
      <c r="F808" s="24" t="str">
        <f t="shared" ca="1" si="57"/>
        <v/>
      </c>
    </row>
    <row r="809" spans="1:6">
      <c r="A809" s="41" t="s">
        <v>1228</v>
      </c>
      <c r="B809" s="25" t="s">
        <v>343</v>
      </c>
      <c r="C809" s="45" t="s">
        <v>397</v>
      </c>
      <c r="D809">
        <f t="shared" ca="1" si="55"/>
        <v>0</v>
      </c>
      <c r="E809" t="str">
        <f ca="1">IF(D809=0,"",COUNTIF($D$2:D809,"&gt;0"))</f>
        <v/>
      </c>
      <c r="F809" s="24" t="str">
        <f t="shared" ca="1" si="57"/>
        <v/>
      </c>
    </row>
    <row r="810" spans="1:6">
      <c r="A810" s="41" t="s">
        <v>1229</v>
      </c>
      <c r="B810" s="25" t="s">
        <v>343</v>
      </c>
      <c r="C810" s="45" t="s">
        <v>432</v>
      </c>
      <c r="D810">
        <f t="shared" ca="1" si="55"/>
        <v>0</v>
      </c>
      <c r="E810" t="str">
        <f ca="1">IF(D810=0,"",COUNTIF($D$2:D810,"&gt;0"))</f>
        <v/>
      </c>
      <c r="F810" s="24" t="str">
        <f t="shared" ca="1" si="57"/>
        <v/>
      </c>
    </row>
    <row r="811" spans="1:6">
      <c r="A811" s="46" t="s">
        <v>1223</v>
      </c>
      <c r="B811" s="25" t="s">
        <v>343</v>
      </c>
      <c r="C811" s="45" t="s">
        <v>462</v>
      </c>
      <c r="D811">
        <f t="shared" ca="1" si="55"/>
        <v>0</v>
      </c>
      <c r="E811" t="str">
        <f ca="1">IF(D811=0,"",COUNTIF($D$2:D811,"&gt;0"))</f>
        <v/>
      </c>
      <c r="F811" s="24" t="str">
        <f t="shared" ca="1" si="57"/>
        <v/>
      </c>
    </row>
    <row r="812" spans="1:6">
      <c r="A812" s="44" t="s">
        <v>1230</v>
      </c>
      <c r="B812" s="25"/>
      <c r="C812" s="45"/>
      <c r="D812">
        <f t="shared" ca="1" si="55"/>
        <v>0</v>
      </c>
      <c r="E812" t="str">
        <f ca="1">IF(D812=0,"",COUNTIF($D$2:D812,"&gt;0"))</f>
        <v/>
      </c>
      <c r="F812" s="24" t="str">
        <f t="shared" ca="1" si="57"/>
        <v/>
      </c>
    </row>
    <row r="813" spans="1:6">
      <c r="A813" s="46" t="s">
        <v>1231</v>
      </c>
      <c r="B813" s="25" t="s">
        <v>343</v>
      </c>
      <c r="C813" s="45" t="s">
        <v>438</v>
      </c>
      <c r="D813">
        <f t="shared" ca="1" si="55"/>
        <v>0</v>
      </c>
      <c r="E813" t="str">
        <f ca="1">IF(D813=0,"",COUNTIF($D$2:D813,"&gt;0"))</f>
        <v/>
      </c>
      <c r="F813" s="24" t="str">
        <f t="shared" ca="1" si="57"/>
        <v/>
      </c>
    </row>
    <row r="814" spans="1:6">
      <c r="A814" s="41" t="s">
        <v>1233</v>
      </c>
      <c r="B814" s="25" t="s">
        <v>343</v>
      </c>
      <c r="C814" s="45" t="s">
        <v>465</v>
      </c>
      <c r="D814">
        <f t="shared" ca="1" si="55"/>
        <v>0</v>
      </c>
      <c r="E814" t="str">
        <f ca="1">IF(D814=0,"",COUNTIF($D$2:D814,"&gt;0"))</f>
        <v/>
      </c>
      <c r="F814" s="24" t="str">
        <f t="shared" ca="1" si="57"/>
        <v/>
      </c>
    </row>
    <row r="815" spans="1:6">
      <c r="A815" s="41" t="s">
        <v>1234</v>
      </c>
      <c r="B815" s="25" t="s">
        <v>343</v>
      </c>
      <c r="C815" s="45" t="s">
        <v>472</v>
      </c>
      <c r="D815">
        <f t="shared" ca="1" si="55"/>
        <v>0</v>
      </c>
      <c r="E815" t="str">
        <f ca="1">IF(D815=0,"",COUNTIF($D$2:D815,"&gt;0"))</f>
        <v/>
      </c>
      <c r="F815" s="24" t="str">
        <f ca="1">IFERROR(INDEX(A:A,MATCH(ROW(D798),E:E,0)),"")</f>
        <v/>
      </c>
    </row>
    <row r="816" spans="1:6">
      <c r="A816" s="46" t="s">
        <v>1232</v>
      </c>
      <c r="B816" s="25" t="s">
        <v>343</v>
      </c>
      <c r="C816" s="45" t="s">
        <v>433</v>
      </c>
      <c r="D816">
        <f ca="1">IFERROR(SEARCH(INDIRECT(CELL("address")),A816),0)</f>
        <v>0</v>
      </c>
      <c r="E816" t="str">
        <f ca="1">IF(D816=0,"",COUNTIF($D$2:D816,"&gt;0"))</f>
        <v/>
      </c>
      <c r="F816" s="24" t="str">
        <f>IFERROR(INDEX(A:A,MATCH(ROW(#REF!),E:E,0)),"")</f>
        <v/>
      </c>
    </row>
    <row r="817" spans="1:6">
      <c r="A817" s="44" t="s">
        <v>1235</v>
      </c>
      <c r="B817" s="25"/>
      <c r="C817" s="45"/>
      <c r="D817">
        <f ca="1">IFERROR(SEARCH(INDIRECT(CELL("address")),A817),0)</f>
        <v>0</v>
      </c>
      <c r="E817" t="str">
        <f ca="1">IF(D817=0,"",COUNTIF($D$2:D817,"&gt;0"))</f>
        <v/>
      </c>
      <c r="F817" s="24" t="str">
        <f t="shared" ref="F817:F839" ca="1" si="58">IFERROR(INDEX(A:A,MATCH(ROW(D816),E:E,0)),"")</f>
        <v/>
      </c>
    </row>
    <row r="818" spans="1:6">
      <c r="A818" s="46" t="s">
        <v>1236</v>
      </c>
      <c r="B818" s="25" t="s">
        <v>343</v>
      </c>
      <c r="C818" s="45" t="s">
        <v>417</v>
      </c>
      <c r="D818">
        <f ca="1">IFERROR(SEARCH(INDIRECT(CELL("address")),A818),0)</f>
        <v>0</v>
      </c>
      <c r="E818" t="str">
        <f ca="1">IF(D818=0,"",COUNTIF($D$2:D818,"&gt;0"))</f>
        <v/>
      </c>
      <c r="F818" s="24" t="str">
        <f t="shared" ca="1" si="58"/>
        <v/>
      </c>
    </row>
    <row r="819" spans="1:6">
      <c r="A819" s="41" t="s">
        <v>1238</v>
      </c>
      <c r="B819" s="25" t="s">
        <v>343</v>
      </c>
      <c r="C819" s="45" t="s">
        <v>345</v>
      </c>
      <c r="D819">
        <f ca="1">IFERROR(SEARCH(INDIRECT(CELL("address")),A819),0)</f>
        <v>0</v>
      </c>
      <c r="E819" t="str">
        <f ca="1">IF(D819=0,"",COUNTIF($D$2:D819,"&gt;0"))</f>
        <v/>
      </c>
      <c r="F819" s="24" t="str">
        <f t="shared" ca="1" si="58"/>
        <v/>
      </c>
    </row>
    <row r="820" spans="1:6">
      <c r="A820" s="41" t="s">
        <v>1239</v>
      </c>
      <c r="B820" s="25" t="s">
        <v>343</v>
      </c>
      <c r="C820" s="45" t="s">
        <v>528</v>
      </c>
      <c r="D820">
        <f ca="1">IFERROR(SEARCH(INDIRECT(CELL("address")),A820),0)</f>
        <v>0</v>
      </c>
      <c r="E820" t="str">
        <f ca="1">IF(D820=0,"",COUNTIF($D$2:D820,"&gt;0"))</f>
        <v/>
      </c>
      <c r="F820" s="24" t="str">
        <f t="shared" ca="1" si="58"/>
        <v/>
      </c>
    </row>
    <row r="821" spans="1:6">
      <c r="A821" s="41" t="s">
        <v>1240</v>
      </c>
      <c r="B821" s="25" t="s">
        <v>343</v>
      </c>
      <c r="C821" s="45" t="s">
        <v>466</v>
      </c>
      <c r="D821">
        <f t="shared" ref="D821:D839" ca="1" si="59">IFERROR(SEARCH(INDIRECT(CELL("address")),A821),0)</f>
        <v>0</v>
      </c>
      <c r="E821" t="str">
        <f ca="1">IF(D821=0,"",COUNTIF($D$2:D821,"&gt;0"))</f>
        <v/>
      </c>
      <c r="F821" s="24" t="str">
        <f t="shared" ca="1" si="58"/>
        <v/>
      </c>
    </row>
    <row r="822" spans="1:6">
      <c r="A822" s="41" t="s">
        <v>1241</v>
      </c>
      <c r="B822" s="25" t="s">
        <v>343</v>
      </c>
      <c r="C822" s="45" t="s">
        <v>513</v>
      </c>
      <c r="D822">
        <f t="shared" ca="1" si="59"/>
        <v>0</v>
      </c>
      <c r="E822" t="str">
        <f ca="1">IF(D822=0,"",COUNTIF($D$2:D822,"&gt;0"))</f>
        <v/>
      </c>
      <c r="F822" s="24" t="str">
        <f t="shared" ca="1" si="58"/>
        <v/>
      </c>
    </row>
    <row r="823" spans="1:6">
      <c r="A823" s="41" t="s">
        <v>1242</v>
      </c>
      <c r="B823" s="25" t="s">
        <v>343</v>
      </c>
      <c r="C823" s="45" t="s">
        <v>473</v>
      </c>
      <c r="D823">
        <f t="shared" ca="1" si="59"/>
        <v>0</v>
      </c>
      <c r="E823" t="str">
        <f ca="1">IF(D823=0,"",COUNTIF($D$2:D823,"&gt;0"))</f>
        <v/>
      </c>
      <c r="F823" s="24" t="str">
        <f t="shared" ca="1" si="58"/>
        <v/>
      </c>
    </row>
    <row r="824" spans="1:6">
      <c r="A824" s="46" t="s">
        <v>1237</v>
      </c>
      <c r="B824" s="25" t="s">
        <v>343</v>
      </c>
      <c r="C824" s="45" t="s">
        <v>529</v>
      </c>
      <c r="D824">
        <f t="shared" ca="1" si="59"/>
        <v>0</v>
      </c>
      <c r="E824" t="str">
        <f ca="1">IF(D824=0,"",COUNTIF($D$2:D824,"&gt;0"))</f>
        <v/>
      </c>
      <c r="F824" s="24" t="str">
        <f t="shared" ca="1" si="58"/>
        <v/>
      </c>
    </row>
    <row r="825" spans="1:6">
      <c r="A825" s="44" t="s">
        <v>1243</v>
      </c>
      <c r="B825" s="25"/>
      <c r="C825" s="45"/>
      <c r="D825">
        <f t="shared" ca="1" si="59"/>
        <v>0</v>
      </c>
      <c r="E825" t="str">
        <f ca="1">IF(D825=0,"",COUNTIF($D$2:D825,"&gt;0"))</f>
        <v/>
      </c>
      <c r="F825" s="24" t="str">
        <f t="shared" ca="1" si="58"/>
        <v/>
      </c>
    </row>
    <row r="826" spans="1:6">
      <c r="A826" s="46" t="s">
        <v>1244</v>
      </c>
      <c r="B826" s="25" t="s">
        <v>343</v>
      </c>
      <c r="C826" s="45" t="s">
        <v>365</v>
      </c>
      <c r="D826">
        <f t="shared" ca="1" si="59"/>
        <v>0</v>
      </c>
      <c r="E826" t="str">
        <f ca="1">IF(D826=0,"",COUNTIF($D$2:D826,"&gt;0"))</f>
        <v/>
      </c>
      <c r="F826" s="24" t="str">
        <f t="shared" ca="1" si="58"/>
        <v/>
      </c>
    </row>
    <row r="827" spans="1:6">
      <c r="A827" s="41" t="s">
        <v>1246</v>
      </c>
      <c r="B827" s="25" t="s">
        <v>343</v>
      </c>
      <c r="C827" s="45" t="s">
        <v>345</v>
      </c>
      <c r="D827">
        <f t="shared" ca="1" si="59"/>
        <v>0</v>
      </c>
      <c r="E827" t="str">
        <f ca="1">IF(D827=0,"",COUNTIF($D$2:D827,"&gt;0"))</f>
        <v/>
      </c>
      <c r="F827" s="24" t="str">
        <f t="shared" ca="1" si="58"/>
        <v/>
      </c>
    </row>
    <row r="828" spans="1:6">
      <c r="A828" s="41" t="s">
        <v>1247</v>
      </c>
      <c r="B828" s="25" t="s">
        <v>343</v>
      </c>
      <c r="C828" s="45" t="s">
        <v>528</v>
      </c>
      <c r="D828">
        <f t="shared" ca="1" si="59"/>
        <v>0</v>
      </c>
      <c r="E828" t="str">
        <f ca="1">IF(D828=0,"",COUNTIF($D$2:D828,"&gt;0"))</f>
        <v/>
      </c>
      <c r="F828" s="24" t="str">
        <f t="shared" ca="1" si="58"/>
        <v/>
      </c>
    </row>
    <row r="829" spans="1:6">
      <c r="A829" s="41" t="s">
        <v>1248</v>
      </c>
      <c r="B829" s="25" t="s">
        <v>343</v>
      </c>
      <c r="C829" s="45" t="s">
        <v>466</v>
      </c>
      <c r="D829">
        <f t="shared" ca="1" si="59"/>
        <v>0</v>
      </c>
      <c r="E829" t="str">
        <f ca="1">IF(D829=0,"",COUNTIF($D$2:D829,"&gt;0"))</f>
        <v/>
      </c>
      <c r="F829" s="24" t="str">
        <f t="shared" ca="1" si="58"/>
        <v/>
      </c>
    </row>
    <row r="830" spans="1:6">
      <c r="A830" s="41" t="s">
        <v>1249</v>
      </c>
      <c r="B830" s="25" t="s">
        <v>343</v>
      </c>
      <c r="C830" s="45" t="s">
        <v>513</v>
      </c>
      <c r="D830">
        <f t="shared" ca="1" si="59"/>
        <v>0</v>
      </c>
      <c r="E830" t="str">
        <f ca="1">IF(D830=0,"",COUNTIF($D$2:D830,"&gt;0"))</f>
        <v/>
      </c>
      <c r="F830" s="24" t="str">
        <f t="shared" ca="1" si="58"/>
        <v/>
      </c>
    </row>
    <row r="831" spans="1:6">
      <c r="A831" s="41" t="s">
        <v>1250</v>
      </c>
      <c r="B831" s="25" t="s">
        <v>343</v>
      </c>
      <c r="C831" s="45" t="s">
        <v>473</v>
      </c>
      <c r="D831">
        <f t="shared" ca="1" si="59"/>
        <v>0</v>
      </c>
      <c r="E831" t="str">
        <f ca="1">IF(D831=0,"",COUNTIF($D$2:D831,"&gt;0"))</f>
        <v/>
      </c>
      <c r="F831" s="24" t="str">
        <f t="shared" ca="1" si="58"/>
        <v/>
      </c>
    </row>
    <row r="832" spans="1:6">
      <c r="A832" s="41" t="s">
        <v>1251</v>
      </c>
      <c r="B832" s="25" t="s">
        <v>343</v>
      </c>
      <c r="C832" s="45" t="s">
        <v>529</v>
      </c>
      <c r="D832">
        <f t="shared" ca="1" si="59"/>
        <v>0</v>
      </c>
      <c r="E832" t="str">
        <f ca="1">IF(D832=0,"",COUNTIF($D$2:D832,"&gt;0"))</f>
        <v/>
      </c>
      <c r="F832" s="24" t="str">
        <f t="shared" ca="1" si="58"/>
        <v/>
      </c>
    </row>
    <row r="833" spans="1:6">
      <c r="A833" s="46" t="s">
        <v>1245</v>
      </c>
      <c r="B833" s="25" t="s">
        <v>343</v>
      </c>
      <c r="C833" s="45" t="s">
        <v>517</v>
      </c>
      <c r="D833">
        <f t="shared" ca="1" si="59"/>
        <v>0</v>
      </c>
      <c r="E833" t="str">
        <f ca="1">IF(D833=0,"",COUNTIF($D$2:D833,"&gt;0"))</f>
        <v/>
      </c>
      <c r="F833" s="24" t="str">
        <f t="shared" ca="1" si="58"/>
        <v/>
      </c>
    </row>
    <row r="834" spans="1:6">
      <c r="A834" s="39" t="s">
        <v>530</v>
      </c>
      <c r="B834" s="25"/>
      <c r="C834" s="45"/>
      <c r="D834">
        <f t="shared" ca="1" si="59"/>
        <v>0</v>
      </c>
      <c r="E834" t="str">
        <f ca="1">IF(D834=0,"",COUNTIF($D$2:D834,"&gt;0"))</f>
        <v/>
      </c>
      <c r="F834" s="24" t="str">
        <f t="shared" ca="1" si="58"/>
        <v/>
      </c>
    </row>
    <row r="835" spans="1:6">
      <c r="A835" s="46" t="s">
        <v>1252</v>
      </c>
      <c r="B835" s="25" t="s">
        <v>343</v>
      </c>
      <c r="C835" s="45" t="s">
        <v>438</v>
      </c>
      <c r="D835">
        <f t="shared" ca="1" si="59"/>
        <v>0</v>
      </c>
      <c r="E835" t="str">
        <f ca="1">IF(D835=0,"",COUNTIF($D$2:D835,"&gt;0"))</f>
        <v/>
      </c>
      <c r="F835" s="24" t="str">
        <f t="shared" ca="1" si="58"/>
        <v/>
      </c>
    </row>
    <row r="836" spans="1:6">
      <c r="A836" s="41" t="s">
        <v>1254</v>
      </c>
      <c r="B836" s="25" t="s">
        <v>343</v>
      </c>
      <c r="C836" s="45" t="s">
        <v>471</v>
      </c>
      <c r="D836">
        <f t="shared" ca="1" si="59"/>
        <v>0</v>
      </c>
      <c r="E836" t="str">
        <f ca="1">IF(D836=0,"",COUNTIF($D$2:D836,"&gt;0"))</f>
        <v/>
      </c>
      <c r="F836" s="24" t="str">
        <f t="shared" ca="1" si="58"/>
        <v/>
      </c>
    </row>
    <row r="837" spans="1:6">
      <c r="A837" s="41" t="s">
        <v>1255</v>
      </c>
      <c r="B837" s="25" t="s">
        <v>343</v>
      </c>
      <c r="C837" s="45" t="s">
        <v>456</v>
      </c>
      <c r="D837">
        <f t="shared" ca="1" si="59"/>
        <v>0</v>
      </c>
      <c r="E837" t="str">
        <f ca="1">IF(D837=0,"",COUNTIF($D$2:D837,"&gt;0"))</f>
        <v/>
      </c>
      <c r="F837" s="24" t="str">
        <f t="shared" ca="1" si="58"/>
        <v/>
      </c>
    </row>
    <row r="838" spans="1:6">
      <c r="A838" s="46" t="s">
        <v>1256</v>
      </c>
      <c r="B838" s="25" t="s">
        <v>343</v>
      </c>
      <c r="C838" s="45" t="s">
        <v>462</v>
      </c>
      <c r="D838">
        <f t="shared" ca="1" si="59"/>
        <v>0</v>
      </c>
      <c r="E838" t="str">
        <f ca="1">IF(D838=0,"",COUNTIF($D$2:D838,"&gt;0"))</f>
        <v/>
      </c>
      <c r="F838" s="24" t="str">
        <f t="shared" ca="1" si="58"/>
        <v/>
      </c>
    </row>
    <row r="839" spans="1:6">
      <c r="A839" s="46" t="s">
        <v>1253</v>
      </c>
      <c r="B839" s="25" t="s">
        <v>343</v>
      </c>
      <c r="C839" s="45" t="s">
        <v>495</v>
      </c>
      <c r="D839">
        <f t="shared" ca="1" si="59"/>
        <v>0</v>
      </c>
      <c r="E839" t="str">
        <f ca="1">IF(D839=0,"",COUNTIF($D$2:D1109,"&gt;0"))</f>
        <v/>
      </c>
      <c r="F839" s="24" t="str">
        <f t="shared" ca="1" si="58"/>
        <v/>
      </c>
    </row>
    <row r="840" spans="1:6">
      <c r="A840" s="44" t="s">
        <v>1257</v>
      </c>
      <c r="B840" s="25"/>
      <c r="C840" s="45"/>
      <c r="D840">
        <f t="shared" ca="1" si="55"/>
        <v>0</v>
      </c>
      <c r="E840" t="str">
        <f ca="1">IF(D840=0,"",COUNTIF($D$2:D840,"&gt;0"))</f>
        <v/>
      </c>
      <c r="F840" s="24" t="str">
        <f ca="1">IFERROR(INDEX(A:A,MATCH(ROW(D815),E:E,0)),"")</f>
        <v/>
      </c>
    </row>
    <row r="841" spans="1:6">
      <c r="A841" s="46" t="s">
        <v>1258</v>
      </c>
      <c r="B841" s="25" t="s">
        <v>343</v>
      </c>
      <c r="C841" s="45" t="s">
        <v>365</v>
      </c>
      <c r="D841">
        <f t="shared" ca="1" si="55"/>
        <v>0</v>
      </c>
      <c r="E841" t="str">
        <f ca="1">IF(D841=0,"",COUNTIF($D$2:D841,"&gt;0"))</f>
        <v/>
      </c>
      <c r="F841" s="24" t="str">
        <f t="shared" ref="F841:F854" ca="1" si="60">IFERROR(INDEX(A:A,MATCH(ROW(D840),E:E,0)),"")</f>
        <v/>
      </c>
    </row>
    <row r="842" spans="1:6">
      <c r="A842" s="41" t="s">
        <v>1260</v>
      </c>
      <c r="B842" s="25" t="s">
        <v>343</v>
      </c>
      <c r="C842" s="45" t="s">
        <v>405</v>
      </c>
      <c r="D842">
        <f t="shared" ca="1" si="55"/>
        <v>0</v>
      </c>
      <c r="E842" t="str">
        <f ca="1">IF(D842=0,"",COUNTIF($D$2:D842,"&gt;0"))</f>
        <v/>
      </c>
      <c r="F842" s="24" t="str">
        <f t="shared" ca="1" si="60"/>
        <v/>
      </c>
    </row>
    <row r="843" spans="1:6">
      <c r="A843" s="41" t="s">
        <v>1261</v>
      </c>
      <c r="B843" s="25" t="s">
        <v>343</v>
      </c>
      <c r="C843" s="45" t="s">
        <v>433</v>
      </c>
      <c r="D843">
        <f t="shared" ca="1" si="55"/>
        <v>0</v>
      </c>
      <c r="E843" t="str">
        <f ca="1">IF(D843=0,"",COUNTIF($D$2:D843,"&gt;0"))</f>
        <v/>
      </c>
      <c r="F843" s="24" t="str">
        <f t="shared" ca="1" si="60"/>
        <v/>
      </c>
    </row>
    <row r="844" spans="1:6">
      <c r="A844" s="41" t="s">
        <v>1262</v>
      </c>
      <c r="B844" s="25" t="s">
        <v>348</v>
      </c>
      <c r="C844" s="45" t="s">
        <v>464</v>
      </c>
      <c r="D844">
        <f t="shared" ca="1" si="55"/>
        <v>0</v>
      </c>
      <c r="E844" t="str">
        <f ca="1">IF(D844=0,"",COUNTIF($D$2:D844,"&gt;0"))</f>
        <v/>
      </c>
      <c r="F844" s="24" t="str">
        <f t="shared" ca="1" si="60"/>
        <v/>
      </c>
    </row>
    <row r="845" spans="1:6">
      <c r="A845" s="46" t="s">
        <v>1259</v>
      </c>
      <c r="B845" s="25" t="s">
        <v>343</v>
      </c>
      <c r="C845" s="45" t="s">
        <v>479</v>
      </c>
      <c r="D845">
        <f t="shared" ca="1" si="55"/>
        <v>0</v>
      </c>
      <c r="E845" t="str">
        <f ca="1">IF(D845=0,"",COUNTIF($D$2:D845,"&gt;0"))</f>
        <v/>
      </c>
      <c r="F845" s="24" t="str">
        <f t="shared" ca="1" si="60"/>
        <v/>
      </c>
    </row>
    <row r="846" spans="1:6">
      <c r="A846" s="44" t="s">
        <v>1263</v>
      </c>
      <c r="B846" s="25"/>
      <c r="C846" s="45"/>
      <c r="D846">
        <f t="shared" ca="1" si="55"/>
        <v>0</v>
      </c>
      <c r="E846" t="str">
        <f ca="1">IF(D846=0,"",COUNTIF($D$2:D846,"&gt;0"))</f>
        <v/>
      </c>
      <c r="F846" s="24" t="str">
        <f t="shared" ca="1" si="60"/>
        <v/>
      </c>
    </row>
    <row r="847" spans="1:6">
      <c r="A847" s="46" t="s">
        <v>1264</v>
      </c>
      <c r="B847" s="25" t="s">
        <v>343</v>
      </c>
      <c r="C847" s="45" t="s">
        <v>502</v>
      </c>
      <c r="D847">
        <f t="shared" ca="1" si="55"/>
        <v>0</v>
      </c>
      <c r="E847" t="str">
        <f ca="1">IF(D847=0,"",COUNTIF($D$2:D847,"&gt;0"))</f>
        <v/>
      </c>
      <c r="F847" s="24" t="str">
        <f t="shared" ca="1" si="60"/>
        <v/>
      </c>
    </row>
    <row r="848" spans="1:6">
      <c r="A848" s="41" t="s">
        <v>1266</v>
      </c>
      <c r="B848" s="25" t="s">
        <v>343</v>
      </c>
      <c r="C848" s="45" t="s">
        <v>405</v>
      </c>
      <c r="D848">
        <f t="shared" ca="1" si="55"/>
        <v>0</v>
      </c>
      <c r="E848" t="str">
        <f ca="1">IF(D848=0,"",COUNTIF($D$2:D848,"&gt;0"))</f>
        <v/>
      </c>
      <c r="F848" s="24" t="str">
        <f t="shared" ca="1" si="60"/>
        <v/>
      </c>
    </row>
    <row r="849" spans="1:6">
      <c r="A849" s="41" t="s">
        <v>1267</v>
      </c>
      <c r="B849" s="25" t="s">
        <v>343</v>
      </c>
      <c r="C849" s="45" t="s">
        <v>433</v>
      </c>
      <c r="D849">
        <f t="shared" ca="1" si="55"/>
        <v>0</v>
      </c>
      <c r="E849" t="str">
        <f ca="1">IF(D849=0,"",COUNTIF($D$2:D849,"&gt;0"))</f>
        <v/>
      </c>
      <c r="F849" s="24" t="str">
        <f t="shared" ca="1" si="60"/>
        <v/>
      </c>
    </row>
    <row r="850" spans="1:6">
      <c r="A850" s="41" t="s">
        <v>1268</v>
      </c>
      <c r="B850" s="25" t="s">
        <v>343</v>
      </c>
      <c r="C850" s="45" t="s">
        <v>464</v>
      </c>
      <c r="D850">
        <f t="shared" ca="1" si="55"/>
        <v>0</v>
      </c>
      <c r="E850" t="str">
        <f ca="1">IF(D850=0,"",COUNTIF($D$2:D850,"&gt;0"))</f>
        <v/>
      </c>
      <c r="F850" s="24" t="str">
        <f t="shared" ca="1" si="60"/>
        <v/>
      </c>
    </row>
    <row r="851" spans="1:6">
      <c r="A851" s="46" t="s">
        <v>1265</v>
      </c>
      <c r="B851" s="25" t="s">
        <v>531</v>
      </c>
      <c r="C851" s="45" t="s">
        <v>479</v>
      </c>
      <c r="D851">
        <f t="shared" ca="1" si="55"/>
        <v>0</v>
      </c>
      <c r="E851" t="str">
        <f ca="1">IF(D851=0,"",COUNTIF($D$2:D851,"&gt;0"))</f>
        <v/>
      </c>
      <c r="F851" s="24" t="str">
        <f t="shared" ca="1" si="60"/>
        <v/>
      </c>
    </row>
    <row r="852" spans="1:6">
      <c r="A852" s="44" t="s">
        <v>1269</v>
      </c>
      <c r="B852" s="25"/>
      <c r="C852" s="45"/>
      <c r="D852">
        <f t="shared" ca="1" si="55"/>
        <v>0</v>
      </c>
      <c r="E852" t="str">
        <f ca="1">IF(D852=0,"",COUNTIF($D$2:D852,"&gt;0"))</f>
        <v/>
      </c>
      <c r="F852" s="24" t="str">
        <f t="shared" ca="1" si="60"/>
        <v/>
      </c>
    </row>
    <row r="853" spans="1:6">
      <c r="A853" s="46" t="s">
        <v>1270</v>
      </c>
      <c r="B853" s="25" t="s">
        <v>343</v>
      </c>
      <c r="C853" s="45" t="s">
        <v>438</v>
      </c>
      <c r="D853">
        <f t="shared" ca="1" si="55"/>
        <v>0</v>
      </c>
      <c r="E853" t="str">
        <f ca="1">IF(D853=0,"",COUNTIF($D$2:D853,"&gt;0"))</f>
        <v/>
      </c>
      <c r="F853" s="24" t="str">
        <f t="shared" ca="1" si="60"/>
        <v/>
      </c>
    </row>
    <row r="854" spans="1:6">
      <c r="A854" s="41" t="s">
        <v>1272</v>
      </c>
      <c r="B854" s="25" t="s">
        <v>343</v>
      </c>
      <c r="C854" s="45" t="s">
        <v>472</v>
      </c>
      <c r="D854">
        <f t="shared" ca="1" si="55"/>
        <v>0</v>
      </c>
      <c r="E854" t="str">
        <f ca="1">IF(D854=0,"",COUNTIF($D$2:D854,"&gt;0"))</f>
        <v/>
      </c>
      <c r="F854" s="24" t="str">
        <f t="shared" ca="1" si="60"/>
        <v/>
      </c>
    </row>
    <row r="855" spans="1:6">
      <c r="A855" s="41" t="s">
        <v>1273</v>
      </c>
      <c r="B855" s="25" t="s">
        <v>348</v>
      </c>
      <c r="C855" s="45" t="s">
        <v>495</v>
      </c>
      <c r="D855">
        <f t="shared" ref="D855:D872" ca="1" si="61">IFERROR(SEARCH(INDIRECT(CELL("address")),A855),0)</f>
        <v>0</v>
      </c>
      <c r="E855" t="str">
        <f ca="1">IF(D855=0,"",COUNTIF($D$2:D855,"&gt;0"))</f>
        <v/>
      </c>
      <c r="F855" s="24" t="str">
        <f>IFERROR(INDEX(A:A,MATCH(ROW(#REF!),E:E,0)),"")</f>
        <v/>
      </c>
    </row>
    <row r="856" spans="1:6">
      <c r="A856" s="46" t="s">
        <v>1271</v>
      </c>
      <c r="B856" s="25" t="s">
        <v>343</v>
      </c>
      <c r="C856" s="45" t="s">
        <v>532</v>
      </c>
      <c r="D856">
        <f t="shared" ca="1" si="61"/>
        <v>0</v>
      </c>
      <c r="E856" t="str">
        <f ca="1">IF(D856=0,"",COUNTIF($D$2:D856,"&gt;0"))</f>
        <v/>
      </c>
      <c r="F856" s="24" t="str">
        <f t="shared" ref="F856:F872" ca="1" si="62">IFERROR(INDEX(A:A,MATCH(ROW(D855),E:E,0)),"")</f>
        <v/>
      </c>
    </row>
    <row r="857" spans="1:6">
      <c r="A857" s="44" t="s">
        <v>1274</v>
      </c>
      <c r="B857" s="25"/>
      <c r="C857" s="45"/>
      <c r="D857">
        <f t="shared" ca="1" si="61"/>
        <v>0</v>
      </c>
      <c r="E857" t="str">
        <f ca="1">IF(D857=0,"",COUNTIF($D$2:D857,"&gt;0"))</f>
        <v/>
      </c>
      <c r="F857" s="24" t="str">
        <f t="shared" ca="1" si="62"/>
        <v/>
      </c>
    </row>
    <row r="858" spans="1:6">
      <c r="A858" s="46" t="s">
        <v>1275</v>
      </c>
      <c r="B858" s="25" t="s">
        <v>343</v>
      </c>
      <c r="C858" s="45" t="s">
        <v>365</v>
      </c>
      <c r="D858">
        <f t="shared" ca="1" si="61"/>
        <v>0</v>
      </c>
      <c r="E858" t="str">
        <f ca="1">IF(D858=0,"",COUNTIF($D$2:D858,"&gt;0"))</f>
        <v/>
      </c>
      <c r="F858" s="24" t="str">
        <f t="shared" ca="1" si="62"/>
        <v/>
      </c>
    </row>
    <row r="859" spans="1:6">
      <c r="A859" s="41" t="s">
        <v>1277</v>
      </c>
      <c r="B859" s="25" t="s">
        <v>343</v>
      </c>
      <c r="C859" s="45" t="s">
        <v>345</v>
      </c>
      <c r="D859">
        <f t="shared" ca="1" si="61"/>
        <v>0</v>
      </c>
      <c r="E859" t="str">
        <f ca="1">IF(D859=0,"",COUNTIF($D$2:D859,"&gt;0"))</f>
        <v/>
      </c>
      <c r="F859" s="24" t="str">
        <f t="shared" ca="1" si="62"/>
        <v/>
      </c>
    </row>
    <row r="860" spans="1:6">
      <c r="A860" s="41" t="s">
        <v>1278</v>
      </c>
      <c r="B860" s="25" t="s">
        <v>343</v>
      </c>
      <c r="C860" s="45" t="s">
        <v>439</v>
      </c>
      <c r="D860">
        <f t="shared" ca="1" si="61"/>
        <v>0</v>
      </c>
      <c r="E860" t="str">
        <f ca="1">IF(D860=0,"",COUNTIF($D$2:D860,"&gt;0"))</f>
        <v/>
      </c>
      <c r="F860" s="24" t="str">
        <f t="shared" ca="1" si="62"/>
        <v/>
      </c>
    </row>
    <row r="861" spans="1:6">
      <c r="A861" s="41" t="s">
        <v>1279</v>
      </c>
      <c r="B861" s="25" t="s">
        <v>343</v>
      </c>
      <c r="C861" s="45" t="s">
        <v>405</v>
      </c>
      <c r="D861">
        <f t="shared" ca="1" si="61"/>
        <v>0</v>
      </c>
      <c r="E861" t="str">
        <f ca="1">IF(D861=0,"",COUNTIF($D$2:D861,"&gt;0"))</f>
        <v/>
      </c>
      <c r="F861" s="24" t="str">
        <f t="shared" ca="1" si="62"/>
        <v/>
      </c>
    </row>
    <row r="862" spans="1:6">
      <c r="A862" s="46" t="s">
        <v>1276</v>
      </c>
      <c r="B862" s="25" t="s">
        <v>343</v>
      </c>
      <c r="C862" s="45" t="s">
        <v>476</v>
      </c>
      <c r="D862">
        <f t="shared" ca="1" si="61"/>
        <v>0</v>
      </c>
      <c r="E862" t="str">
        <f ca="1">IF(D862=0,"",COUNTIF($D$2:D862,"&gt;0"))</f>
        <v/>
      </c>
      <c r="F862" s="24" t="str">
        <f t="shared" ca="1" si="62"/>
        <v/>
      </c>
    </row>
    <row r="863" spans="1:6">
      <c r="A863" s="44" t="s">
        <v>1280</v>
      </c>
      <c r="B863" s="25"/>
      <c r="C863" s="45"/>
      <c r="D863">
        <f t="shared" ca="1" si="61"/>
        <v>0</v>
      </c>
      <c r="E863" t="str">
        <f ca="1">IF(D863=0,"",COUNTIF($D$2:D863,"&gt;0"))</f>
        <v/>
      </c>
      <c r="F863" s="24" t="str">
        <f t="shared" ca="1" si="62"/>
        <v/>
      </c>
    </row>
    <row r="864" spans="1:6">
      <c r="A864" s="46" t="s">
        <v>1281</v>
      </c>
      <c r="B864" s="25" t="s">
        <v>343</v>
      </c>
      <c r="C864" s="45" t="s">
        <v>438</v>
      </c>
      <c r="D864">
        <f t="shared" ca="1" si="61"/>
        <v>0</v>
      </c>
      <c r="E864" t="str">
        <f ca="1">IF(D864=0,"",COUNTIF($D$2:D864,"&gt;0"))</f>
        <v/>
      </c>
      <c r="F864" s="24" t="str">
        <f t="shared" ca="1" si="62"/>
        <v/>
      </c>
    </row>
    <row r="865" spans="1:6">
      <c r="A865" s="41" t="s">
        <v>1283</v>
      </c>
      <c r="B865" s="25" t="s">
        <v>343</v>
      </c>
      <c r="C865" s="45" t="s">
        <v>439</v>
      </c>
      <c r="D865">
        <f t="shared" ca="1" si="61"/>
        <v>0</v>
      </c>
      <c r="E865" t="str">
        <f ca="1">IF(D865=0,"",COUNTIF($D$2:D865,"&gt;0"))</f>
        <v/>
      </c>
      <c r="F865" s="24" t="str">
        <f t="shared" ca="1" si="62"/>
        <v/>
      </c>
    </row>
    <row r="866" spans="1:6">
      <c r="A866" s="41" t="s">
        <v>1284</v>
      </c>
      <c r="B866" s="25" t="s">
        <v>343</v>
      </c>
      <c r="C866" s="45" t="s">
        <v>533</v>
      </c>
      <c r="D866">
        <f t="shared" ca="1" si="61"/>
        <v>0</v>
      </c>
      <c r="E866" t="str">
        <f ca="1">IF(D866=0,"",COUNTIF($D$2:D866,"&gt;0"))</f>
        <v/>
      </c>
      <c r="F866" s="24" t="str">
        <f t="shared" ca="1" si="62"/>
        <v/>
      </c>
    </row>
    <row r="867" spans="1:6">
      <c r="A867" s="41" t="s">
        <v>1285</v>
      </c>
      <c r="B867" s="25" t="s">
        <v>343</v>
      </c>
      <c r="C867" s="45" t="s">
        <v>468</v>
      </c>
      <c r="D867">
        <f t="shared" ca="1" si="61"/>
        <v>0</v>
      </c>
      <c r="E867" t="str">
        <f ca="1">IF(D867=0,"",COUNTIF($D$2:D867,"&gt;0"))</f>
        <v/>
      </c>
      <c r="F867" s="24" t="str">
        <f t="shared" ca="1" si="62"/>
        <v/>
      </c>
    </row>
    <row r="868" spans="1:6">
      <c r="A868" s="46" t="s">
        <v>1282</v>
      </c>
      <c r="B868" s="25" t="s">
        <v>343</v>
      </c>
      <c r="C868" s="45" t="s">
        <v>534</v>
      </c>
      <c r="D868">
        <f t="shared" ca="1" si="61"/>
        <v>0</v>
      </c>
      <c r="E868" t="str">
        <f ca="1">IF(D868=0,"",COUNTIF($D$2:D868,"&gt;0"))</f>
        <v/>
      </c>
      <c r="F868" s="24" t="str">
        <f t="shared" ca="1" si="62"/>
        <v/>
      </c>
    </row>
    <row r="869" spans="1:6">
      <c r="A869" s="44" t="s">
        <v>1286</v>
      </c>
      <c r="B869" s="25"/>
      <c r="C869" s="45"/>
      <c r="D869">
        <f t="shared" ca="1" si="61"/>
        <v>0</v>
      </c>
      <c r="E869" t="str">
        <f ca="1">IF(D869=0,"",COUNTIF($D$2:D869,"&gt;0"))</f>
        <v/>
      </c>
      <c r="F869" s="24" t="str">
        <f t="shared" ca="1" si="62"/>
        <v/>
      </c>
    </row>
    <row r="870" spans="1:6">
      <c r="A870" s="46" t="s">
        <v>1287</v>
      </c>
      <c r="B870" s="25" t="s">
        <v>343</v>
      </c>
      <c r="C870" s="45" t="s">
        <v>365</v>
      </c>
      <c r="D870">
        <f t="shared" ca="1" si="61"/>
        <v>0</v>
      </c>
      <c r="E870" t="str">
        <f ca="1">IF(D870=0,"",COUNTIF($D$2:D870,"&gt;0"))</f>
        <v/>
      </c>
      <c r="F870" s="24" t="str">
        <f t="shared" ca="1" si="62"/>
        <v/>
      </c>
    </row>
    <row r="871" spans="1:6">
      <c r="A871" s="41" t="s">
        <v>1289</v>
      </c>
      <c r="B871" s="25" t="s">
        <v>343</v>
      </c>
      <c r="C871" s="45" t="s">
        <v>472</v>
      </c>
      <c r="D871">
        <f t="shared" ca="1" si="61"/>
        <v>0</v>
      </c>
      <c r="E871" t="str">
        <f ca="1">IF(D871=0,"",COUNTIF($D$2:D871,"&gt;0"))</f>
        <v/>
      </c>
      <c r="F871" s="24" t="str">
        <f t="shared" ca="1" si="62"/>
        <v/>
      </c>
    </row>
    <row r="872" spans="1:6">
      <c r="A872" s="41" t="s">
        <v>1290</v>
      </c>
      <c r="B872" s="25" t="s">
        <v>343</v>
      </c>
      <c r="C872" s="45" t="s">
        <v>535</v>
      </c>
      <c r="D872">
        <f t="shared" ca="1" si="61"/>
        <v>0</v>
      </c>
      <c r="E872" t="str">
        <f ca="1">IF(D872=0,"",COUNTIF($D$2:D1109,"&gt;0"))</f>
        <v/>
      </c>
      <c r="F872" s="24" t="str">
        <f t="shared" ca="1" si="62"/>
        <v/>
      </c>
    </row>
    <row r="873" spans="1:6">
      <c r="A873" s="41" t="s">
        <v>1291</v>
      </c>
      <c r="B873" s="25" t="s">
        <v>343</v>
      </c>
      <c r="C873" s="45" t="s">
        <v>518</v>
      </c>
      <c r="D873">
        <f t="shared" ca="1" si="55"/>
        <v>0</v>
      </c>
      <c r="E873" t="str">
        <f ca="1">IF(D873=0,"",COUNTIF($D$2:D873,"&gt;0"))</f>
        <v/>
      </c>
      <c r="F873" s="24" t="str">
        <f ca="1">IFERROR(INDEX(A:A,MATCH(ROW(D854),E:E,0)),"")</f>
        <v/>
      </c>
    </row>
    <row r="874" spans="1:6">
      <c r="A874" s="46" t="s">
        <v>1288</v>
      </c>
      <c r="B874" s="25" t="s">
        <v>343</v>
      </c>
      <c r="C874" s="45" t="s">
        <v>479</v>
      </c>
      <c r="D874">
        <f t="shared" ca="1" si="55"/>
        <v>0</v>
      </c>
      <c r="E874" t="str">
        <f ca="1">IF(D874=0,"",COUNTIF($D$2:D874,"&gt;0"))</f>
        <v/>
      </c>
      <c r="F874" s="24" t="str">
        <f t="shared" ref="F874:F905" ca="1" si="63">IFERROR(INDEX(A:A,MATCH(ROW(D873),E:E,0)),"")</f>
        <v/>
      </c>
    </row>
    <row r="875" spans="1:6">
      <c r="A875" s="44" t="s">
        <v>1292</v>
      </c>
      <c r="B875" s="25"/>
      <c r="C875" s="45"/>
      <c r="D875">
        <f t="shared" ca="1" si="55"/>
        <v>0</v>
      </c>
      <c r="E875" t="str">
        <f ca="1">IF(D875=0,"",COUNTIF($D$2:D875,"&gt;0"))</f>
        <v/>
      </c>
      <c r="F875" s="24" t="str">
        <f t="shared" ca="1" si="63"/>
        <v/>
      </c>
    </row>
    <row r="876" spans="1:6">
      <c r="A876" s="46" t="s">
        <v>1293</v>
      </c>
      <c r="B876" s="25" t="s">
        <v>343</v>
      </c>
      <c r="C876" s="45" t="s">
        <v>365</v>
      </c>
      <c r="D876">
        <f t="shared" ca="1" si="55"/>
        <v>0</v>
      </c>
      <c r="E876" t="str">
        <f ca="1">IF(D876=0,"",COUNTIF($D$2:D876,"&gt;0"))</f>
        <v/>
      </c>
      <c r="F876" s="24" t="str">
        <f t="shared" ca="1" si="63"/>
        <v/>
      </c>
    </row>
    <row r="877" spans="1:6">
      <c r="A877" s="41" t="s">
        <v>1294</v>
      </c>
      <c r="B877" s="25" t="s">
        <v>343</v>
      </c>
      <c r="C877" s="45" t="s">
        <v>536</v>
      </c>
      <c r="D877">
        <f t="shared" ca="1" si="55"/>
        <v>0</v>
      </c>
      <c r="E877" t="str">
        <f ca="1">IF(D877=0,"",COUNTIF($D$2:D877,"&gt;0"))</f>
        <v/>
      </c>
      <c r="F877" s="24" t="str">
        <f t="shared" ca="1" si="63"/>
        <v/>
      </c>
    </row>
    <row r="878" spans="1:6">
      <c r="A878" s="41" t="s">
        <v>1296</v>
      </c>
      <c r="B878" s="25" t="s">
        <v>343</v>
      </c>
      <c r="C878" s="45" t="s">
        <v>465</v>
      </c>
      <c r="D878">
        <f t="shared" ca="1" si="55"/>
        <v>0</v>
      </c>
      <c r="E878" t="str">
        <f ca="1">IF(D878=0,"",COUNTIF($D$2:D878,"&gt;0"))</f>
        <v/>
      </c>
      <c r="F878" s="24" t="str">
        <f t="shared" ca="1" si="63"/>
        <v/>
      </c>
    </row>
    <row r="879" spans="1:6">
      <c r="A879" s="41" t="s">
        <v>1297</v>
      </c>
      <c r="B879" s="25" t="s">
        <v>343</v>
      </c>
      <c r="C879" s="45" t="s">
        <v>476</v>
      </c>
      <c r="D879">
        <f t="shared" ca="1" si="55"/>
        <v>0</v>
      </c>
      <c r="E879" t="str">
        <f ca="1">IF(D879=0,"",COUNTIF($D$2:D879,"&gt;0"))</f>
        <v/>
      </c>
      <c r="F879" s="24" t="str">
        <f t="shared" ca="1" si="63"/>
        <v/>
      </c>
    </row>
    <row r="880" spans="1:6">
      <c r="A880" s="41" t="s">
        <v>1298</v>
      </c>
      <c r="B880" s="25" t="s">
        <v>343</v>
      </c>
      <c r="C880" s="45" t="s">
        <v>537</v>
      </c>
      <c r="D880">
        <f t="shared" ca="1" si="55"/>
        <v>0</v>
      </c>
      <c r="E880" t="str">
        <f ca="1">IF(D880=0,"",COUNTIF($D$2:D880,"&gt;0"))</f>
        <v/>
      </c>
      <c r="F880" s="24" t="str">
        <f t="shared" ca="1" si="63"/>
        <v/>
      </c>
    </row>
    <row r="881" spans="1:6">
      <c r="A881" s="41" t="s">
        <v>1299</v>
      </c>
      <c r="B881" s="25" t="s">
        <v>343</v>
      </c>
      <c r="C881" s="45" t="s">
        <v>457</v>
      </c>
      <c r="D881">
        <f t="shared" ca="1" si="55"/>
        <v>0</v>
      </c>
      <c r="E881" t="str">
        <f ca="1">IF(D881=0,"",COUNTIF($D$2:D881,"&gt;0"))</f>
        <v/>
      </c>
      <c r="F881" s="24" t="str">
        <f t="shared" ca="1" si="63"/>
        <v/>
      </c>
    </row>
    <row r="882" spans="1:6">
      <c r="A882" s="41" t="s">
        <v>1300</v>
      </c>
      <c r="B882" s="25" t="s">
        <v>343</v>
      </c>
      <c r="C882" s="45" t="s">
        <v>538</v>
      </c>
      <c r="D882">
        <f t="shared" ca="1" si="55"/>
        <v>0</v>
      </c>
      <c r="E882" t="str">
        <f ca="1">IF(D882=0,"",COUNTIF($D$2:D882,"&gt;0"))</f>
        <v/>
      </c>
      <c r="F882" s="24" t="str">
        <f t="shared" ca="1" si="63"/>
        <v/>
      </c>
    </row>
    <row r="883" spans="1:6">
      <c r="A883" s="46" t="s">
        <v>1295</v>
      </c>
      <c r="B883" s="25" t="s">
        <v>343</v>
      </c>
      <c r="C883" s="45" t="s">
        <v>463</v>
      </c>
      <c r="D883">
        <f t="shared" ca="1" si="55"/>
        <v>0</v>
      </c>
      <c r="E883" t="str">
        <f ca="1">IF(D883=0,"",COUNTIF($D$2:D883,"&gt;0"))</f>
        <v/>
      </c>
      <c r="F883" s="24" t="str">
        <f t="shared" ca="1" si="63"/>
        <v/>
      </c>
    </row>
    <row r="884" spans="1:6">
      <c r="A884" s="44" t="s">
        <v>539</v>
      </c>
      <c r="B884" s="25"/>
      <c r="C884" s="45"/>
      <c r="D884">
        <f t="shared" ca="1" si="55"/>
        <v>0</v>
      </c>
      <c r="E884" t="str">
        <f ca="1">IF(D884=0,"",COUNTIF($D$2:D884,"&gt;0"))</f>
        <v/>
      </c>
      <c r="F884" s="24" t="str">
        <f t="shared" ca="1" si="63"/>
        <v/>
      </c>
    </row>
    <row r="885" spans="1:6">
      <c r="A885" s="46" t="s">
        <v>1301</v>
      </c>
      <c r="B885" s="25" t="s">
        <v>343</v>
      </c>
      <c r="C885" s="45" t="s">
        <v>438</v>
      </c>
      <c r="D885">
        <f t="shared" ca="1" si="55"/>
        <v>0</v>
      </c>
      <c r="E885" t="str">
        <f ca="1">IF(D885=0,"",COUNTIF($D$2:D885,"&gt;0"))</f>
        <v/>
      </c>
      <c r="F885" s="24" t="str">
        <f t="shared" ca="1" si="63"/>
        <v/>
      </c>
    </row>
    <row r="886" spans="1:6">
      <c r="A886" s="41" t="s">
        <v>1303</v>
      </c>
      <c r="B886" s="25" t="s">
        <v>343</v>
      </c>
      <c r="C886" s="45" t="s">
        <v>345</v>
      </c>
      <c r="D886">
        <f t="shared" ca="1" si="55"/>
        <v>0</v>
      </c>
      <c r="E886" t="str">
        <f ca="1">IF(D886=0,"",COUNTIF($D$2:D886,"&gt;0"))</f>
        <v/>
      </c>
      <c r="F886" s="24" t="str">
        <f t="shared" ca="1" si="63"/>
        <v/>
      </c>
    </row>
    <row r="887" spans="1:6">
      <c r="A887" s="41" t="s">
        <v>1304</v>
      </c>
      <c r="B887" s="25" t="s">
        <v>343</v>
      </c>
      <c r="C887" s="45" t="s">
        <v>500</v>
      </c>
      <c r="D887">
        <f t="shared" ca="1" si="55"/>
        <v>0</v>
      </c>
      <c r="E887" t="str">
        <f ca="1">IF(D887=0,"",COUNTIF($D$2:D887,"&gt;0"))</f>
        <v/>
      </c>
      <c r="F887" s="24" t="str">
        <f t="shared" ca="1" si="63"/>
        <v/>
      </c>
    </row>
    <row r="888" spans="1:6">
      <c r="A888" s="41" t="s">
        <v>1305</v>
      </c>
      <c r="B888" s="25" t="s">
        <v>343</v>
      </c>
      <c r="C888" s="45" t="s">
        <v>471</v>
      </c>
      <c r="D888">
        <f t="shared" ca="1" si="55"/>
        <v>0</v>
      </c>
      <c r="E888" t="str">
        <f ca="1">IF(D888=0,"",COUNTIF($D$2:D888,"&gt;0"))</f>
        <v/>
      </c>
      <c r="F888" s="24" t="str">
        <f t="shared" ca="1" si="63"/>
        <v/>
      </c>
    </row>
    <row r="889" spans="1:6">
      <c r="A889" s="41" t="s">
        <v>1306</v>
      </c>
      <c r="B889" s="25" t="s">
        <v>343</v>
      </c>
      <c r="C889" s="45" t="s">
        <v>461</v>
      </c>
      <c r="D889">
        <f t="shared" ca="1" si="55"/>
        <v>0</v>
      </c>
      <c r="E889" t="str">
        <f ca="1">IF(D889=0,"",COUNTIF($D$2:D889,"&gt;0"))</f>
        <v/>
      </c>
      <c r="F889" s="24" t="str">
        <f t="shared" ca="1" si="63"/>
        <v/>
      </c>
    </row>
    <row r="890" spans="1:6">
      <c r="A890" s="46" t="s">
        <v>1302</v>
      </c>
      <c r="B890" s="25" t="s">
        <v>343</v>
      </c>
      <c r="C890" s="45" t="s">
        <v>476</v>
      </c>
      <c r="D890">
        <f t="shared" ca="1" si="55"/>
        <v>0</v>
      </c>
      <c r="E890" t="str">
        <f ca="1">IF(D890=0,"",COUNTIF($D$2:D890,"&gt;0"))</f>
        <v/>
      </c>
      <c r="F890" s="24" t="str">
        <f t="shared" ca="1" si="63"/>
        <v/>
      </c>
    </row>
    <row r="891" spans="1:6">
      <c r="A891" s="44" t="s">
        <v>1307</v>
      </c>
      <c r="B891" s="25"/>
      <c r="C891" s="45"/>
      <c r="D891">
        <f t="shared" ref="D891:D954" ca="1" si="64">IFERROR(SEARCH(INDIRECT(CELL("address")),A891),0)</f>
        <v>0</v>
      </c>
      <c r="E891" t="str">
        <f ca="1">IF(D891=0,"",COUNTIF($D$2:D891,"&gt;0"))</f>
        <v/>
      </c>
      <c r="F891" s="24" t="str">
        <f t="shared" ca="1" si="63"/>
        <v/>
      </c>
    </row>
    <row r="892" spans="1:6">
      <c r="A892" s="41" t="s">
        <v>1308</v>
      </c>
      <c r="B892" s="25" t="s">
        <v>343</v>
      </c>
      <c r="C892" s="45" t="s">
        <v>465</v>
      </c>
      <c r="D892">
        <f t="shared" ca="1" si="64"/>
        <v>0</v>
      </c>
      <c r="E892" t="str">
        <f ca="1">IF(D892=0,"",COUNTIF($D$2:D892,"&gt;0"))</f>
        <v/>
      </c>
      <c r="F892" s="24" t="str">
        <f t="shared" ca="1" si="63"/>
        <v/>
      </c>
    </row>
    <row r="893" spans="1:6">
      <c r="A893" s="46" t="s">
        <v>1310</v>
      </c>
      <c r="B893" s="25" t="s">
        <v>343</v>
      </c>
      <c r="C893" s="45" t="s">
        <v>540</v>
      </c>
      <c r="D893">
        <f t="shared" ca="1" si="64"/>
        <v>0</v>
      </c>
      <c r="E893" t="str">
        <f ca="1">IF(D893=0,"",COUNTIF($D$2:D893,"&gt;0"))</f>
        <v/>
      </c>
      <c r="F893" s="24" t="str">
        <f t="shared" ca="1" si="63"/>
        <v/>
      </c>
    </row>
    <row r="894" spans="1:6">
      <c r="A894" s="46" t="s">
        <v>1311</v>
      </c>
      <c r="B894" s="25" t="s">
        <v>343</v>
      </c>
      <c r="C894" s="45" t="s">
        <v>541</v>
      </c>
      <c r="D894">
        <f t="shared" ca="1" si="64"/>
        <v>0</v>
      </c>
      <c r="E894" t="str">
        <f ca="1">IF(D894=0,"",COUNTIF($D$2:D894,"&gt;0"))</f>
        <v/>
      </c>
      <c r="F894" s="24" t="str">
        <f t="shared" ca="1" si="63"/>
        <v/>
      </c>
    </row>
    <row r="895" spans="1:6">
      <c r="A895" s="46" t="s">
        <v>1312</v>
      </c>
      <c r="B895" s="25" t="s">
        <v>343</v>
      </c>
      <c r="C895" s="45" t="s">
        <v>542</v>
      </c>
      <c r="D895">
        <f t="shared" ca="1" si="64"/>
        <v>0</v>
      </c>
      <c r="E895" t="str">
        <f ca="1">IF(D895=0,"",COUNTIF($D$2:D895,"&gt;0"))</f>
        <v/>
      </c>
      <c r="F895" s="24" t="str">
        <f t="shared" ca="1" si="63"/>
        <v/>
      </c>
    </row>
    <row r="896" spans="1:6">
      <c r="A896" s="46" t="s">
        <v>1313</v>
      </c>
      <c r="B896" s="25" t="s">
        <v>343</v>
      </c>
      <c r="C896" s="45" t="s">
        <v>543</v>
      </c>
      <c r="D896">
        <f t="shared" ca="1" si="64"/>
        <v>0</v>
      </c>
      <c r="E896" t="str">
        <f ca="1">IF(D896=0,"",COUNTIF($D$2:D896,"&gt;0"))</f>
        <v/>
      </c>
      <c r="F896" s="24" t="str">
        <f t="shared" ca="1" si="63"/>
        <v/>
      </c>
    </row>
    <row r="897" spans="1:6">
      <c r="A897" s="46" t="s">
        <v>1309</v>
      </c>
      <c r="B897" s="25" t="s">
        <v>343</v>
      </c>
      <c r="C897" s="45" t="s">
        <v>544</v>
      </c>
      <c r="D897">
        <f t="shared" ca="1" si="64"/>
        <v>0</v>
      </c>
      <c r="E897" t="str">
        <f ca="1">IF(D897=0,"",COUNTIF($D$2:D897,"&gt;0"))</f>
        <v/>
      </c>
      <c r="F897" s="24" t="str">
        <f t="shared" ca="1" si="63"/>
        <v/>
      </c>
    </row>
    <row r="898" spans="1:6">
      <c r="A898" s="44" t="s">
        <v>1314</v>
      </c>
      <c r="B898" s="25"/>
      <c r="C898" s="45"/>
      <c r="D898">
        <f t="shared" ca="1" si="64"/>
        <v>0</v>
      </c>
      <c r="E898" t="str">
        <f ca="1">IF(D898=0,"",COUNTIF($D$2:D898,"&gt;0"))</f>
        <v/>
      </c>
      <c r="F898" s="24" t="str">
        <f t="shared" ca="1" si="63"/>
        <v/>
      </c>
    </row>
    <row r="899" spans="1:6">
      <c r="A899" s="46" t="s">
        <v>1315</v>
      </c>
      <c r="B899" s="25" t="s">
        <v>343</v>
      </c>
      <c r="C899" s="45" t="s">
        <v>438</v>
      </c>
      <c r="D899">
        <f t="shared" ca="1" si="64"/>
        <v>0</v>
      </c>
      <c r="E899" t="str">
        <f ca="1">IF(D899=0,"",COUNTIF($D$2:D899,"&gt;0"))</f>
        <v/>
      </c>
      <c r="F899" s="24" t="str">
        <f t="shared" ca="1" si="63"/>
        <v/>
      </c>
    </row>
    <row r="900" spans="1:6">
      <c r="A900" s="41" t="s">
        <v>1316</v>
      </c>
      <c r="B900" s="25" t="s">
        <v>343</v>
      </c>
      <c r="C900" s="45" t="s">
        <v>545</v>
      </c>
      <c r="D900">
        <f t="shared" ca="1" si="64"/>
        <v>0</v>
      </c>
      <c r="E900" t="str">
        <f ca="1">IF(D900=0,"",COUNTIF($D$2:D900,"&gt;0"))</f>
        <v/>
      </c>
      <c r="F900" s="24" t="str">
        <f t="shared" ca="1" si="63"/>
        <v/>
      </c>
    </row>
    <row r="901" spans="1:6">
      <c r="A901" s="41" t="s">
        <v>1318</v>
      </c>
      <c r="B901" s="25" t="s">
        <v>343</v>
      </c>
      <c r="C901" s="45" t="s">
        <v>546</v>
      </c>
      <c r="D901">
        <f t="shared" ca="1" si="64"/>
        <v>0</v>
      </c>
      <c r="E901" t="str">
        <f ca="1">IF(D901=0,"",COUNTIF($D$2:D901,"&gt;0"))</f>
        <v/>
      </c>
      <c r="F901" s="24" t="str">
        <f t="shared" ca="1" si="63"/>
        <v/>
      </c>
    </row>
    <row r="902" spans="1:6">
      <c r="A902" s="41" t="s">
        <v>1319</v>
      </c>
      <c r="B902" s="25" t="s">
        <v>348</v>
      </c>
      <c r="C902" s="45" t="s">
        <v>514</v>
      </c>
      <c r="D902">
        <f t="shared" ca="1" si="64"/>
        <v>0</v>
      </c>
      <c r="E902" t="str">
        <f ca="1">IF(D902=0,"",COUNTIF($D$2:D902,"&gt;0"))</f>
        <v/>
      </c>
      <c r="F902" s="24" t="str">
        <f t="shared" ca="1" si="63"/>
        <v/>
      </c>
    </row>
    <row r="903" spans="1:6">
      <c r="A903" s="46" t="s">
        <v>1317</v>
      </c>
      <c r="B903" s="25" t="s">
        <v>343</v>
      </c>
      <c r="C903" s="45" t="s">
        <v>547</v>
      </c>
      <c r="D903">
        <f t="shared" ca="1" si="64"/>
        <v>0</v>
      </c>
      <c r="E903" t="str">
        <f ca="1">IF(D903=0,"",COUNTIF($D$2:D903,"&gt;0"))</f>
        <v/>
      </c>
      <c r="F903" s="24" t="str">
        <f t="shared" ca="1" si="63"/>
        <v/>
      </c>
    </row>
    <row r="904" spans="1:6">
      <c r="A904" s="44" t="s">
        <v>1320</v>
      </c>
      <c r="B904" s="25"/>
      <c r="C904" s="45"/>
      <c r="D904">
        <f t="shared" ca="1" si="64"/>
        <v>0</v>
      </c>
      <c r="E904" t="str">
        <f ca="1">IF(D904=0,"",COUNTIF($D$2:D904,"&gt;0"))</f>
        <v/>
      </c>
      <c r="F904" s="24" t="str">
        <f t="shared" ca="1" si="63"/>
        <v/>
      </c>
    </row>
    <row r="905" spans="1:6">
      <c r="A905" s="46" t="s">
        <v>1321</v>
      </c>
      <c r="B905" s="25" t="s">
        <v>343</v>
      </c>
      <c r="C905" s="45" t="s">
        <v>365</v>
      </c>
      <c r="D905">
        <f t="shared" ca="1" si="64"/>
        <v>0</v>
      </c>
      <c r="E905" t="str">
        <f ca="1">IF(D905=0,"",COUNTIF($D$2:D905,"&gt;0"))</f>
        <v/>
      </c>
      <c r="F905" s="24" t="str">
        <f t="shared" ca="1" si="63"/>
        <v/>
      </c>
    </row>
    <row r="906" spans="1:6">
      <c r="A906" s="41" t="s">
        <v>1322</v>
      </c>
      <c r="B906" s="25" t="s">
        <v>348</v>
      </c>
      <c r="C906" s="45" t="s">
        <v>344</v>
      </c>
      <c r="D906">
        <f t="shared" ca="1" si="64"/>
        <v>0</v>
      </c>
      <c r="E906" t="str">
        <f ca="1">IF(D906=0,"",COUNTIF($D$2:D906,"&gt;0"))</f>
        <v/>
      </c>
      <c r="F906" s="24" t="str">
        <f t="shared" ref="F906:F937" ca="1" si="65">IFERROR(INDEX(A:A,MATCH(ROW(D905),E:E,0)),"")</f>
        <v/>
      </c>
    </row>
    <row r="907" spans="1:6">
      <c r="A907" s="41" t="s">
        <v>1324</v>
      </c>
      <c r="B907" s="25" t="s">
        <v>343</v>
      </c>
      <c r="C907" s="45" t="s">
        <v>502</v>
      </c>
      <c r="D907">
        <f t="shared" ca="1" si="64"/>
        <v>0</v>
      </c>
      <c r="E907" t="str">
        <f ca="1">IF(D907=0,"",COUNTIF($D$2:D907,"&gt;0"))</f>
        <v/>
      </c>
      <c r="F907" s="24" t="str">
        <f t="shared" ca="1" si="65"/>
        <v/>
      </c>
    </row>
    <row r="908" spans="1:6">
      <c r="A908" s="41" t="s">
        <v>1325</v>
      </c>
      <c r="B908" s="25" t="s">
        <v>343</v>
      </c>
      <c r="C908" s="45" t="s">
        <v>405</v>
      </c>
      <c r="D908">
        <f t="shared" ca="1" si="64"/>
        <v>0</v>
      </c>
      <c r="E908" t="str">
        <f ca="1">IF(D908=0,"",COUNTIF($D$2:D908,"&gt;0"))</f>
        <v/>
      </c>
      <c r="F908" s="24" t="str">
        <f t="shared" ca="1" si="65"/>
        <v/>
      </c>
    </row>
    <row r="909" spans="1:6">
      <c r="A909" s="41" t="s">
        <v>1326</v>
      </c>
      <c r="B909" s="25" t="s">
        <v>343</v>
      </c>
      <c r="C909" s="45" t="s">
        <v>476</v>
      </c>
      <c r="D909">
        <f t="shared" ca="1" si="64"/>
        <v>0</v>
      </c>
      <c r="E909" t="str">
        <f ca="1">IF(D909=0,"",COUNTIF($D$2:D909,"&gt;0"))</f>
        <v/>
      </c>
      <c r="F909" s="24" t="str">
        <f t="shared" ca="1" si="65"/>
        <v/>
      </c>
    </row>
    <row r="910" spans="1:6">
      <c r="A910" s="41" t="s">
        <v>1327</v>
      </c>
      <c r="B910" s="25" t="s">
        <v>343</v>
      </c>
      <c r="C910" s="45" t="s">
        <v>505</v>
      </c>
      <c r="D910">
        <f t="shared" ca="1" si="64"/>
        <v>0</v>
      </c>
      <c r="E910" t="str">
        <f ca="1">IF(D910=0,"",COUNTIF($D$2:D910,"&gt;0"))</f>
        <v/>
      </c>
      <c r="F910" s="24" t="str">
        <f t="shared" ca="1" si="65"/>
        <v/>
      </c>
    </row>
    <row r="911" spans="1:6">
      <c r="A911" s="41" t="s">
        <v>1328</v>
      </c>
      <c r="B911" s="25" t="s">
        <v>343</v>
      </c>
      <c r="C911" s="45" t="s">
        <v>433</v>
      </c>
      <c r="D911">
        <f t="shared" ca="1" si="64"/>
        <v>0</v>
      </c>
      <c r="E911" t="str">
        <f ca="1">IF(D911=0,"",COUNTIF($D$2:D911,"&gt;0"))</f>
        <v/>
      </c>
      <c r="F911" s="24" t="str">
        <f t="shared" ca="1" si="65"/>
        <v/>
      </c>
    </row>
    <row r="912" spans="1:6">
      <c r="A912" s="46" t="s">
        <v>1323</v>
      </c>
      <c r="B912" s="25" t="s">
        <v>343</v>
      </c>
      <c r="C912" s="45" t="s">
        <v>534</v>
      </c>
      <c r="D912">
        <f t="shared" ca="1" si="64"/>
        <v>0</v>
      </c>
      <c r="E912" t="str">
        <f ca="1">IF(D912=0,"",COUNTIF($D$2:D912,"&gt;0"))</f>
        <v/>
      </c>
      <c r="F912" s="24" t="str">
        <f t="shared" ca="1" si="65"/>
        <v/>
      </c>
    </row>
    <row r="913" spans="1:6">
      <c r="A913" s="44" t="s">
        <v>1329</v>
      </c>
      <c r="B913" s="25"/>
      <c r="C913" s="45"/>
      <c r="D913">
        <f t="shared" ca="1" si="64"/>
        <v>0</v>
      </c>
      <c r="E913" t="str">
        <f ca="1">IF(D913=0,"",COUNTIF($D$2:D913,"&gt;0"))</f>
        <v/>
      </c>
      <c r="F913" s="24" t="str">
        <f t="shared" ca="1" si="65"/>
        <v/>
      </c>
    </row>
    <row r="914" spans="1:6">
      <c r="A914" s="46" t="s">
        <v>1330</v>
      </c>
      <c r="B914" s="25" t="s">
        <v>343</v>
      </c>
      <c r="C914" s="45" t="s">
        <v>345</v>
      </c>
      <c r="D914">
        <f t="shared" ca="1" si="64"/>
        <v>0</v>
      </c>
      <c r="E914" t="str">
        <f ca="1">IF(D914=0,"",COUNTIF($D$2:D914,"&gt;0"))</f>
        <v/>
      </c>
      <c r="F914" s="24" t="str">
        <f t="shared" ca="1" si="65"/>
        <v/>
      </c>
    </row>
    <row r="915" spans="1:6">
      <c r="A915" s="41" t="s">
        <v>1331</v>
      </c>
      <c r="B915" s="25" t="s">
        <v>348</v>
      </c>
      <c r="C915" s="45" t="s">
        <v>405</v>
      </c>
      <c r="D915">
        <f t="shared" ca="1" si="64"/>
        <v>0</v>
      </c>
      <c r="E915" t="str">
        <f ca="1">IF(D915=0,"",COUNTIF($D$2:D915,"&gt;0"))</f>
        <v/>
      </c>
      <c r="F915" s="24" t="str">
        <f t="shared" ca="1" si="65"/>
        <v/>
      </c>
    </row>
    <row r="916" spans="1:6">
      <c r="A916" s="41" t="s">
        <v>1333</v>
      </c>
      <c r="B916" s="25" t="s">
        <v>343</v>
      </c>
      <c r="C916" s="45" t="s">
        <v>456</v>
      </c>
      <c r="D916">
        <f t="shared" ca="1" si="64"/>
        <v>0</v>
      </c>
      <c r="E916" t="str">
        <f ca="1">IF(D916=0,"",COUNTIF($D$2:D916,"&gt;0"))</f>
        <v/>
      </c>
      <c r="F916" s="24" t="str">
        <f t="shared" ca="1" si="65"/>
        <v/>
      </c>
    </row>
    <row r="917" spans="1:6">
      <c r="A917" s="41" t="s">
        <v>1334</v>
      </c>
      <c r="B917" s="25" t="s">
        <v>343</v>
      </c>
      <c r="C917" s="45" t="s">
        <v>462</v>
      </c>
      <c r="D917">
        <f t="shared" ca="1" si="64"/>
        <v>0</v>
      </c>
      <c r="E917" t="str">
        <f ca="1">IF(D917=0,"",COUNTIF($D$2:D917,"&gt;0"))</f>
        <v/>
      </c>
      <c r="F917" s="24" t="str">
        <f t="shared" ca="1" si="65"/>
        <v/>
      </c>
    </row>
    <row r="918" spans="1:6">
      <c r="A918" s="41" t="s">
        <v>1335</v>
      </c>
      <c r="B918" s="25" t="s">
        <v>343</v>
      </c>
      <c r="C918" s="45" t="s">
        <v>548</v>
      </c>
      <c r="D918">
        <f t="shared" ca="1" si="64"/>
        <v>0</v>
      </c>
      <c r="E918" t="str">
        <f ca="1">IF(D918=0,"",COUNTIF($D$2:D918,"&gt;0"))</f>
        <v/>
      </c>
      <c r="F918" s="24" t="str">
        <f t="shared" ca="1" si="65"/>
        <v/>
      </c>
    </row>
    <row r="919" spans="1:6">
      <c r="A919" s="41" t="s">
        <v>1336</v>
      </c>
      <c r="B919" s="25" t="s">
        <v>343</v>
      </c>
      <c r="C919" s="45" t="s">
        <v>434</v>
      </c>
      <c r="D919">
        <f t="shared" ca="1" si="64"/>
        <v>0</v>
      </c>
      <c r="E919" t="str">
        <f ca="1">IF(D919=0,"",COUNTIF($D$2:D919,"&gt;0"))</f>
        <v/>
      </c>
      <c r="F919" s="24" t="str">
        <f t="shared" ca="1" si="65"/>
        <v/>
      </c>
    </row>
    <row r="920" spans="1:6">
      <c r="A920" s="41" t="s">
        <v>1337</v>
      </c>
      <c r="B920" s="25" t="s">
        <v>343</v>
      </c>
      <c r="C920" s="45" t="s">
        <v>463</v>
      </c>
      <c r="D920">
        <f t="shared" ca="1" si="64"/>
        <v>0</v>
      </c>
      <c r="E920" t="str">
        <f ca="1">IF(D920=0,"",COUNTIF($D$2:D920,"&gt;0"))</f>
        <v/>
      </c>
      <c r="F920" s="24" t="str">
        <f t="shared" ca="1" si="65"/>
        <v/>
      </c>
    </row>
    <row r="921" spans="1:6">
      <c r="A921" s="46" t="s">
        <v>1332</v>
      </c>
      <c r="B921" s="25" t="s">
        <v>343</v>
      </c>
      <c r="C921" s="45" t="s">
        <v>485</v>
      </c>
      <c r="D921">
        <f t="shared" ca="1" si="64"/>
        <v>0</v>
      </c>
      <c r="E921" t="str">
        <f ca="1">IF(D921=0,"",COUNTIF($D$2:D921,"&gt;0"))</f>
        <v/>
      </c>
      <c r="F921" s="24" t="str">
        <f t="shared" ca="1" si="65"/>
        <v/>
      </c>
    </row>
    <row r="922" spans="1:6">
      <c r="A922" s="44" t="s">
        <v>1338</v>
      </c>
      <c r="B922" s="25"/>
      <c r="C922" s="45"/>
      <c r="D922">
        <f t="shared" ca="1" si="64"/>
        <v>0</v>
      </c>
      <c r="E922" t="str">
        <f ca="1">IF(D922=0,"",COUNTIF($D$2:D922,"&gt;0"))</f>
        <v/>
      </c>
      <c r="F922" s="24" t="str">
        <f t="shared" ca="1" si="65"/>
        <v/>
      </c>
    </row>
    <row r="923" spans="1:6">
      <c r="A923" s="46" t="s">
        <v>1339</v>
      </c>
      <c r="B923" s="25" t="s">
        <v>343</v>
      </c>
      <c r="C923" s="45" t="s">
        <v>502</v>
      </c>
      <c r="D923">
        <f t="shared" ca="1" si="64"/>
        <v>0</v>
      </c>
      <c r="E923" t="str">
        <f ca="1">IF(D923=0,"",COUNTIF($D$2:D923,"&gt;0"))</f>
        <v/>
      </c>
      <c r="F923" s="24" t="str">
        <f t="shared" ca="1" si="65"/>
        <v/>
      </c>
    </row>
    <row r="924" spans="1:6">
      <c r="A924" s="41" t="s">
        <v>1340</v>
      </c>
      <c r="B924" s="25" t="s">
        <v>343</v>
      </c>
      <c r="C924" s="45" t="s">
        <v>405</v>
      </c>
      <c r="D924">
        <f t="shared" ca="1" si="64"/>
        <v>0</v>
      </c>
      <c r="E924" t="str">
        <f ca="1">IF(D924=0,"",COUNTIF($D$2:D924,"&gt;0"))</f>
        <v/>
      </c>
      <c r="F924" s="24" t="str">
        <f t="shared" ca="1" si="65"/>
        <v/>
      </c>
    </row>
    <row r="925" spans="1:6">
      <c r="A925" s="41" t="s">
        <v>1342</v>
      </c>
      <c r="B925" s="25" t="s">
        <v>343</v>
      </c>
      <c r="C925" s="45" t="s">
        <v>456</v>
      </c>
      <c r="D925">
        <f t="shared" ca="1" si="64"/>
        <v>0</v>
      </c>
      <c r="E925" t="str">
        <f ca="1">IF(D925=0,"",COUNTIF($D$2:D925,"&gt;0"))</f>
        <v/>
      </c>
      <c r="F925" s="24" t="str">
        <f t="shared" ca="1" si="65"/>
        <v/>
      </c>
    </row>
    <row r="926" spans="1:6">
      <c r="A926" s="41" t="s">
        <v>1343</v>
      </c>
      <c r="B926" s="25" t="s">
        <v>343</v>
      </c>
      <c r="C926" s="45" t="s">
        <v>489</v>
      </c>
      <c r="D926">
        <f t="shared" ca="1" si="64"/>
        <v>0</v>
      </c>
      <c r="E926" t="str">
        <f ca="1">IF(D926=0,"",COUNTIF($D$2:D926,"&gt;0"))</f>
        <v/>
      </c>
      <c r="F926" s="24" t="str">
        <f t="shared" ca="1" si="65"/>
        <v/>
      </c>
    </row>
    <row r="927" spans="1:6">
      <c r="A927" s="41" t="s">
        <v>1344</v>
      </c>
      <c r="B927" s="25" t="s">
        <v>343</v>
      </c>
      <c r="C927" s="45" t="s">
        <v>433</v>
      </c>
      <c r="D927">
        <f t="shared" ca="1" si="64"/>
        <v>0</v>
      </c>
      <c r="E927" t="str">
        <f ca="1">IF(D927=0,"",COUNTIF($D$2:D927,"&gt;0"))</f>
        <v/>
      </c>
      <c r="F927" s="24" t="str">
        <f t="shared" ca="1" si="65"/>
        <v/>
      </c>
    </row>
    <row r="928" spans="1:6">
      <c r="A928" s="41" t="s">
        <v>1345</v>
      </c>
      <c r="B928" s="25" t="s">
        <v>343</v>
      </c>
      <c r="C928" s="45" t="s">
        <v>457</v>
      </c>
      <c r="D928">
        <f t="shared" ca="1" si="64"/>
        <v>0</v>
      </c>
      <c r="E928" t="str">
        <f ca="1">IF(D928=0,"",COUNTIF($D$2:D928,"&gt;0"))</f>
        <v/>
      </c>
      <c r="F928" s="24" t="str">
        <f t="shared" ca="1" si="65"/>
        <v/>
      </c>
    </row>
    <row r="929" spans="1:6">
      <c r="A929" s="41" t="s">
        <v>1346</v>
      </c>
      <c r="B929" s="25" t="s">
        <v>343</v>
      </c>
      <c r="C929" s="45" t="s">
        <v>538</v>
      </c>
      <c r="D929">
        <f t="shared" ca="1" si="64"/>
        <v>0</v>
      </c>
      <c r="E929" t="str">
        <f ca="1">IF(D929=0,"",COUNTIF($D$2:D929,"&gt;0"))</f>
        <v/>
      </c>
      <c r="F929" s="24" t="str">
        <f t="shared" ca="1" si="65"/>
        <v/>
      </c>
    </row>
    <row r="930" spans="1:6">
      <c r="A930" s="46" t="s">
        <v>1341</v>
      </c>
      <c r="B930" s="25" t="s">
        <v>343</v>
      </c>
      <c r="C930" s="45" t="s">
        <v>463</v>
      </c>
      <c r="D930">
        <f t="shared" ca="1" si="64"/>
        <v>0</v>
      </c>
      <c r="E930" t="str">
        <f ca="1">IF(D930=0,"",COUNTIF($D$2:D930,"&gt;0"))</f>
        <v/>
      </c>
      <c r="F930" s="24" t="str">
        <f t="shared" ca="1" si="65"/>
        <v/>
      </c>
    </row>
    <row r="931" spans="1:6">
      <c r="A931" s="44" t="s">
        <v>1347</v>
      </c>
      <c r="B931" s="25"/>
      <c r="C931" s="45"/>
      <c r="D931">
        <f t="shared" ca="1" si="64"/>
        <v>0</v>
      </c>
      <c r="E931" t="str">
        <f ca="1">IF(D931=0,"",COUNTIF($D$2:D931,"&gt;0"))</f>
        <v/>
      </c>
      <c r="F931" s="24" t="str">
        <f t="shared" ca="1" si="65"/>
        <v/>
      </c>
    </row>
    <row r="932" spans="1:6">
      <c r="A932" s="47" t="s">
        <v>1348</v>
      </c>
      <c r="B932" s="25" t="s">
        <v>343</v>
      </c>
      <c r="C932" s="45" t="s">
        <v>405</v>
      </c>
      <c r="D932">
        <f t="shared" ca="1" si="64"/>
        <v>0</v>
      </c>
      <c r="E932" t="str">
        <f ca="1">IF(D932=0,"",COUNTIF($D$2:D932,"&gt;0"))</f>
        <v/>
      </c>
      <c r="F932" s="24" t="str">
        <f t="shared" ca="1" si="65"/>
        <v/>
      </c>
    </row>
    <row r="933" spans="1:6">
      <c r="A933" s="46" t="s">
        <v>1349</v>
      </c>
      <c r="B933" s="25" t="s">
        <v>343</v>
      </c>
      <c r="C933" s="45" t="s">
        <v>476</v>
      </c>
      <c r="D933">
        <f t="shared" ca="1" si="64"/>
        <v>0</v>
      </c>
      <c r="E933" t="str">
        <f ca="1">IF(D933=0,"",COUNTIF($D$2:D933,"&gt;0"))</f>
        <v/>
      </c>
      <c r="F933" s="24" t="str">
        <f t="shared" ca="1" si="65"/>
        <v/>
      </c>
    </row>
    <row r="934" spans="1:6">
      <c r="A934" s="46" t="s">
        <v>1351</v>
      </c>
      <c r="B934" s="25" t="s">
        <v>343</v>
      </c>
      <c r="C934" s="45" t="s">
        <v>469</v>
      </c>
      <c r="D934">
        <f t="shared" ca="1" si="64"/>
        <v>0</v>
      </c>
      <c r="E934" t="str">
        <f ca="1">IF(D934=0,"",COUNTIF($D$2:D934,"&gt;0"))</f>
        <v/>
      </c>
      <c r="F934" s="24" t="str">
        <f t="shared" ca="1" si="65"/>
        <v/>
      </c>
    </row>
    <row r="935" spans="1:6">
      <c r="A935" s="46" t="s">
        <v>1352</v>
      </c>
      <c r="B935" s="25" t="s">
        <v>343</v>
      </c>
      <c r="C935" s="45" t="s">
        <v>491</v>
      </c>
      <c r="D935">
        <f t="shared" ca="1" si="64"/>
        <v>0</v>
      </c>
      <c r="E935" t="str">
        <f ca="1">IF(D935=0,"",COUNTIF($D$2:D935,"&gt;0"))</f>
        <v/>
      </c>
      <c r="F935" s="24" t="str">
        <f t="shared" ca="1" si="65"/>
        <v/>
      </c>
    </row>
    <row r="936" spans="1:6">
      <c r="A936" s="46" t="s">
        <v>1353</v>
      </c>
      <c r="B936" s="25" t="s">
        <v>343</v>
      </c>
      <c r="C936" s="45" t="s">
        <v>478</v>
      </c>
      <c r="D936">
        <f t="shared" ca="1" si="64"/>
        <v>0</v>
      </c>
      <c r="E936" t="str">
        <f ca="1">IF(D936=0,"",COUNTIF($D$2:D936,"&gt;0"))</f>
        <v/>
      </c>
      <c r="F936" s="24" t="str">
        <f t="shared" ca="1" si="65"/>
        <v/>
      </c>
    </row>
    <row r="937" spans="1:6">
      <c r="A937" s="46" t="s">
        <v>1354</v>
      </c>
      <c r="B937" s="25" t="s">
        <v>343</v>
      </c>
      <c r="C937" s="45" t="s">
        <v>479</v>
      </c>
      <c r="D937">
        <f t="shared" ca="1" si="64"/>
        <v>0</v>
      </c>
      <c r="E937" t="str">
        <f ca="1">IF(D937=0,"",COUNTIF($D$2:D937,"&gt;0"))</f>
        <v/>
      </c>
      <c r="F937" s="24" t="str">
        <f t="shared" ca="1" si="65"/>
        <v/>
      </c>
    </row>
    <row r="938" spans="1:6">
      <c r="A938" s="46" t="s">
        <v>1355</v>
      </c>
      <c r="B938" s="25" t="s">
        <v>343</v>
      </c>
      <c r="C938" s="45" t="s">
        <v>519</v>
      </c>
      <c r="D938">
        <f t="shared" ca="1" si="64"/>
        <v>0</v>
      </c>
      <c r="E938" t="str">
        <f ca="1">IF(D938=0,"",COUNTIF($D$2:D938,"&gt;0"))</f>
        <v/>
      </c>
      <c r="F938" s="24" t="str">
        <f t="shared" ref="F938:F969" ca="1" si="66">IFERROR(INDEX(A:A,MATCH(ROW(D937),E:E,0)),"")</f>
        <v/>
      </c>
    </row>
    <row r="939" spans="1:6">
      <c r="A939" s="46" t="s">
        <v>1356</v>
      </c>
      <c r="B939" s="25" t="s">
        <v>343</v>
      </c>
      <c r="C939" s="45" t="s">
        <v>520</v>
      </c>
      <c r="D939">
        <f t="shared" ca="1" si="64"/>
        <v>0</v>
      </c>
      <c r="E939" t="str">
        <f ca="1">IF(D939=0,"",COUNTIF($D$2:D939,"&gt;0"))</f>
        <v/>
      </c>
      <c r="F939" s="24" t="str">
        <f t="shared" ca="1" si="66"/>
        <v/>
      </c>
    </row>
    <row r="940" spans="1:6">
      <c r="A940" s="46" t="s">
        <v>1350</v>
      </c>
      <c r="B940" s="25" t="s">
        <v>343</v>
      </c>
      <c r="C940" s="45" t="s">
        <v>549</v>
      </c>
      <c r="D940">
        <f t="shared" ca="1" si="64"/>
        <v>0</v>
      </c>
      <c r="E940" t="str">
        <f ca="1">IF(D940=0,"",COUNTIF($D$2:D940,"&gt;0"))</f>
        <v/>
      </c>
      <c r="F940" s="24" t="str">
        <f t="shared" ca="1" si="66"/>
        <v/>
      </c>
    </row>
    <row r="941" spans="1:6">
      <c r="A941" s="44" t="s">
        <v>1357</v>
      </c>
      <c r="B941" s="25"/>
      <c r="C941" s="45"/>
      <c r="D941">
        <f t="shared" ca="1" si="64"/>
        <v>0</v>
      </c>
      <c r="E941" t="str">
        <f ca="1">IF(D941=0,"",COUNTIF($D$2:D941,"&gt;0"))</f>
        <v/>
      </c>
      <c r="F941" s="24" t="str">
        <f t="shared" ca="1" si="66"/>
        <v/>
      </c>
    </row>
    <row r="942" spans="1:6">
      <c r="A942" s="47" t="s">
        <v>1358</v>
      </c>
      <c r="B942" s="25" t="s">
        <v>343</v>
      </c>
      <c r="C942" s="45" t="s">
        <v>345</v>
      </c>
      <c r="D942">
        <f t="shared" ca="1" si="64"/>
        <v>0</v>
      </c>
      <c r="E942" t="str">
        <f ca="1">IF(D942=0,"",COUNTIF($D$2:D942,"&gt;0"))</f>
        <v/>
      </c>
      <c r="F942" s="24" t="str">
        <f t="shared" ca="1" si="66"/>
        <v/>
      </c>
    </row>
    <row r="943" spans="1:6">
      <c r="A943" s="46" t="s">
        <v>1360</v>
      </c>
      <c r="B943" s="25" t="s">
        <v>343</v>
      </c>
      <c r="C943" s="45" t="s">
        <v>346</v>
      </c>
      <c r="D943">
        <f t="shared" ca="1" si="64"/>
        <v>0</v>
      </c>
      <c r="E943" t="str">
        <f ca="1">IF(D943=0,"",COUNTIF($D$2:D943,"&gt;0"))</f>
        <v/>
      </c>
      <c r="F943" s="24" t="str">
        <f t="shared" ca="1" si="66"/>
        <v/>
      </c>
    </row>
    <row r="944" spans="1:6">
      <c r="A944" s="46" t="s">
        <v>1361</v>
      </c>
      <c r="B944" s="25" t="s">
        <v>343</v>
      </c>
      <c r="C944" s="45" t="s">
        <v>431</v>
      </c>
      <c r="D944">
        <f t="shared" ca="1" si="64"/>
        <v>0</v>
      </c>
      <c r="E944" t="str">
        <f ca="1">IF(D944=0,"",COUNTIF($D$2:D944,"&gt;0"))</f>
        <v/>
      </c>
      <c r="F944" s="24" t="str">
        <f t="shared" ca="1" si="66"/>
        <v/>
      </c>
    </row>
    <row r="945" spans="1:6">
      <c r="A945" s="46" t="s">
        <v>1362</v>
      </c>
      <c r="B945" s="25" t="s">
        <v>343</v>
      </c>
      <c r="C945" s="45" t="s">
        <v>550</v>
      </c>
      <c r="D945">
        <f t="shared" ca="1" si="64"/>
        <v>0</v>
      </c>
      <c r="E945" t="str">
        <f ca="1">IF(D945=0,"",COUNTIF($D$2:D945,"&gt;0"))</f>
        <v/>
      </c>
      <c r="F945" s="24" t="str">
        <f t="shared" ca="1" si="66"/>
        <v/>
      </c>
    </row>
    <row r="946" spans="1:6">
      <c r="A946" s="46" t="s">
        <v>1363</v>
      </c>
      <c r="B946" s="25" t="s">
        <v>343</v>
      </c>
      <c r="C946" s="45" t="s">
        <v>435</v>
      </c>
      <c r="D946">
        <f t="shared" ca="1" si="64"/>
        <v>0</v>
      </c>
      <c r="E946" t="str">
        <f ca="1">IF(D946=0,"",COUNTIF($D$2:D946,"&gt;0"))</f>
        <v/>
      </c>
      <c r="F946" s="24" t="str">
        <f t="shared" ca="1" si="66"/>
        <v/>
      </c>
    </row>
    <row r="947" spans="1:6">
      <c r="A947" s="46" t="s">
        <v>1359</v>
      </c>
      <c r="B947" s="25" t="s">
        <v>343</v>
      </c>
      <c r="C947" s="45" t="s">
        <v>436</v>
      </c>
      <c r="D947">
        <f t="shared" ca="1" si="64"/>
        <v>0</v>
      </c>
      <c r="E947" t="str">
        <f ca="1">IF(D947=0,"",COUNTIF($D$2:D947,"&gt;0"))</f>
        <v/>
      </c>
      <c r="F947" s="24" t="str">
        <f t="shared" ca="1" si="66"/>
        <v/>
      </c>
    </row>
    <row r="948" spans="1:6">
      <c r="A948" s="44" t="s">
        <v>1364</v>
      </c>
      <c r="B948" s="25"/>
      <c r="C948" s="45"/>
      <c r="D948">
        <f t="shared" ca="1" si="64"/>
        <v>0</v>
      </c>
      <c r="E948" t="str">
        <f ca="1">IF(D948=0,"",COUNTIF($D$2:D948,"&gt;0"))</f>
        <v/>
      </c>
      <c r="F948" s="24" t="str">
        <f t="shared" ca="1" si="66"/>
        <v/>
      </c>
    </row>
    <row r="949" spans="1:6">
      <c r="A949" s="46" t="s">
        <v>1365</v>
      </c>
      <c r="B949" s="25" t="s">
        <v>343</v>
      </c>
      <c r="C949" s="45" t="s">
        <v>345</v>
      </c>
      <c r="D949">
        <f t="shared" ca="1" si="64"/>
        <v>0</v>
      </c>
      <c r="E949" t="str">
        <f ca="1">IF(D949=0,"",COUNTIF($D$2:D949,"&gt;0"))</f>
        <v/>
      </c>
      <c r="F949" s="24" t="str">
        <f t="shared" ca="1" si="66"/>
        <v/>
      </c>
    </row>
    <row r="950" spans="1:6">
      <c r="A950" s="46" t="s">
        <v>1366</v>
      </c>
      <c r="B950" s="25" t="s">
        <v>343</v>
      </c>
      <c r="C950" s="45" t="s">
        <v>502</v>
      </c>
      <c r="D950">
        <f t="shared" ca="1" si="64"/>
        <v>0</v>
      </c>
      <c r="E950" t="str">
        <f ca="1">IF(D950=0,"",COUNTIF($D$2:D950,"&gt;0"))</f>
        <v/>
      </c>
      <c r="F950" s="24" t="str">
        <f t="shared" ca="1" si="66"/>
        <v/>
      </c>
    </row>
    <row r="951" spans="1:6">
      <c r="A951" s="47" t="s">
        <v>1367</v>
      </c>
      <c r="B951" s="25" t="s">
        <v>343</v>
      </c>
      <c r="C951" s="45" t="s">
        <v>465</v>
      </c>
      <c r="D951">
        <f t="shared" ca="1" si="64"/>
        <v>0</v>
      </c>
      <c r="E951" t="str">
        <f ca="1">IF(D951=0,"",COUNTIF($D$2:D951,"&gt;0"))</f>
        <v/>
      </c>
      <c r="F951" s="24" t="str">
        <f t="shared" ca="1" si="66"/>
        <v/>
      </c>
    </row>
    <row r="952" spans="1:6">
      <c r="A952" s="47" t="s">
        <v>1368</v>
      </c>
      <c r="B952" s="25" t="s">
        <v>343</v>
      </c>
      <c r="C952" s="45" t="s">
        <v>551</v>
      </c>
      <c r="D952">
        <f t="shared" ca="1" si="64"/>
        <v>0</v>
      </c>
      <c r="E952" t="str">
        <f ca="1">IF(D952=0,"",COUNTIF($D$2:D952,"&gt;0"))</f>
        <v/>
      </c>
      <c r="F952" s="24" t="str">
        <f t="shared" ca="1" si="66"/>
        <v/>
      </c>
    </row>
    <row r="953" spans="1:6">
      <c r="A953" s="46" t="s">
        <v>1369</v>
      </c>
      <c r="B953" s="25" t="s">
        <v>343</v>
      </c>
      <c r="C953" s="45" t="s">
        <v>435</v>
      </c>
      <c r="D953">
        <f t="shared" ca="1" si="64"/>
        <v>0</v>
      </c>
      <c r="E953" t="str">
        <f ca="1">IF(D953=0,"",COUNTIF($D$2:D953,"&gt;0"))</f>
        <v/>
      </c>
      <c r="F953" s="24" t="str">
        <f t="shared" ca="1" si="66"/>
        <v/>
      </c>
    </row>
    <row r="954" spans="1:6">
      <c r="A954" s="47" t="s">
        <v>1370</v>
      </c>
      <c r="B954" s="25" t="s">
        <v>343</v>
      </c>
      <c r="C954" s="45" t="s">
        <v>552</v>
      </c>
      <c r="D954">
        <f t="shared" ca="1" si="64"/>
        <v>0</v>
      </c>
      <c r="E954" t="str">
        <f ca="1">IF(D954=0,"",COUNTIF($D$2:D954,"&gt;0"))</f>
        <v/>
      </c>
      <c r="F954" s="24" t="str">
        <f t="shared" ca="1" si="66"/>
        <v/>
      </c>
    </row>
    <row r="955" spans="1:6">
      <c r="A955" s="47" t="s">
        <v>1371</v>
      </c>
      <c r="B955" s="25" t="s">
        <v>343</v>
      </c>
      <c r="C955" s="45" t="s">
        <v>553</v>
      </c>
      <c r="D955">
        <f t="shared" ref="D955:D1015" ca="1" si="67">IFERROR(SEARCH(INDIRECT(CELL("address")),A955),0)</f>
        <v>0</v>
      </c>
      <c r="E955" t="str">
        <f ca="1">IF(D955=0,"",COUNTIF($D$2:D955,"&gt;0"))</f>
        <v/>
      </c>
      <c r="F955" s="24" t="str">
        <f t="shared" ca="1" si="66"/>
        <v/>
      </c>
    </row>
    <row r="956" spans="1:6">
      <c r="A956" s="44" t="s">
        <v>1372</v>
      </c>
      <c r="B956" s="25"/>
      <c r="C956" s="45"/>
      <c r="D956">
        <f t="shared" ca="1" si="67"/>
        <v>0</v>
      </c>
      <c r="E956" t="str">
        <f ca="1">IF(D956=0,"",COUNTIF($D$2:D956,"&gt;0"))</f>
        <v/>
      </c>
      <c r="F956" s="24" t="str">
        <f t="shared" ca="1" si="66"/>
        <v/>
      </c>
    </row>
    <row r="957" spans="1:6">
      <c r="A957" s="46" t="s">
        <v>1373</v>
      </c>
      <c r="B957" s="25" t="s">
        <v>343</v>
      </c>
      <c r="C957" s="45" t="s">
        <v>420</v>
      </c>
      <c r="D957">
        <f t="shared" ca="1" si="67"/>
        <v>0</v>
      </c>
      <c r="E957" t="str">
        <f ca="1">IF(D957=0,"",COUNTIF($D$2:D957,"&gt;0"))</f>
        <v/>
      </c>
      <c r="F957" s="24" t="str">
        <f t="shared" ca="1" si="66"/>
        <v/>
      </c>
    </row>
    <row r="958" spans="1:6">
      <c r="A958" s="46" t="s">
        <v>1375</v>
      </c>
      <c r="B958" s="25" t="s">
        <v>343</v>
      </c>
      <c r="C958" s="45" t="s">
        <v>554</v>
      </c>
      <c r="D958">
        <f t="shared" ca="1" si="67"/>
        <v>0</v>
      </c>
      <c r="E958" t="str">
        <f ca="1">IF(D958=0,"",COUNTIF($D$2:D958,"&gt;0"))</f>
        <v/>
      </c>
      <c r="F958" s="24" t="str">
        <f t="shared" ca="1" si="66"/>
        <v/>
      </c>
    </row>
    <row r="959" spans="1:6">
      <c r="A959" s="46" t="s">
        <v>1376</v>
      </c>
      <c r="B959" s="25" t="s">
        <v>343</v>
      </c>
      <c r="C959" s="45" t="s">
        <v>555</v>
      </c>
      <c r="D959">
        <f t="shared" ca="1" si="67"/>
        <v>0</v>
      </c>
      <c r="E959" t="str">
        <f ca="1">IF(D959=0,"",COUNTIF($D$2:D959,"&gt;0"))</f>
        <v/>
      </c>
      <c r="F959" s="24" t="str">
        <f t="shared" ca="1" si="66"/>
        <v/>
      </c>
    </row>
    <row r="960" spans="1:6">
      <c r="A960" s="46" t="s">
        <v>1377</v>
      </c>
      <c r="B960" s="25" t="s">
        <v>343</v>
      </c>
      <c r="C960" s="45" t="s">
        <v>556</v>
      </c>
      <c r="D960">
        <f t="shared" ca="1" si="67"/>
        <v>0</v>
      </c>
      <c r="E960" t="str">
        <f ca="1">IF(D960=0,"",COUNTIF($D$2:D960,"&gt;0"))</f>
        <v/>
      </c>
      <c r="F960" s="24" t="str">
        <f t="shared" ca="1" si="66"/>
        <v/>
      </c>
    </row>
    <row r="961" spans="1:6">
      <c r="A961" s="46" t="s">
        <v>1374</v>
      </c>
      <c r="B961" s="25" t="s">
        <v>343</v>
      </c>
      <c r="C961" s="45" t="s">
        <v>557</v>
      </c>
      <c r="D961">
        <f t="shared" ca="1" si="67"/>
        <v>0</v>
      </c>
      <c r="E961" t="str">
        <f ca="1">IF(D961=0,"",COUNTIF($D$2:D961,"&gt;0"))</f>
        <v/>
      </c>
      <c r="F961" s="24" t="str">
        <f t="shared" ca="1" si="66"/>
        <v/>
      </c>
    </row>
    <row r="962" spans="1:6">
      <c r="A962" s="44" t="s">
        <v>1378</v>
      </c>
      <c r="B962" s="25"/>
      <c r="C962" s="45"/>
      <c r="D962">
        <f t="shared" ca="1" si="67"/>
        <v>0</v>
      </c>
      <c r="E962" t="str">
        <f ca="1">IF(D962=0,"",COUNTIF($D$2:D962,"&gt;0"))</f>
        <v/>
      </c>
      <c r="F962" s="24" t="str">
        <f t="shared" ca="1" si="66"/>
        <v/>
      </c>
    </row>
    <row r="963" spans="1:6">
      <c r="A963" s="46" t="s">
        <v>1379</v>
      </c>
      <c r="B963" s="25" t="s">
        <v>343</v>
      </c>
      <c r="C963" s="45" t="s">
        <v>344</v>
      </c>
      <c r="D963">
        <f t="shared" ca="1" si="67"/>
        <v>0</v>
      </c>
      <c r="E963" t="str">
        <f ca="1">IF(D963=0,"",COUNTIF($D$2:D963,"&gt;0"))</f>
        <v/>
      </c>
      <c r="F963" s="24" t="str">
        <f t="shared" ca="1" si="66"/>
        <v/>
      </c>
    </row>
    <row r="964" spans="1:6">
      <c r="A964" s="46" t="s">
        <v>1381</v>
      </c>
      <c r="B964" s="25" t="s">
        <v>343</v>
      </c>
      <c r="C964" s="45" t="s">
        <v>345</v>
      </c>
      <c r="D964">
        <f t="shared" ca="1" si="67"/>
        <v>0</v>
      </c>
      <c r="E964" t="str">
        <f ca="1">IF(D964=0,"",COUNTIF($D$2:D964,"&gt;0"))</f>
        <v/>
      </c>
      <c r="F964" s="24" t="str">
        <f t="shared" ca="1" si="66"/>
        <v/>
      </c>
    </row>
    <row r="965" spans="1:6">
      <c r="A965" s="46" t="s">
        <v>1382</v>
      </c>
      <c r="B965" s="25" t="s">
        <v>343</v>
      </c>
      <c r="C965" s="45" t="s">
        <v>502</v>
      </c>
      <c r="D965">
        <f t="shared" ca="1" si="67"/>
        <v>0</v>
      </c>
      <c r="E965" t="str">
        <f ca="1">IF(D965=0,"",COUNTIF($D$2:D965,"&gt;0"))</f>
        <v/>
      </c>
      <c r="F965" s="24" t="str">
        <f t="shared" ca="1" si="66"/>
        <v/>
      </c>
    </row>
    <row r="966" spans="1:6">
      <c r="A966" s="46" t="s">
        <v>1383</v>
      </c>
      <c r="B966" s="25" t="s">
        <v>343</v>
      </c>
      <c r="C966" s="45" t="s">
        <v>558</v>
      </c>
      <c r="D966">
        <f t="shared" ca="1" si="67"/>
        <v>0</v>
      </c>
      <c r="E966" t="str">
        <f ca="1">IF(D966=0,"",COUNTIF($D$2:D966,"&gt;0"))</f>
        <v/>
      </c>
      <c r="F966" s="24" t="str">
        <f t="shared" ca="1" si="66"/>
        <v/>
      </c>
    </row>
    <row r="967" spans="1:6">
      <c r="A967" s="46" t="s">
        <v>1384</v>
      </c>
      <c r="B967" s="25" t="s">
        <v>343</v>
      </c>
      <c r="C967" s="45" t="s">
        <v>461</v>
      </c>
      <c r="D967">
        <f t="shared" ca="1" si="67"/>
        <v>0</v>
      </c>
      <c r="E967" t="str">
        <f ca="1">IF(D967=0,"",COUNTIF($D$2:D967,"&gt;0"))</f>
        <v/>
      </c>
      <c r="F967" s="24" t="str">
        <f t="shared" ca="1" si="66"/>
        <v/>
      </c>
    </row>
    <row r="968" spans="1:6">
      <c r="A968" s="46" t="s">
        <v>1385</v>
      </c>
      <c r="B968" s="25" t="s">
        <v>343</v>
      </c>
      <c r="C968" s="45" t="s">
        <v>559</v>
      </c>
      <c r="D968">
        <f t="shared" ca="1" si="67"/>
        <v>0</v>
      </c>
      <c r="E968" t="str">
        <f ca="1">IF(D968=0,"",COUNTIF($D$2:D968,"&gt;0"))</f>
        <v/>
      </c>
      <c r="F968" s="24" t="str">
        <f t="shared" ca="1" si="66"/>
        <v/>
      </c>
    </row>
    <row r="969" spans="1:6">
      <c r="A969" s="46" t="s">
        <v>1386</v>
      </c>
      <c r="B969" s="25" t="s">
        <v>343</v>
      </c>
      <c r="C969" s="45" t="s">
        <v>560</v>
      </c>
      <c r="D969">
        <f t="shared" ca="1" si="67"/>
        <v>0</v>
      </c>
      <c r="E969" t="str">
        <f ca="1">IF(D969=0,"",COUNTIF($D$2:D969,"&gt;0"))</f>
        <v/>
      </c>
      <c r="F969" s="24" t="str">
        <f t="shared" ca="1" si="66"/>
        <v/>
      </c>
    </row>
    <row r="970" spans="1:6">
      <c r="A970" s="46" t="s">
        <v>1387</v>
      </c>
      <c r="B970" s="25" t="s">
        <v>343</v>
      </c>
      <c r="C970" s="45" t="s">
        <v>433</v>
      </c>
      <c r="D970">
        <f t="shared" ca="1" si="67"/>
        <v>0</v>
      </c>
      <c r="E970" t="str">
        <f ca="1">IF(D970=0,"",COUNTIF($D$2:D970,"&gt;0"))</f>
        <v/>
      </c>
      <c r="F970" s="24" t="str">
        <f t="shared" ref="F970:F983" ca="1" si="68">IFERROR(INDEX(A:A,MATCH(ROW(D969),E:E,0)),"")</f>
        <v/>
      </c>
    </row>
    <row r="971" spans="1:6">
      <c r="A971" s="46" t="s">
        <v>1380</v>
      </c>
      <c r="B971" s="25" t="s">
        <v>343</v>
      </c>
      <c r="C971" s="45" t="s">
        <v>523</v>
      </c>
      <c r="D971">
        <f t="shared" ca="1" si="67"/>
        <v>0</v>
      </c>
      <c r="E971" t="str">
        <f ca="1">IF(D971=0,"",COUNTIF($D$2:D971,"&gt;0"))</f>
        <v/>
      </c>
      <c r="F971" s="24" t="str">
        <f t="shared" ca="1" si="68"/>
        <v/>
      </c>
    </row>
    <row r="972" spans="1:6">
      <c r="A972" s="44" t="s">
        <v>1388</v>
      </c>
      <c r="B972" s="25"/>
      <c r="C972" s="45"/>
      <c r="D972">
        <f t="shared" ca="1" si="67"/>
        <v>0</v>
      </c>
      <c r="E972" t="str">
        <f ca="1">IF(D972=0,"",COUNTIF($D$2:D972,"&gt;0"))</f>
        <v/>
      </c>
      <c r="F972" s="24" t="str">
        <f t="shared" ca="1" si="68"/>
        <v/>
      </c>
    </row>
    <row r="973" spans="1:6">
      <c r="A973" s="46" t="s">
        <v>1389</v>
      </c>
      <c r="B973" s="25" t="s">
        <v>343</v>
      </c>
      <c r="C973" s="45" t="s">
        <v>346</v>
      </c>
      <c r="D973">
        <f t="shared" ca="1" si="67"/>
        <v>0</v>
      </c>
      <c r="E973" t="str">
        <f ca="1">IF(D973=0,"",COUNTIF($D$2:D973,"&gt;0"))</f>
        <v/>
      </c>
      <c r="F973" s="24" t="str">
        <f t="shared" ca="1" si="68"/>
        <v/>
      </c>
    </row>
    <row r="974" spans="1:6">
      <c r="A974" s="46" t="s">
        <v>1391</v>
      </c>
      <c r="B974" s="25" t="s">
        <v>343</v>
      </c>
      <c r="C974" s="45" t="s">
        <v>502</v>
      </c>
      <c r="D974">
        <f t="shared" ca="1" si="67"/>
        <v>0</v>
      </c>
      <c r="E974" t="str">
        <f ca="1">IF(D974=0,"",COUNTIF($D$2:D974,"&gt;0"))</f>
        <v/>
      </c>
      <c r="F974" s="24" t="str">
        <f t="shared" ca="1" si="68"/>
        <v/>
      </c>
    </row>
    <row r="975" spans="1:6">
      <c r="A975" s="46" t="s">
        <v>1392</v>
      </c>
      <c r="B975" s="25" t="s">
        <v>343</v>
      </c>
      <c r="C975" s="45" t="s">
        <v>465</v>
      </c>
      <c r="D975">
        <f t="shared" ca="1" si="67"/>
        <v>0</v>
      </c>
      <c r="E975" t="str">
        <f ca="1">IF(D975=0,"",COUNTIF($D$2:D975,"&gt;0"))</f>
        <v/>
      </c>
      <c r="F975" s="24" t="str">
        <f t="shared" ca="1" si="68"/>
        <v/>
      </c>
    </row>
    <row r="976" spans="1:6">
      <c r="A976" s="46" t="s">
        <v>1393</v>
      </c>
      <c r="B976" s="25" t="s">
        <v>343</v>
      </c>
      <c r="C976" s="45" t="s">
        <v>471</v>
      </c>
      <c r="D976">
        <f t="shared" ca="1" si="67"/>
        <v>0</v>
      </c>
      <c r="E976" t="str">
        <f ca="1">IF(D976=0,"",COUNTIF($D$2:D976,"&gt;0"))</f>
        <v/>
      </c>
      <c r="F976" s="24" t="str">
        <f t="shared" ca="1" si="68"/>
        <v/>
      </c>
    </row>
    <row r="977" spans="1:6">
      <c r="A977" s="46" t="s">
        <v>1394</v>
      </c>
      <c r="B977" s="25" t="s">
        <v>343</v>
      </c>
      <c r="C977" s="45" t="s">
        <v>469</v>
      </c>
      <c r="D977">
        <f t="shared" ca="1" si="67"/>
        <v>0</v>
      </c>
      <c r="E977" t="str">
        <f ca="1">IF(D977=0,"",COUNTIF($D$2:D977,"&gt;0"))</f>
        <v/>
      </c>
      <c r="F977" s="24" t="str">
        <f t="shared" ca="1" si="68"/>
        <v/>
      </c>
    </row>
    <row r="978" spans="1:6">
      <c r="A978" s="46" t="s">
        <v>1390</v>
      </c>
      <c r="B978" s="25" t="s">
        <v>343</v>
      </c>
      <c r="C978" s="45" t="s">
        <v>496</v>
      </c>
      <c r="D978">
        <f t="shared" ca="1" si="67"/>
        <v>0</v>
      </c>
      <c r="E978" t="str">
        <f ca="1">IF(D978=0,"",COUNTIF($D$2:D978,"&gt;0"))</f>
        <v/>
      </c>
      <c r="F978" s="24" t="str">
        <f t="shared" ca="1" si="68"/>
        <v/>
      </c>
    </row>
    <row r="979" spans="1:6">
      <c r="A979" s="44" t="s">
        <v>1395</v>
      </c>
      <c r="B979" s="25"/>
      <c r="C979" s="45"/>
      <c r="D979">
        <f t="shared" ca="1" si="67"/>
        <v>0</v>
      </c>
      <c r="E979" t="str">
        <f ca="1">IF(D979=0,"",COUNTIF($D$2:D979,"&gt;0"))</f>
        <v/>
      </c>
      <c r="F979" s="24" t="str">
        <f t="shared" ca="1" si="68"/>
        <v/>
      </c>
    </row>
    <row r="980" spans="1:6">
      <c r="A980" s="46" t="s">
        <v>1396</v>
      </c>
      <c r="B980" s="25" t="s">
        <v>343</v>
      </c>
      <c r="C980" s="45" t="s">
        <v>434</v>
      </c>
      <c r="D980">
        <f t="shared" ca="1" si="67"/>
        <v>0</v>
      </c>
      <c r="E980" t="str">
        <f ca="1">IF(D980=0,"",COUNTIF($D$2:D980,"&gt;0"))</f>
        <v/>
      </c>
      <c r="F980" s="24" t="str">
        <f t="shared" ca="1" si="68"/>
        <v/>
      </c>
    </row>
    <row r="981" spans="1:6">
      <c r="A981" s="46" t="s">
        <v>1398</v>
      </c>
      <c r="B981" s="25" t="s">
        <v>343</v>
      </c>
      <c r="C981" s="45" t="s">
        <v>464</v>
      </c>
      <c r="D981">
        <f t="shared" ca="1" si="67"/>
        <v>0</v>
      </c>
      <c r="E981" t="str">
        <f ca="1">IF(D981=0,"",COUNTIF($D$2:D981,"&gt;0"))</f>
        <v/>
      </c>
      <c r="F981" s="24" t="str">
        <f t="shared" ca="1" si="68"/>
        <v/>
      </c>
    </row>
    <row r="982" spans="1:6">
      <c r="A982" s="46" t="s">
        <v>1399</v>
      </c>
      <c r="B982" s="25" t="s">
        <v>343</v>
      </c>
      <c r="C982" s="45" t="s">
        <v>437</v>
      </c>
      <c r="D982">
        <f t="shared" ca="1" si="67"/>
        <v>0</v>
      </c>
      <c r="E982" t="str">
        <f ca="1">IF(D982=0,"",COUNTIF($D$2:D982,"&gt;0"))</f>
        <v/>
      </c>
      <c r="F982" s="24" t="str">
        <f t="shared" ca="1" si="68"/>
        <v/>
      </c>
    </row>
    <row r="983" spans="1:6">
      <c r="A983" s="46" t="s">
        <v>1397</v>
      </c>
      <c r="B983" s="25" t="s">
        <v>343</v>
      </c>
      <c r="C983" s="45" t="s">
        <v>487</v>
      </c>
      <c r="D983">
        <f t="shared" ca="1" si="67"/>
        <v>0</v>
      </c>
      <c r="E983" t="str">
        <f ca="1">IF(D983=0,"",COUNTIF($D$2:D983,"&gt;0"))</f>
        <v/>
      </c>
      <c r="F983" s="24" t="str">
        <f t="shared" ca="1" si="68"/>
        <v/>
      </c>
    </row>
    <row r="984" spans="1:6" ht="16.8">
      <c r="A984" s="393" t="s">
        <v>561</v>
      </c>
      <c r="B984" s="393"/>
      <c r="C984" s="393"/>
      <c r="D984">
        <f t="shared" ca="1" si="67"/>
        <v>0</v>
      </c>
      <c r="E984" t="str">
        <f ca="1">IF(D984=0,"",COUNTIF($D$2:D984,"&gt;0"))</f>
        <v/>
      </c>
      <c r="F984" s="24" t="str">
        <f>IFERROR(INDEX(A:A,MATCH(ROW(#REF!),E:E,0)),"")</f>
        <v/>
      </c>
    </row>
    <row r="985" spans="1:6" ht="16.8">
      <c r="A985" s="70" t="s">
        <v>1400</v>
      </c>
      <c r="B985" s="49"/>
      <c r="C985" s="50"/>
      <c r="D985">
        <f t="shared" ca="1" si="67"/>
        <v>0</v>
      </c>
      <c r="E985" t="str">
        <f ca="1">IF(D985=0,"",COUNTIF($D$2:D985,"&gt;0"))</f>
        <v/>
      </c>
      <c r="F985" s="24" t="str">
        <f t="shared" ref="F985:F1027" ca="1" si="69">IFERROR(INDEX(A:A,MATCH(ROW(D984),E:E,0)),"")</f>
        <v/>
      </c>
    </row>
    <row r="986" spans="1:6" ht="16.8">
      <c r="A986" s="52" t="s">
        <v>1401</v>
      </c>
      <c r="B986" s="49" t="s">
        <v>562</v>
      </c>
      <c r="C986" s="50" t="s">
        <v>563</v>
      </c>
      <c r="D986">
        <f t="shared" ca="1" si="67"/>
        <v>0</v>
      </c>
      <c r="E986" t="str">
        <f ca="1">IF(D986=0,"",COUNTIF($D$2:D986,"&gt;0"))</f>
        <v/>
      </c>
      <c r="F986" s="24" t="str">
        <f t="shared" ca="1" si="69"/>
        <v/>
      </c>
    </row>
    <row r="987" spans="1:6" ht="16.8">
      <c r="A987" s="52" t="s">
        <v>1402</v>
      </c>
      <c r="B987" s="49" t="s">
        <v>562</v>
      </c>
      <c r="C987" s="50" t="s">
        <v>564</v>
      </c>
      <c r="D987">
        <f t="shared" ca="1" si="67"/>
        <v>0</v>
      </c>
      <c r="E987" t="str">
        <f ca="1">IF(D987=0,"",COUNTIF($D$2:D987,"&gt;0"))</f>
        <v/>
      </c>
      <c r="F987" s="24" t="str">
        <f t="shared" ca="1" si="69"/>
        <v/>
      </c>
    </row>
    <row r="988" spans="1:6" ht="16.8">
      <c r="A988" s="51" t="s">
        <v>1404</v>
      </c>
      <c r="B988" s="49" t="s">
        <v>562</v>
      </c>
      <c r="C988" s="53">
        <v>187000</v>
      </c>
      <c r="D988">
        <f t="shared" ca="1" si="67"/>
        <v>0</v>
      </c>
      <c r="E988" t="str">
        <f ca="1">IF(D988=0,"",COUNTIF($D$2:D988,"&gt;0"))</f>
        <v/>
      </c>
      <c r="F988" s="24" t="str">
        <f t="shared" ca="1" si="69"/>
        <v/>
      </c>
    </row>
    <row r="989" spans="1:6" ht="16.8">
      <c r="A989" s="51" t="s">
        <v>1405</v>
      </c>
      <c r="B989" s="49" t="s">
        <v>565</v>
      </c>
      <c r="C989" s="50" t="s">
        <v>566</v>
      </c>
      <c r="D989">
        <f t="shared" ca="1" si="67"/>
        <v>0</v>
      </c>
      <c r="E989" t="str">
        <f ca="1">IF(D989=0,"",COUNTIF($D$2:D989,"&gt;0"))</f>
        <v/>
      </c>
      <c r="F989" s="24" t="str">
        <f t="shared" ca="1" si="69"/>
        <v/>
      </c>
    </row>
    <row r="990" spans="1:6" ht="16.8">
      <c r="A990" s="51" t="s">
        <v>1407</v>
      </c>
      <c r="B990" s="49" t="s">
        <v>562</v>
      </c>
      <c r="C990" s="50" t="s">
        <v>567</v>
      </c>
      <c r="D990">
        <f t="shared" ca="1" si="67"/>
        <v>0</v>
      </c>
      <c r="E990" t="str">
        <f ca="1">IF(D990=0,"",COUNTIF($D$2:D990,"&gt;0"))</f>
        <v/>
      </c>
      <c r="F990" s="24" t="str">
        <f t="shared" ca="1" si="69"/>
        <v/>
      </c>
    </row>
    <row r="991" spans="1:6" ht="16.8">
      <c r="A991" s="51" t="s">
        <v>1408</v>
      </c>
      <c r="B991" s="49" t="s">
        <v>562</v>
      </c>
      <c r="C991" s="50" t="s">
        <v>568</v>
      </c>
      <c r="D991">
        <f t="shared" ca="1" si="67"/>
        <v>0</v>
      </c>
      <c r="E991" t="str">
        <f ca="1">IF(D991=0,"",COUNTIF($D$2:D991,"&gt;0"))</f>
        <v/>
      </c>
      <c r="F991" s="24" t="str">
        <f t="shared" ca="1" si="69"/>
        <v/>
      </c>
    </row>
    <row r="992" spans="1:6" ht="16.8">
      <c r="A992" s="51" t="s">
        <v>1409</v>
      </c>
      <c r="B992" s="49" t="s">
        <v>562</v>
      </c>
      <c r="C992" s="50" t="s">
        <v>569</v>
      </c>
      <c r="D992">
        <f t="shared" ca="1" si="67"/>
        <v>0</v>
      </c>
      <c r="E992" t="str">
        <f ca="1">IF(D992=0,"",COUNTIF($D$2:D992,"&gt;0"))</f>
        <v/>
      </c>
      <c r="F992" s="24" t="str">
        <f t="shared" ca="1" si="69"/>
        <v/>
      </c>
    </row>
    <row r="993" spans="1:6" ht="16.8">
      <c r="A993" s="52" t="s">
        <v>1406</v>
      </c>
      <c r="B993" s="49" t="s">
        <v>562</v>
      </c>
      <c r="C993" s="50" t="s">
        <v>570</v>
      </c>
      <c r="D993">
        <f t="shared" ca="1" si="67"/>
        <v>0</v>
      </c>
      <c r="E993" t="str">
        <f ca="1">IF(D993=0,"",COUNTIF($D$2:D993,"&gt;0"))</f>
        <v/>
      </c>
      <c r="F993" s="24" t="str">
        <f t="shared" ca="1" si="69"/>
        <v/>
      </c>
    </row>
    <row r="994" spans="1:6" ht="16.8">
      <c r="A994" s="52" t="s">
        <v>1403</v>
      </c>
      <c r="B994" s="49" t="s">
        <v>562</v>
      </c>
      <c r="C994" s="50" t="s">
        <v>571</v>
      </c>
      <c r="D994">
        <f t="shared" ca="1" si="67"/>
        <v>0</v>
      </c>
      <c r="E994" t="str">
        <f ca="1">IF(D994=0,"",COUNTIF($D$2:D994,"&gt;0"))</f>
        <v/>
      </c>
      <c r="F994" s="24" t="str">
        <f t="shared" ca="1" si="69"/>
        <v/>
      </c>
    </row>
    <row r="995" spans="1:6" ht="16.8">
      <c r="A995" s="62" t="s">
        <v>1410</v>
      </c>
      <c r="B995" s="49"/>
      <c r="C995" s="50"/>
      <c r="D995">
        <f t="shared" ca="1" si="67"/>
        <v>0</v>
      </c>
      <c r="E995" t="str">
        <f ca="1">IF(D995=0,"",COUNTIF($D$2:D995,"&gt;0"))</f>
        <v/>
      </c>
      <c r="F995" s="24" t="str">
        <f t="shared" ca="1" si="69"/>
        <v/>
      </c>
    </row>
    <row r="996" spans="1:6" ht="16.8">
      <c r="A996" s="56" t="s">
        <v>1411</v>
      </c>
      <c r="B996" s="49" t="s">
        <v>562</v>
      </c>
      <c r="C996" s="50" t="s">
        <v>563</v>
      </c>
      <c r="D996">
        <f t="shared" ca="1" si="67"/>
        <v>0</v>
      </c>
      <c r="E996" t="str">
        <f ca="1">IF(D996=0,"",COUNTIF($D$2:D996,"&gt;0"))</f>
        <v/>
      </c>
      <c r="F996" s="24" t="str">
        <f t="shared" ca="1" si="69"/>
        <v/>
      </c>
    </row>
    <row r="997" spans="1:6" ht="16.8">
      <c r="A997" s="55" t="s">
        <v>1413</v>
      </c>
      <c r="B997" s="49" t="s">
        <v>562</v>
      </c>
      <c r="C997" s="50" t="s">
        <v>572</v>
      </c>
      <c r="D997">
        <f t="shared" ca="1" si="67"/>
        <v>0</v>
      </c>
      <c r="E997" t="str">
        <f ca="1">IF(D997=0,"",COUNTIF($D$2:D997,"&gt;0"))</f>
        <v/>
      </c>
      <c r="F997" s="24" t="str">
        <f t="shared" ca="1" si="69"/>
        <v/>
      </c>
    </row>
    <row r="998" spans="1:6" ht="16.8">
      <c r="A998" s="56" t="s">
        <v>1414</v>
      </c>
      <c r="B998" s="49" t="s">
        <v>562</v>
      </c>
      <c r="C998" s="50" t="s">
        <v>573</v>
      </c>
      <c r="D998">
        <f t="shared" ca="1" si="67"/>
        <v>0</v>
      </c>
      <c r="E998" t="str">
        <f ca="1">IF(D998=0,"",COUNTIF($D$2:D998,"&gt;0"))</f>
        <v/>
      </c>
      <c r="F998" s="24" t="str">
        <f t="shared" ca="1" si="69"/>
        <v/>
      </c>
    </row>
    <row r="999" spans="1:6" ht="16.8">
      <c r="A999" s="55" t="s">
        <v>1415</v>
      </c>
      <c r="B999" s="49" t="s">
        <v>562</v>
      </c>
      <c r="C999" s="50" t="s">
        <v>574</v>
      </c>
      <c r="D999">
        <f t="shared" ca="1" si="67"/>
        <v>0</v>
      </c>
      <c r="E999" t="str">
        <f ca="1">IF(D999=0,"",COUNTIF($D$2:D999,"&gt;0"))</f>
        <v/>
      </c>
      <c r="F999" s="24" t="str">
        <f t="shared" ca="1" si="69"/>
        <v/>
      </c>
    </row>
    <row r="1000" spans="1:6" ht="16.8">
      <c r="A1000" s="55" t="s">
        <v>1416</v>
      </c>
      <c r="B1000" s="49" t="s">
        <v>562</v>
      </c>
      <c r="C1000" s="50" t="s">
        <v>575</v>
      </c>
      <c r="D1000">
        <f t="shared" ca="1" si="67"/>
        <v>0</v>
      </c>
      <c r="E1000" t="str">
        <f ca="1">IF(D1000=0,"",COUNTIF($D$2:D1000,"&gt;0"))</f>
        <v/>
      </c>
      <c r="F1000" s="24" t="str">
        <f t="shared" ca="1" si="69"/>
        <v/>
      </c>
    </row>
    <row r="1001" spans="1:6" ht="16.8">
      <c r="A1001" s="55" t="s">
        <v>1417</v>
      </c>
      <c r="B1001" s="49" t="s">
        <v>562</v>
      </c>
      <c r="C1001" s="50" t="s">
        <v>576</v>
      </c>
      <c r="D1001">
        <f t="shared" ca="1" si="67"/>
        <v>0</v>
      </c>
      <c r="E1001" t="str">
        <f ca="1">IF(D1001=0,"",COUNTIF($D$2:D1001,"&gt;0"))</f>
        <v/>
      </c>
      <c r="F1001" s="24" t="str">
        <f t="shared" ca="1" si="69"/>
        <v/>
      </c>
    </row>
    <row r="1002" spans="1:6" ht="16.8">
      <c r="A1002" s="57" t="s">
        <v>1418</v>
      </c>
      <c r="B1002" s="49" t="s">
        <v>562</v>
      </c>
      <c r="C1002" s="50" t="s">
        <v>577</v>
      </c>
      <c r="D1002">
        <f t="shared" ca="1" si="67"/>
        <v>0</v>
      </c>
      <c r="E1002" t="str">
        <f ca="1">IF(D1002=0,"",COUNTIF($D$2:D1002,"&gt;0"))</f>
        <v/>
      </c>
      <c r="F1002" s="24" t="str">
        <f t="shared" ca="1" si="69"/>
        <v/>
      </c>
    </row>
    <row r="1003" spans="1:6" ht="16.8">
      <c r="A1003" s="55" t="s">
        <v>1419</v>
      </c>
      <c r="B1003" s="49" t="s">
        <v>562</v>
      </c>
      <c r="C1003" s="50" t="s">
        <v>578</v>
      </c>
      <c r="D1003">
        <f t="shared" ca="1" si="67"/>
        <v>0</v>
      </c>
      <c r="E1003" t="str">
        <f ca="1">IF(D1003=0,"",COUNTIF($D$2:D1003,"&gt;0"))</f>
        <v/>
      </c>
      <c r="F1003" s="24" t="str">
        <f t="shared" ca="1" si="69"/>
        <v/>
      </c>
    </row>
    <row r="1004" spans="1:6" ht="16.8">
      <c r="A1004" s="55" t="s">
        <v>1420</v>
      </c>
      <c r="B1004" s="49" t="s">
        <v>562</v>
      </c>
      <c r="C1004" s="50" t="s">
        <v>579</v>
      </c>
      <c r="D1004">
        <f t="shared" ca="1" si="67"/>
        <v>0</v>
      </c>
      <c r="E1004" t="str">
        <f ca="1">IF(D1004=0,"",COUNTIF($D$2:D1004,"&gt;0"))</f>
        <v/>
      </c>
      <c r="F1004" s="24" t="str">
        <f t="shared" ca="1" si="69"/>
        <v/>
      </c>
    </row>
    <row r="1005" spans="1:6" ht="16.8">
      <c r="A1005" s="55" t="s">
        <v>1421</v>
      </c>
      <c r="B1005" s="49" t="s">
        <v>562</v>
      </c>
      <c r="C1005" s="50" t="s">
        <v>580</v>
      </c>
      <c r="D1005">
        <f t="shared" ca="1" si="67"/>
        <v>0</v>
      </c>
      <c r="E1005" t="str">
        <f ca="1">IF(D1005=0,"",COUNTIF($D$2:D1005,"&gt;0"))</f>
        <v/>
      </c>
      <c r="F1005" s="24" t="str">
        <f t="shared" ca="1" si="69"/>
        <v/>
      </c>
    </row>
    <row r="1006" spans="1:6" ht="16.8">
      <c r="A1006" s="55" t="s">
        <v>1422</v>
      </c>
      <c r="B1006" s="49" t="s">
        <v>562</v>
      </c>
      <c r="C1006" s="50" t="s">
        <v>581</v>
      </c>
      <c r="D1006">
        <f t="shared" ca="1" si="67"/>
        <v>0</v>
      </c>
      <c r="E1006" t="str">
        <f ca="1">IF(D1006=0,"",COUNTIF($D$2:D1006,"&gt;0"))</f>
        <v/>
      </c>
      <c r="F1006" s="24" t="str">
        <f t="shared" ca="1" si="69"/>
        <v/>
      </c>
    </row>
    <row r="1007" spans="1:6" ht="16.8">
      <c r="A1007" s="55" t="s">
        <v>1423</v>
      </c>
      <c r="B1007" s="49" t="s">
        <v>562</v>
      </c>
      <c r="C1007" s="50" t="s">
        <v>582</v>
      </c>
      <c r="D1007">
        <f t="shared" ca="1" si="67"/>
        <v>0</v>
      </c>
      <c r="E1007" t="str">
        <f ca="1">IF(D1007=0,"",COUNTIF($D$2:D1007,"&gt;0"))</f>
        <v/>
      </c>
      <c r="F1007" s="24" t="str">
        <f t="shared" ca="1" si="69"/>
        <v/>
      </c>
    </row>
    <row r="1008" spans="1:6" ht="16.8">
      <c r="A1008" s="56" t="s">
        <v>1412</v>
      </c>
      <c r="B1008" s="49" t="s">
        <v>562</v>
      </c>
      <c r="C1008" s="50" t="s">
        <v>583</v>
      </c>
      <c r="D1008">
        <f t="shared" ca="1" si="67"/>
        <v>0</v>
      </c>
      <c r="E1008" t="str">
        <f ca="1">IF(D1008=0,"",COUNTIF($D$2:D1008,"&gt;0"))</f>
        <v/>
      </c>
      <c r="F1008" s="24" t="str">
        <f t="shared" ca="1" si="69"/>
        <v/>
      </c>
    </row>
    <row r="1009" spans="1:6" ht="16.8">
      <c r="A1009" s="62" t="s">
        <v>1424</v>
      </c>
      <c r="B1009" s="49"/>
      <c r="C1009" s="50"/>
      <c r="D1009">
        <f t="shared" ca="1" si="67"/>
        <v>0</v>
      </c>
      <c r="E1009" t="str">
        <f ca="1">IF(D1009=0,"",COUNTIF($D$2:D1009,"&gt;0"))</f>
        <v/>
      </c>
      <c r="F1009" s="24" t="str">
        <f t="shared" ca="1" si="69"/>
        <v/>
      </c>
    </row>
    <row r="1010" spans="1:6" ht="33.6">
      <c r="A1010" s="58" t="s">
        <v>1425</v>
      </c>
      <c r="B1010" s="49" t="s">
        <v>562</v>
      </c>
      <c r="C1010" s="50" t="s">
        <v>584</v>
      </c>
      <c r="D1010">
        <f t="shared" ca="1" si="67"/>
        <v>0</v>
      </c>
      <c r="E1010" t="str">
        <f ca="1">IF(D1010=0,"",COUNTIF($D$2:D1010,"&gt;0"))</f>
        <v/>
      </c>
      <c r="F1010" s="24" t="str">
        <f t="shared" ca="1" si="69"/>
        <v/>
      </c>
    </row>
    <row r="1011" spans="1:6" ht="16.8">
      <c r="A1011" s="51" t="s">
        <v>1426</v>
      </c>
      <c r="B1011" s="49" t="s">
        <v>562</v>
      </c>
      <c r="C1011" s="50" t="s">
        <v>564</v>
      </c>
      <c r="D1011">
        <f t="shared" ca="1" si="67"/>
        <v>0</v>
      </c>
      <c r="E1011" t="str">
        <f ca="1">IF(D1011=0,"",COUNTIF($D$2:D1011,"&gt;0"))</f>
        <v/>
      </c>
      <c r="F1011" s="24" t="str">
        <f t="shared" ca="1" si="69"/>
        <v/>
      </c>
    </row>
    <row r="1012" spans="1:6" ht="16.8">
      <c r="A1012" s="55" t="s">
        <v>1428</v>
      </c>
      <c r="B1012" s="49" t="s">
        <v>562</v>
      </c>
      <c r="C1012" s="50" t="s">
        <v>585</v>
      </c>
      <c r="D1012">
        <f t="shared" ca="1" si="67"/>
        <v>0</v>
      </c>
      <c r="E1012" t="str">
        <f ca="1">IF(D1012=0,"",COUNTIF($D$2:D1012,"&gt;0"))</f>
        <v/>
      </c>
      <c r="F1012" s="24" t="str">
        <f t="shared" ca="1" si="69"/>
        <v/>
      </c>
    </row>
    <row r="1013" spans="1:6" ht="16.8">
      <c r="A1013" s="55" t="s">
        <v>1429</v>
      </c>
      <c r="B1013" s="49" t="s">
        <v>562</v>
      </c>
      <c r="C1013" s="50" t="s">
        <v>566</v>
      </c>
      <c r="D1013">
        <f t="shared" ca="1" si="67"/>
        <v>0</v>
      </c>
      <c r="E1013" t="str">
        <f ca="1">IF(D1013=0,"",COUNTIF($D$2:D1013,"&gt;0"))</f>
        <v/>
      </c>
      <c r="F1013" s="24" t="str">
        <f t="shared" ca="1" si="69"/>
        <v/>
      </c>
    </row>
    <row r="1014" spans="1:6" ht="16.8">
      <c r="A1014" s="55" t="s">
        <v>1430</v>
      </c>
      <c r="B1014" s="49" t="s">
        <v>562</v>
      </c>
      <c r="C1014" s="50" t="s">
        <v>567</v>
      </c>
      <c r="D1014">
        <f t="shared" ca="1" si="67"/>
        <v>0</v>
      </c>
      <c r="E1014" t="str">
        <f ca="1">IF(D1014=0,"",COUNTIF($D$2:D1014,"&gt;0"))</f>
        <v/>
      </c>
      <c r="F1014" s="24" t="str">
        <f t="shared" ca="1" si="69"/>
        <v/>
      </c>
    </row>
    <row r="1015" spans="1:6" ht="16.8">
      <c r="A1015" s="55" t="s">
        <v>1431</v>
      </c>
      <c r="B1015" s="49" t="s">
        <v>562</v>
      </c>
      <c r="C1015" s="50" t="s">
        <v>568</v>
      </c>
      <c r="D1015">
        <f t="shared" ca="1" si="67"/>
        <v>0</v>
      </c>
      <c r="E1015" t="str">
        <f ca="1">IF(D1015=0,"",COUNTIF($D$2:D1015,"&gt;0"))</f>
        <v/>
      </c>
      <c r="F1015" s="24" t="str">
        <f t="shared" ca="1" si="69"/>
        <v/>
      </c>
    </row>
    <row r="1016" spans="1:6" ht="16.8">
      <c r="A1016" s="55" t="s">
        <v>1432</v>
      </c>
      <c r="B1016" s="49" t="s">
        <v>562</v>
      </c>
      <c r="C1016" s="50" t="s">
        <v>569</v>
      </c>
      <c r="D1016">
        <f t="shared" ref="D1016:D1093" ca="1" si="70">IFERROR(SEARCH(INDIRECT(CELL("address")),A1016),0)</f>
        <v>0</v>
      </c>
      <c r="E1016" t="str">
        <f ca="1">IF(D1016=0,"",COUNTIF($D$2:D1016,"&gt;0"))</f>
        <v/>
      </c>
      <c r="F1016" s="24" t="str">
        <f t="shared" ca="1" si="69"/>
        <v/>
      </c>
    </row>
    <row r="1017" spans="1:6" ht="16.8">
      <c r="A1017" s="57" t="s">
        <v>1433</v>
      </c>
      <c r="B1017" s="49" t="s">
        <v>562</v>
      </c>
      <c r="C1017" s="50" t="s">
        <v>570</v>
      </c>
      <c r="D1017">
        <f t="shared" ca="1" si="70"/>
        <v>0</v>
      </c>
      <c r="E1017" t="str">
        <f ca="1">IF(D1017=0,"",COUNTIF($D$2:D1017,"&gt;0"))</f>
        <v/>
      </c>
      <c r="F1017" s="24" t="str">
        <f t="shared" ca="1" si="69"/>
        <v/>
      </c>
    </row>
    <row r="1018" spans="1:6" ht="16.8">
      <c r="A1018" s="63" t="s">
        <v>1427</v>
      </c>
      <c r="B1018" s="49" t="s">
        <v>562</v>
      </c>
      <c r="C1018" s="50" t="s">
        <v>571</v>
      </c>
      <c r="D1018">
        <f t="shared" ca="1" si="70"/>
        <v>0</v>
      </c>
      <c r="E1018" t="str">
        <f ca="1">IF(D1018=0,"",COUNTIF($D$2:D1018,"&gt;0"))</f>
        <v/>
      </c>
      <c r="F1018" s="24" t="str">
        <f t="shared" ca="1" si="69"/>
        <v/>
      </c>
    </row>
    <row r="1019" spans="1:6" ht="16.8">
      <c r="A1019" s="62" t="s">
        <v>1434</v>
      </c>
      <c r="B1019" s="49"/>
      <c r="C1019" s="50"/>
      <c r="D1019">
        <f t="shared" ca="1" si="70"/>
        <v>0</v>
      </c>
      <c r="E1019" t="str">
        <f ca="1">IF(D1019=0,"",COUNTIF($D$2:D1019,"&gt;0"))</f>
        <v/>
      </c>
      <c r="F1019" s="24" t="str">
        <f t="shared" ca="1" si="69"/>
        <v/>
      </c>
    </row>
    <row r="1020" spans="1:6" ht="16.8">
      <c r="A1020" s="58" t="s">
        <v>1435</v>
      </c>
      <c r="B1020" s="49" t="s">
        <v>562</v>
      </c>
      <c r="C1020" s="50" t="s">
        <v>563</v>
      </c>
      <c r="D1020">
        <f t="shared" ca="1" si="70"/>
        <v>0</v>
      </c>
      <c r="E1020" t="str">
        <f ca="1">IF(D1020=0,"",COUNTIF($D$2:D1020,"&gt;0"))</f>
        <v/>
      </c>
      <c r="F1020" s="24" t="str">
        <f t="shared" ca="1" si="69"/>
        <v/>
      </c>
    </row>
    <row r="1021" spans="1:6" ht="16.8">
      <c r="A1021" s="57" t="s">
        <v>1436</v>
      </c>
      <c r="B1021" s="49" t="s">
        <v>562</v>
      </c>
      <c r="C1021" s="50" t="s">
        <v>586</v>
      </c>
      <c r="D1021">
        <f t="shared" ca="1" si="70"/>
        <v>0</v>
      </c>
      <c r="E1021" t="str">
        <f ca="1">IF(D1021=0,"",COUNTIF($D$2:D1021,"&gt;0"))</f>
        <v/>
      </c>
      <c r="F1021" s="24" t="str">
        <f t="shared" ca="1" si="69"/>
        <v/>
      </c>
    </row>
    <row r="1022" spans="1:6" ht="16.8">
      <c r="A1022" s="56" t="s">
        <v>1438</v>
      </c>
      <c r="B1022" s="49" t="s">
        <v>562</v>
      </c>
      <c r="C1022" s="50" t="s">
        <v>587</v>
      </c>
      <c r="D1022">
        <f t="shared" ca="1" si="70"/>
        <v>0</v>
      </c>
      <c r="E1022" t="str">
        <f ca="1">IF(D1022=0,"",COUNTIF($D$2:D1022,"&gt;0"))</f>
        <v/>
      </c>
      <c r="F1022" s="24" t="str">
        <f t="shared" ca="1" si="69"/>
        <v/>
      </c>
    </row>
    <row r="1023" spans="1:6" ht="16.8">
      <c r="A1023" s="56" t="s">
        <v>1439</v>
      </c>
      <c r="B1023" s="49" t="s">
        <v>562</v>
      </c>
      <c r="C1023" s="50" t="s">
        <v>588</v>
      </c>
      <c r="D1023">
        <f t="shared" ca="1" si="70"/>
        <v>0</v>
      </c>
      <c r="E1023" t="str">
        <f ca="1">IF(D1023=0,"",COUNTIF($D$2:D1023,"&gt;0"))</f>
        <v/>
      </c>
      <c r="F1023" s="24" t="str">
        <f t="shared" ca="1" si="69"/>
        <v/>
      </c>
    </row>
    <row r="1024" spans="1:6" ht="16.8">
      <c r="A1024" s="55" t="s">
        <v>1440</v>
      </c>
      <c r="B1024" s="49" t="s">
        <v>562</v>
      </c>
      <c r="C1024" s="50" t="s">
        <v>589</v>
      </c>
      <c r="D1024">
        <f t="shared" ca="1" si="70"/>
        <v>0</v>
      </c>
      <c r="E1024" t="str">
        <f ca="1">IF(D1024=0,"",COUNTIF($D$2:D1024,"&gt;0"))</f>
        <v/>
      </c>
      <c r="F1024" s="24" t="str">
        <f t="shared" ca="1" si="69"/>
        <v/>
      </c>
    </row>
    <row r="1025" spans="1:6" ht="16.8">
      <c r="A1025" s="55" t="s">
        <v>1441</v>
      </c>
      <c r="B1025" s="49" t="s">
        <v>562</v>
      </c>
      <c r="C1025" s="50" t="s">
        <v>568</v>
      </c>
      <c r="D1025">
        <f t="shared" ca="1" si="70"/>
        <v>0</v>
      </c>
      <c r="E1025" t="str">
        <f ca="1">IF(D1025=0,"",COUNTIF($D$2:D1025,"&gt;0"))</f>
        <v/>
      </c>
      <c r="F1025" s="24" t="str">
        <f t="shared" ca="1" si="69"/>
        <v/>
      </c>
    </row>
    <row r="1026" spans="1:6" ht="16.8">
      <c r="A1026" s="63" t="s">
        <v>1437</v>
      </c>
      <c r="B1026" s="49" t="s">
        <v>562</v>
      </c>
      <c r="C1026" s="50" t="s">
        <v>569</v>
      </c>
      <c r="D1026">
        <f t="shared" ca="1" si="70"/>
        <v>0</v>
      </c>
      <c r="E1026" t="str">
        <f ca="1">IF(D1026=0,"",COUNTIF($D$2:D1026,"&gt;0"))</f>
        <v/>
      </c>
      <c r="F1026" s="24" t="str">
        <f t="shared" ca="1" si="69"/>
        <v/>
      </c>
    </row>
    <row r="1027" spans="1:6" ht="16.8">
      <c r="A1027" s="62" t="s">
        <v>1442</v>
      </c>
      <c r="B1027" s="49"/>
      <c r="C1027" s="50"/>
      <c r="D1027">
        <f t="shared" ca="1" si="70"/>
        <v>0</v>
      </c>
      <c r="E1027" t="str">
        <f ca="1">IF(D1027=0,"",COUNTIF($D$2:D1027,"&gt;0"))</f>
        <v/>
      </c>
      <c r="F1027" s="24" t="str">
        <f t="shared" ca="1" si="69"/>
        <v/>
      </c>
    </row>
    <row r="1028" spans="1:6" ht="16.8">
      <c r="A1028" s="59" t="s">
        <v>1443</v>
      </c>
      <c r="B1028" s="49" t="s">
        <v>562</v>
      </c>
      <c r="C1028" s="50" t="s">
        <v>563</v>
      </c>
      <c r="D1028">
        <f t="shared" ca="1" si="70"/>
        <v>0</v>
      </c>
      <c r="E1028" t="str">
        <f ca="1">IF(D1028=0,"",COUNTIF($D$2:D1028,"&gt;0"))</f>
        <v/>
      </c>
      <c r="F1028" s="24" t="str">
        <f>IFERROR(INDEX(A:A,MATCH(ROW(#REF!),E:E,0)),"")</f>
        <v/>
      </c>
    </row>
    <row r="1029" spans="1:6" ht="16.8">
      <c r="A1029" s="56" t="s">
        <v>1444</v>
      </c>
      <c r="B1029" s="49" t="s">
        <v>562</v>
      </c>
      <c r="C1029" s="50" t="s">
        <v>590</v>
      </c>
      <c r="D1029">
        <f t="shared" ca="1" si="70"/>
        <v>0</v>
      </c>
      <c r="E1029" t="str">
        <f ca="1">IF(D1029=0,"",COUNTIF($D$2:D1029,"&gt;0"))</f>
        <v/>
      </c>
      <c r="F1029" s="24" t="str">
        <f ca="1">IFERROR(INDEX(A:A,MATCH(ROW(D1028),E:E,0)),"")</f>
        <v/>
      </c>
    </row>
    <row r="1030" spans="1:6" ht="16.8">
      <c r="A1030" s="59" t="s">
        <v>1445</v>
      </c>
      <c r="B1030" s="49" t="s">
        <v>562</v>
      </c>
      <c r="C1030" s="50" t="s">
        <v>590</v>
      </c>
      <c r="D1030">
        <f t="shared" ca="1" si="70"/>
        <v>0</v>
      </c>
      <c r="E1030" t="str">
        <f ca="1">IF(D1030=0,"",COUNTIF($D$2:D1030,"&gt;0"))</f>
        <v/>
      </c>
      <c r="F1030" s="24" t="str">
        <f ca="1">IFERROR(INDEX(A:A,MATCH(ROW(D1029),E:E,0)),"")</f>
        <v/>
      </c>
    </row>
    <row r="1031" spans="1:6" ht="16.8">
      <c r="A1031" s="59" t="s">
        <v>1446</v>
      </c>
      <c r="B1031" s="49" t="s">
        <v>562</v>
      </c>
      <c r="C1031" s="50" t="s">
        <v>591</v>
      </c>
      <c r="D1031">
        <f t="shared" ca="1" si="70"/>
        <v>0</v>
      </c>
      <c r="E1031" t="str">
        <f ca="1">IF(D1031=0,"",COUNTIF($D$2:D1031,"&gt;0"))</f>
        <v/>
      </c>
      <c r="F1031" s="24" t="str">
        <f ca="1">IFERROR(INDEX(A:A,MATCH(ROW(D1030),E:E,0)),"")</f>
        <v/>
      </c>
    </row>
    <row r="1032" spans="1:6" ht="16.8">
      <c r="A1032" s="55" t="s">
        <v>1447</v>
      </c>
      <c r="B1032" s="49" t="s">
        <v>592</v>
      </c>
      <c r="C1032" s="50" t="s">
        <v>593</v>
      </c>
      <c r="D1032">
        <f t="shared" ca="1" si="70"/>
        <v>0</v>
      </c>
      <c r="E1032" t="str">
        <f ca="1">IF(D1032=0,"",COUNTIF($D$2:D1032,"&gt;0"))</f>
        <v/>
      </c>
      <c r="F1032" s="24" t="str">
        <f ca="1">IFERROR(INDEX(A:A,MATCH(ROW(D1031),E:E,0)),"")</f>
        <v/>
      </c>
    </row>
    <row r="1033" spans="1:6" ht="16.8">
      <c r="A1033" s="56" t="s">
        <v>1449</v>
      </c>
      <c r="B1033" s="49" t="s">
        <v>562</v>
      </c>
      <c r="C1033" s="50" t="s">
        <v>594</v>
      </c>
      <c r="D1033">
        <f t="shared" ca="1" si="70"/>
        <v>0</v>
      </c>
      <c r="E1033" t="str">
        <f ca="1">IF(D1033=0,"",COUNTIF($D$2:D1033,"&gt;0"))</f>
        <v/>
      </c>
      <c r="F1033" s="24" t="str">
        <f ca="1">IFERROR(INDEX(A:A,MATCH(ROW(D1032),E:E,0)),"")</f>
        <v/>
      </c>
    </row>
    <row r="1034" spans="1:6" ht="16.8">
      <c r="A1034" s="55" t="s">
        <v>1450</v>
      </c>
      <c r="B1034" s="49" t="s">
        <v>592</v>
      </c>
      <c r="C1034" s="50" t="s">
        <v>588</v>
      </c>
      <c r="D1034">
        <f t="shared" ca="1" si="70"/>
        <v>0</v>
      </c>
      <c r="E1034" t="str">
        <f ca="1">IF(D1034=0,"",COUNTIF($D$2:D1034,"&gt;0"))</f>
        <v/>
      </c>
      <c r="F1034" s="24" t="str">
        <f ca="1">IFERROR(INDEX(A:A,MATCH(ROW(D1019),E:E,0)),"")</f>
        <v/>
      </c>
    </row>
    <row r="1035" spans="1:6" ht="16.8">
      <c r="A1035" s="55" t="s">
        <v>1451</v>
      </c>
      <c r="B1035" s="49" t="s">
        <v>562</v>
      </c>
      <c r="C1035" s="50" t="s">
        <v>568</v>
      </c>
      <c r="D1035">
        <f t="shared" ca="1" si="70"/>
        <v>0</v>
      </c>
      <c r="E1035" t="str">
        <f ca="1">IF(D1035=0,"",COUNTIF($D$2:D1035,"&gt;0"))</f>
        <v/>
      </c>
      <c r="F1035" s="24" t="str">
        <f t="shared" ref="F1035:F1098" ca="1" si="71">IFERROR(INDEX(A:A,MATCH(ROW(D1034),E:E,0)),"")</f>
        <v/>
      </c>
    </row>
    <row r="1036" spans="1:6" ht="16.8">
      <c r="A1036" s="55" t="s">
        <v>1452</v>
      </c>
      <c r="B1036" s="49" t="s">
        <v>592</v>
      </c>
      <c r="C1036" s="50" t="s">
        <v>595</v>
      </c>
      <c r="D1036">
        <f t="shared" ca="1" si="70"/>
        <v>0</v>
      </c>
      <c r="E1036" t="str">
        <f ca="1">IF(D1036=0,"",COUNTIF($D$2:D1036,"&gt;0"))</f>
        <v/>
      </c>
      <c r="F1036" s="24" t="str">
        <f t="shared" ca="1" si="71"/>
        <v/>
      </c>
    </row>
    <row r="1037" spans="1:6" ht="16.8">
      <c r="A1037" s="63" t="s">
        <v>1448</v>
      </c>
      <c r="B1037" s="49" t="s">
        <v>562</v>
      </c>
      <c r="C1037" s="50" t="s">
        <v>596</v>
      </c>
      <c r="D1037">
        <f t="shared" ca="1" si="70"/>
        <v>0</v>
      </c>
      <c r="E1037" t="str">
        <f ca="1">IF(D1037=0,"",COUNTIF($D$2:D1037,"&gt;0"))</f>
        <v/>
      </c>
      <c r="F1037" s="24" t="str">
        <f t="shared" ca="1" si="71"/>
        <v/>
      </c>
    </row>
    <row r="1038" spans="1:6" ht="16.8">
      <c r="A1038" s="62" t="s">
        <v>1453</v>
      </c>
      <c r="B1038" s="49"/>
      <c r="C1038" s="50"/>
      <c r="D1038">
        <f t="shared" ca="1" si="70"/>
        <v>0</v>
      </c>
      <c r="E1038" t="str">
        <f ca="1">IF(D1038=0,"",COUNTIF($D$2:D1038,"&gt;0"))</f>
        <v/>
      </c>
      <c r="F1038" s="24" t="str">
        <f t="shared" ca="1" si="71"/>
        <v/>
      </c>
    </row>
    <row r="1039" spans="1:6" ht="16.8">
      <c r="A1039" s="55" t="s">
        <v>1455</v>
      </c>
      <c r="B1039" s="49" t="s">
        <v>562</v>
      </c>
      <c r="C1039" s="50" t="s">
        <v>594</v>
      </c>
      <c r="D1039">
        <f t="shared" ca="1" si="70"/>
        <v>0</v>
      </c>
      <c r="E1039" t="str">
        <f ca="1">IF(D1039=0,"",COUNTIF($D$2:D1039,"&gt;0"))</f>
        <v/>
      </c>
      <c r="F1039" s="24" t="str">
        <f t="shared" ca="1" si="71"/>
        <v/>
      </c>
    </row>
    <row r="1040" spans="1:6" ht="16.8">
      <c r="A1040" s="55" t="s">
        <v>1456</v>
      </c>
      <c r="B1040" s="49" t="s">
        <v>592</v>
      </c>
      <c r="C1040" s="50" t="s">
        <v>588</v>
      </c>
      <c r="D1040">
        <f t="shared" ca="1" si="70"/>
        <v>0</v>
      </c>
      <c r="E1040" t="str">
        <f ca="1">IF(D1040=0,"",COUNTIF($D$2:D1040,"&gt;0"))</f>
        <v/>
      </c>
      <c r="F1040" s="24" t="str">
        <f t="shared" ca="1" si="71"/>
        <v/>
      </c>
    </row>
    <row r="1041" spans="1:6" ht="16.8">
      <c r="A1041" s="57" t="s">
        <v>1457</v>
      </c>
      <c r="B1041" s="49" t="s">
        <v>562</v>
      </c>
      <c r="C1041" s="50" t="s">
        <v>568</v>
      </c>
      <c r="D1041">
        <f t="shared" ca="1" si="70"/>
        <v>0</v>
      </c>
      <c r="E1041" t="str">
        <f ca="1">IF(D1041=0,"",COUNTIF($D$2:D1041,"&gt;0"))</f>
        <v/>
      </c>
      <c r="F1041" s="24" t="str">
        <f t="shared" ca="1" si="71"/>
        <v/>
      </c>
    </row>
    <row r="1042" spans="1:6" ht="16.8">
      <c r="A1042" s="57" t="s">
        <v>1458</v>
      </c>
      <c r="B1042" s="49" t="s">
        <v>562</v>
      </c>
      <c r="C1042" s="50" t="s">
        <v>595</v>
      </c>
      <c r="D1042">
        <f t="shared" ca="1" si="70"/>
        <v>0</v>
      </c>
      <c r="E1042" t="str">
        <f ca="1">IF(D1042=0,"",COUNTIF($D$2:D1042,"&gt;0"))</f>
        <v/>
      </c>
      <c r="F1042" s="24" t="str">
        <f t="shared" ca="1" si="71"/>
        <v/>
      </c>
    </row>
    <row r="1043" spans="1:6" ht="16.8">
      <c r="A1043" s="56" t="s">
        <v>1454</v>
      </c>
      <c r="B1043" s="49" t="s">
        <v>592</v>
      </c>
      <c r="C1043" s="50" t="s">
        <v>596</v>
      </c>
      <c r="D1043">
        <f t="shared" ca="1" si="70"/>
        <v>0</v>
      </c>
      <c r="E1043" t="str">
        <f ca="1">IF(D1043=0,"",COUNTIF($D$2:D1043,"&gt;0"))</f>
        <v/>
      </c>
      <c r="F1043" s="24" t="str">
        <f t="shared" ca="1" si="71"/>
        <v/>
      </c>
    </row>
    <row r="1044" spans="1:6" ht="16.8">
      <c r="A1044" s="62" t="s">
        <v>1459</v>
      </c>
      <c r="B1044" s="49"/>
      <c r="C1044" s="50"/>
      <c r="D1044">
        <f t="shared" ca="1" si="70"/>
        <v>0</v>
      </c>
      <c r="E1044" t="str">
        <f ca="1">IF(D1044=0,"",COUNTIF($D$2:D1044,"&gt;0"))</f>
        <v/>
      </c>
      <c r="F1044" s="24" t="str">
        <f t="shared" ca="1" si="71"/>
        <v/>
      </c>
    </row>
    <row r="1045" spans="1:6" ht="16.8">
      <c r="A1045" s="56" t="s">
        <v>1460</v>
      </c>
      <c r="B1045" s="49" t="s">
        <v>592</v>
      </c>
      <c r="C1045" s="50" t="s">
        <v>597</v>
      </c>
      <c r="D1045">
        <f t="shared" ca="1" si="70"/>
        <v>0</v>
      </c>
      <c r="E1045" t="str">
        <f ca="1">IF(D1045=0,"",COUNTIF($D$2:D1045,"&gt;0"))</f>
        <v/>
      </c>
      <c r="F1045" s="24" t="str">
        <f t="shared" ca="1" si="71"/>
        <v/>
      </c>
    </row>
    <row r="1046" spans="1:6" ht="16.8">
      <c r="A1046" s="57" t="s">
        <v>1461</v>
      </c>
      <c r="B1046" s="49" t="s">
        <v>562</v>
      </c>
      <c r="C1046" s="50" t="s">
        <v>594</v>
      </c>
      <c r="D1046">
        <f t="shared" ca="1" si="70"/>
        <v>0</v>
      </c>
      <c r="E1046" t="str">
        <f ca="1">IF(D1046=0,"",COUNTIF($D$2:D1046,"&gt;0"))</f>
        <v/>
      </c>
      <c r="F1046" s="24" t="str">
        <f t="shared" ca="1" si="71"/>
        <v/>
      </c>
    </row>
    <row r="1047" spans="1:6" ht="16.8">
      <c r="A1047" s="57" t="s">
        <v>1463</v>
      </c>
      <c r="B1047" s="49" t="s">
        <v>562</v>
      </c>
      <c r="C1047" s="50" t="s">
        <v>566</v>
      </c>
      <c r="D1047">
        <f t="shared" ca="1" si="70"/>
        <v>0</v>
      </c>
      <c r="E1047" t="str">
        <f ca="1">IF(D1047=0,"",COUNTIF($D$2:D1047,"&gt;0"))</f>
        <v/>
      </c>
      <c r="F1047" s="24" t="str">
        <f t="shared" ca="1" si="71"/>
        <v/>
      </c>
    </row>
    <row r="1048" spans="1:6" ht="16.8">
      <c r="A1048" s="63" t="s">
        <v>1462</v>
      </c>
      <c r="B1048" s="49" t="s">
        <v>562</v>
      </c>
      <c r="C1048" s="50" t="s">
        <v>598</v>
      </c>
      <c r="D1048">
        <f t="shared" ca="1" si="70"/>
        <v>0</v>
      </c>
      <c r="E1048" t="str">
        <f ca="1">IF(D1048=0,"",COUNTIF($D$2:D1048,"&gt;0"))</f>
        <v/>
      </c>
      <c r="F1048" s="24" t="str">
        <f t="shared" ca="1" si="71"/>
        <v/>
      </c>
    </row>
    <row r="1049" spans="1:6" ht="16.8">
      <c r="A1049" s="71" t="s">
        <v>1464</v>
      </c>
      <c r="B1049" s="49"/>
      <c r="C1049" s="50"/>
      <c r="D1049">
        <f t="shared" ca="1" si="70"/>
        <v>0</v>
      </c>
      <c r="E1049" t="str">
        <f ca="1">IF(D1049=0,"",COUNTIF($D$2:D1049,"&gt;0"))</f>
        <v/>
      </c>
      <c r="F1049" s="24" t="str">
        <f t="shared" ca="1" si="71"/>
        <v/>
      </c>
    </row>
    <row r="1050" spans="1:6" ht="16.8">
      <c r="A1050" s="57" t="s">
        <v>1465</v>
      </c>
      <c r="B1050" s="49" t="s">
        <v>562</v>
      </c>
      <c r="C1050" s="50" t="s">
        <v>599</v>
      </c>
      <c r="D1050">
        <f t="shared" ca="1" si="70"/>
        <v>0</v>
      </c>
      <c r="E1050" t="str">
        <f ca="1">IF(D1050=0,"",COUNTIF($D$2:D1050,"&gt;0"))</f>
        <v/>
      </c>
      <c r="F1050" s="24" t="str">
        <f t="shared" ca="1" si="71"/>
        <v/>
      </c>
    </row>
    <row r="1051" spans="1:6" ht="33.6">
      <c r="A1051" s="72" t="s">
        <v>1467</v>
      </c>
      <c r="B1051" s="49" t="s">
        <v>600</v>
      </c>
      <c r="C1051" s="50" t="s">
        <v>594</v>
      </c>
      <c r="D1051">
        <f t="shared" ca="1" si="70"/>
        <v>0</v>
      </c>
      <c r="E1051" t="str">
        <f ca="1">IF(D1051=0,"",COUNTIF($D$2:D1051,"&gt;0"))</f>
        <v/>
      </c>
      <c r="F1051" s="24" t="str">
        <f t="shared" ca="1" si="71"/>
        <v/>
      </c>
    </row>
    <row r="1052" spans="1:6" ht="16.8">
      <c r="A1052" s="55" t="s">
        <v>1468</v>
      </c>
      <c r="B1052" s="49" t="s">
        <v>562</v>
      </c>
      <c r="C1052" s="50" t="s">
        <v>585</v>
      </c>
      <c r="D1052">
        <f t="shared" ca="1" si="70"/>
        <v>0</v>
      </c>
      <c r="E1052" t="str">
        <f ca="1">IF(D1052=0,"",COUNTIF($D$2:D1052,"&gt;0"))</f>
        <v/>
      </c>
      <c r="F1052" s="24" t="str">
        <f t="shared" ca="1" si="71"/>
        <v/>
      </c>
    </row>
    <row r="1053" spans="1:6" ht="16.8">
      <c r="A1053" s="57" t="s">
        <v>1469</v>
      </c>
      <c r="B1053" s="49" t="s">
        <v>592</v>
      </c>
      <c r="C1053" s="50" t="s">
        <v>601</v>
      </c>
      <c r="D1053">
        <f t="shared" ca="1" si="70"/>
        <v>0</v>
      </c>
      <c r="E1053" t="str">
        <f ca="1">IF(D1053=0,"",COUNTIF($D$2:D1053,"&gt;0"))</f>
        <v/>
      </c>
      <c r="F1053" s="24" t="str">
        <f t="shared" ca="1" si="71"/>
        <v/>
      </c>
    </row>
    <row r="1054" spans="1:6" ht="16.8">
      <c r="A1054" s="55" t="s">
        <v>1470</v>
      </c>
      <c r="B1054" s="49" t="s">
        <v>562</v>
      </c>
      <c r="C1054" s="50" t="s">
        <v>567</v>
      </c>
      <c r="D1054">
        <f t="shared" ca="1" si="70"/>
        <v>0</v>
      </c>
      <c r="E1054" t="str">
        <f ca="1">IF(D1054=0,"",COUNTIF($D$2:D1054,"&gt;0"))</f>
        <v/>
      </c>
      <c r="F1054" s="24" t="str">
        <f t="shared" ca="1" si="71"/>
        <v/>
      </c>
    </row>
    <row r="1055" spans="1:6" ht="16.8">
      <c r="A1055" s="56" t="s">
        <v>1466</v>
      </c>
      <c r="B1055" s="49" t="s">
        <v>562</v>
      </c>
      <c r="C1055" s="50" t="s">
        <v>602</v>
      </c>
      <c r="D1055">
        <f t="shared" ca="1" si="70"/>
        <v>0</v>
      </c>
      <c r="E1055" t="str">
        <f ca="1">IF(D1055=0,"",COUNTIF($D$2:D1055,"&gt;0"))</f>
        <v/>
      </c>
      <c r="F1055" s="24" t="str">
        <f t="shared" ca="1" si="71"/>
        <v/>
      </c>
    </row>
    <row r="1056" spans="1:6" ht="16.8">
      <c r="A1056" s="62" t="s">
        <v>1471</v>
      </c>
      <c r="B1056" s="49"/>
      <c r="C1056" s="50"/>
      <c r="D1056">
        <f t="shared" ca="1" si="70"/>
        <v>0</v>
      </c>
      <c r="E1056" t="str">
        <f ca="1">IF(D1056=0,"",COUNTIF($D$2:D1056,"&gt;0"))</f>
        <v/>
      </c>
      <c r="F1056" s="24" t="str">
        <f t="shared" ca="1" si="71"/>
        <v/>
      </c>
    </row>
    <row r="1057" spans="1:6" ht="33.6">
      <c r="A1057" s="59" t="s">
        <v>1472</v>
      </c>
      <c r="B1057" s="49" t="s">
        <v>562</v>
      </c>
      <c r="C1057" s="50" t="s">
        <v>563</v>
      </c>
      <c r="D1057">
        <f t="shared" ca="1" si="70"/>
        <v>0</v>
      </c>
      <c r="E1057" t="str">
        <f ca="1">IF(D1057=0,"",COUNTIF($D$2:D1057,"&gt;0"))</f>
        <v/>
      </c>
      <c r="F1057" s="24" t="str">
        <f t="shared" ca="1" si="71"/>
        <v/>
      </c>
    </row>
    <row r="1058" spans="1:6" ht="16.8">
      <c r="A1058" s="55" t="s">
        <v>1473</v>
      </c>
      <c r="B1058" s="49" t="s">
        <v>562</v>
      </c>
      <c r="C1058" s="50" t="s">
        <v>603</v>
      </c>
      <c r="D1058">
        <f t="shared" ca="1" si="70"/>
        <v>0</v>
      </c>
      <c r="E1058" t="str">
        <f ca="1">IF(D1058=0,"",COUNTIF($D$2:D1058,"&gt;0"))</f>
        <v/>
      </c>
      <c r="F1058" s="24" t="str">
        <f t="shared" ca="1" si="71"/>
        <v/>
      </c>
    </row>
    <row r="1059" spans="1:6" ht="16.8">
      <c r="A1059" s="55" t="s">
        <v>1475</v>
      </c>
      <c r="B1059" s="49" t="s">
        <v>562</v>
      </c>
      <c r="C1059" s="50" t="s">
        <v>604</v>
      </c>
      <c r="D1059">
        <f t="shared" ca="1" si="70"/>
        <v>0</v>
      </c>
      <c r="E1059" t="str">
        <f ca="1">IF(D1059=0,"",COUNTIF($D$2:D1059,"&gt;0"))</f>
        <v/>
      </c>
      <c r="F1059" s="24" t="str">
        <f t="shared" ca="1" si="71"/>
        <v/>
      </c>
    </row>
    <row r="1060" spans="1:6" ht="16.8">
      <c r="A1060" s="55" t="s">
        <v>1476</v>
      </c>
      <c r="B1060" s="49" t="s">
        <v>592</v>
      </c>
      <c r="C1060" s="50" t="s">
        <v>605</v>
      </c>
      <c r="D1060">
        <f t="shared" ca="1" si="70"/>
        <v>0</v>
      </c>
      <c r="E1060" t="str">
        <f ca="1">IF(D1060=0,"",COUNTIF($D$2:D1060,"&gt;0"))</f>
        <v/>
      </c>
      <c r="F1060" s="24" t="str">
        <f t="shared" ca="1" si="71"/>
        <v/>
      </c>
    </row>
    <row r="1061" spans="1:6" ht="16.8">
      <c r="A1061" s="57" t="s">
        <v>1477</v>
      </c>
      <c r="B1061" s="49" t="s">
        <v>562</v>
      </c>
      <c r="C1061" s="50" t="s">
        <v>606</v>
      </c>
      <c r="D1061">
        <f t="shared" ca="1" si="70"/>
        <v>0</v>
      </c>
      <c r="E1061" t="str">
        <f ca="1">IF(D1061=0,"",COUNTIF($D$2:D1061,"&gt;0"))</f>
        <v/>
      </c>
      <c r="F1061" s="24" t="str">
        <f t="shared" ca="1" si="71"/>
        <v/>
      </c>
    </row>
    <row r="1062" spans="1:6" ht="16.8">
      <c r="A1062" s="55" t="s">
        <v>1478</v>
      </c>
      <c r="B1062" s="49" t="s">
        <v>562</v>
      </c>
      <c r="C1062" s="50" t="s">
        <v>607</v>
      </c>
      <c r="D1062">
        <f t="shared" ca="1" si="70"/>
        <v>0</v>
      </c>
      <c r="E1062" t="str">
        <f ca="1">IF(D1062=0,"",COUNTIF($D$2:D1062,"&gt;0"))</f>
        <v/>
      </c>
      <c r="F1062" s="24" t="str">
        <f t="shared" ca="1" si="71"/>
        <v/>
      </c>
    </row>
    <row r="1063" spans="1:6" ht="16.8">
      <c r="A1063" s="56" t="s">
        <v>1474</v>
      </c>
      <c r="B1063" s="49" t="s">
        <v>562</v>
      </c>
      <c r="C1063" s="50" t="s">
        <v>608</v>
      </c>
      <c r="D1063">
        <f t="shared" ca="1" si="70"/>
        <v>0</v>
      </c>
      <c r="E1063" t="str">
        <f ca="1">IF(D1063=0,"",COUNTIF($D$2:D1063,"&gt;0"))</f>
        <v/>
      </c>
      <c r="F1063" s="24" t="str">
        <f t="shared" ca="1" si="71"/>
        <v/>
      </c>
    </row>
    <row r="1064" spans="1:6" ht="16.8">
      <c r="A1064" s="62" t="s">
        <v>1479</v>
      </c>
      <c r="B1064" s="49"/>
      <c r="C1064" s="50"/>
      <c r="D1064">
        <f t="shared" ca="1" si="70"/>
        <v>0</v>
      </c>
      <c r="E1064" t="str">
        <f ca="1">IF(D1064=0,"",COUNTIF($D$2:D1064,"&gt;0"))</f>
        <v/>
      </c>
      <c r="F1064" s="24" t="str">
        <f t="shared" ca="1" si="71"/>
        <v/>
      </c>
    </row>
    <row r="1065" spans="1:6" ht="16.8">
      <c r="A1065" s="63" t="s">
        <v>1480</v>
      </c>
      <c r="B1065" s="49" t="s">
        <v>562</v>
      </c>
      <c r="C1065" s="50" t="s">
        <v>584</v>
      </c>
      <c r="D1065">
        <f t="shared" ca="1" si="70"/>
        <v>0</v>
      </c>
      <c r="E1065" t="str">
        <f ca="1">IF(D1065=0,"",COUNTIF($D$2:D1065,"&gt;0"))</f>
        <v/>
      </c>
      <c r="F1065" s="24" t="str">
        <f t="shared" ca="1" si="71"/>
        <v/>
      </c>
    </row>
    <row r="1066" spans="1:6" ht="16.8">
      <c r="A1066" s="55" t="s">
        <v>1481</v>
      </c>
      <c r="B1066" s="49" t="s">
        <v>562</v>
      </c>
      <c r="C1066" s="50" t="s">
        <v>564</v>
      </c>
      <c r="D1066">
        <f t="shared" ca="1" si="70"/>
        <v>0</v>
      </c>
      <c r="E1066" t="str">
        <f ca="1">IF(D1066=0,"",COUNTIF($D$2:D1066,"&gt;0"))</f>
        <v/>
      </c>
      <c r="F1066" s="24" t="str">
        <f t="shared" ca="1" si="71"/>
        <v/>
      </c>
    </row>
    <row r="1067" spans="1:6" ht="16.8">
      <c r="A1067" s="55" t="s">
        <v>1483</v>
      </c>
      <c r="B1067" s="49" t="s">
        <v>562</v>
      </c>
      <c r="C1067" s="50" t="s">
        <v>587</v>
      </c>
      <c r="D1067">
        <f t="shared" ca="1" si="70"/>
        <v>0</v>
      </c>
      <c r="E1067" t="str">
        <f ca="1">IF(D1067=0,"",COUNTIF($D$2:D1067,"&gt;0"))</f>
        <v/>
      </c>
      <c r="F1067" s="24" t="str">
        <f t="shared" ca="1" si="71"/>
        <v/>
      </c>
    </row>
    <row r="1068" spans="1:6" ht="16.8">
      <c r="A1068" s="57" t="s">
        <v>1484</v>
      </c>
      <c r="B1068" s="49" t="s">
        <v>562</v>
      </c>
      <c r="C1068" s="50" t="s">
        <v>585</v>
      </c>
      <c r="D1068">
        <f t="shared" ca="1" si="70"/>
        <v>0</v>
      </c>
      <c r="E1068" t="str">
        <f ca="1">IF(D1068=0,"",COUNTIF($D$2:D1068,"&gt;0"))</f>
        <v/>
      </c>
      <c r="F1068" s="24" t="str">
        <f t="shared" ca="1" si="71"/>
        <v/>
      </c>
    </row>
    <row r="1069" spans="1:6" ht="16.8">
      <c r="A1069" s="55" t="s">
        <v>1485</v>
      </c>
      <c r="B1069" s="49" t="s">
        <v>592</v>
      </c>
      <c r="C1069" s="50" t="s">
        <v>609</v>
      </c>
      <c r="D1069">
        <f t="shared" ca="1" si="70"/>
        <v>0</v>
      </c>
      <c r="E1069" t="str">
        <f ca="1">IF(D1069=0,"",COUNTIF($D$2:D1069,"&gt;0"))</f>
        <v/>
      </c>
      <c r="F1069" s="24" t="str">
        <f t="shared" ca="1" si="71"/>
        <v/>
      </c>
    </row>
    <row r="1070" spans="1:6" ht="16.8">
      <c r="A1070" s="63" t="s">
        <v>1482</v>
      </c>
      <c r="B1070" s="49" t="s">
        <v>562</v>
      </c>
      <c r="C1070" s="50" t="s">
        <v>610</v>
      </c>
      <c r="D1070">
        <f t="shared" ca="1" si="70"/>
        <v>0</v>
      </c>
      <c r="E1070" t="str">
        <f ca="1">IF(D1070=0,"",COUNTIF($D$2:D1070,"&gt;0"))</f>
        <v/>
      </c>
      <c r="F1070" s="24" t="str">
        <f t="shared" ca="1" si="71"/>
        <v/>
      </c>
    </row>
    <row r="1071" spans="1:6" ht="16.8">
      <c r="A1071" s="62" t="s">
        <v>1486</v>
      </c>
      <c r="B1071" s="49"/>
      <c r="C1071" s="50"/>
      <c r="D1071">
        <f t="shared" ca="1" si="70"/>
        <v>0</v>
      </c>
      <c r="E1071" t="str">
        <f ca="1">IF(D1071=0,"",COUNTIF($D$2:D1071,"&gt;0"))</f>
        <v/>
      </c>
      <c r="F1071" s="24" t="str">
        <f t="shared" ca="1" si="71"/>
        <v/>
      </c>
    </row>
    <row r="1072" spans="1:6" ht="16.8">
      <c r="A1072" s="55" t="s">
        <v>1487</v>
      </c>
      <c r="B1072" s="49" t="s">
        <v>611</v>
      </c>
      <c r="C1072" s="50" t="s">
        <v>605</v>
      </c>
      <c r="D1072">
        <f t="shared" ca="1" si="70"/>
        <v>0</v>
      </c>
      <c r="E1072" t="str">
        <f ca="1">IF(D1072=0,"",COUNTIF($D$2:D1072,"&gt;0"))</f>
        <v/>
      </c>
      <c r="F1072" s="24" t="str">
        <f t="shared" ca="1" si="71"/>
        <v/>
      </c>
    </row>
    <row r="1073" spans="1:6" ht="16.8">
      <c r="A1073" s="55" t="s">
        <v>1489</v>
      </c>
      <c r="B1073" s="49" t="s">
        <v>611</v>
      </c>
      <c r="C1073" s="50" t="s">
        <v>612</v>
      </c>
      <c r="D1073">
        <f t="shared" ca="1" si="70"/>
        <v>0</v>
      </c>
      <c r="E1073" t="str">
        <f ca="1">IF(D1073=0,"",COUNTIF($D$2:D1073,"&gt;0"))</f>
        <v/>
      </c>
      <c r="F1073" s="24" t="str">
        <f t="shared" ca="1" si="71"/>
        <v/>
      </c>
    </row>
    <row r="1074" spans="1:6" ht="16.8">
      <c r="A1074" s="55" t="s">
        <v>1490</v>
      </c>
      <c r="B1074" s="49" t="s">
        <v>611</v>
      </c>
      <c r="C1074" s="50" t="s">
        <v>613</v>
      </c>
      <c r="D1074">
        <f t="shared" ca="1" si="70"/>
        <v>0</v>
      </c>
      <c r="E1074" t="str">
        <f ca="1">IF(D1074=0,"",COUNTIF($D$2:D1074,"&gt;0"))</f>
        <v/>
      </c>
      <c r="F1074" s="24" t="str">
        <f t="shared" ca="1" si="71"/>
        <v/>
      </c>
    </row>
    <row r="1075" spans="1:6" ht="16.8">
      <c r="A1075" s="56" t="s">
        <v>1488</v>
      </c>
      <c r="B1075" s="49" t="s">
        <v>611</v>
      </c>
      <c r="C1075" s="50" t="s">
        <v>607</v>
      </c>
      <c r="D1075">
        <f t="shared" ca="1" si="70"/>
        <v>0</v>
      </c>
      <c r="E1075" t="str">
        <f ca="1">IF(D1075=0,"",COUNTIF($D$2:D1075,"&gt;0"))</f>
        <v/>
      </c>
      <c r="F1075" s="24" t="str">
        <f t="shared" ca="1" si="71"/>
        <v/>
      </c>
    </row>
    <row r="1076" spans="1:6" ht="16.8">
      <c r="A1076" s="62" t="s">
        <v>1491</v>
      </c>
      <c r="B1076" s="49"/>
      <c r="C1076" s="50"/>
      <c r="D1076">
        <f t="shared" ca="1" si="70"/>
        <v>0</v>
      </c>
      <c r="E1076" t="str">
        <f ca="1">IF(D1076=0,"",COUNTIF($D$2:D1076,"&gt;0"))</f>
        <v/>
      </c>
      <c r="F1076" s="24" t="str">
        <f t="shared" ca="1" si="71"/>
        <v/>
      </c>
    </row>
    <row r="1077" spans="1:6" ht="16.8">
      <c r="A1077" s="56" t="s">
        <v>1492</v>
      </c>
      <c r="B1077" s="49" t="s">
        <v>592</v>
      </c>
      <c r="C1077" s="50" t="s">
        <v>614</v>
      </c>
      <c r="D1077">
        <f t="shared" ca="1" si="70"/>
        <v>0</v>
      </c>
      <c r="E1077" t="str">
        <f ca="1">IF(D1077=0,"",COUNTIF($D$2:D1077,"&gt;0"))</f>
        <v/>
      </c>
      <c r="F1077" s="24" t="str">
        <f t="shared" ca="1" si="71"/>
        <v/>
      </c>
    </row>
    <row r="1078" spans="1:6" ht="16.8">
      <c r="A1078" s="55" t="s">
        <v>1493</v>
      </c>
      <c r="B1078" s="49" t="s">
        <v>562</v>
      </c>
      <c r="C1078" s="50" t="s">
        <v>563</v>
      </c>
      <c r="D1078">
        <f t="shared" ca="1" si="70"/>
        <v>0</v>
      </c>
      <c r="E1078" t="str">
        <f ca="1">IF(D1078=0,"",COUNTIF($D$2:D1078,"&gt;0"))</f>
        <v/>
      </c>
      <c r="F1078" s="24" t="str">
        <f t="shared" ca="1" si="71"/>
        <v/>
      </c>
    </row>
    <row r="1079" spans="1:6" ht="16.8">
      <c r="A1079" s="55" t="s">
        <v>1495</v>
      </c>
      <c r="B1079" s="49" t="s">
        <v>562</v>
      </c>
      <c r="C1079" s="50" t="s">
        <v>593</v>
      </c>
      <c r="D1079">
        <f t="shared" ca="1" si="70"/>
        <v>0</v>
      </c>
      <c r="E1079" t="str">
        <f ca="1">IF(D1079=0,"",COUNTIF($D$2:D1079,"&gt;0"))</f>
        <v/>
      </c>
      <c r="F1079" s="24" t="str">
        <f t="shared" ca="1" si="71"/>
        <v/>
      </c>
    </row>
    <row r="1080" spans="1:6" ht="16.8">
      <c r="A1080" s="55" t="s">
        <v>1496</v>
      </c>
      <c r="B1080" s="49" t="s">
        <v>562</v>
      </c>
      <c r="C1080" s="50" t="s">
        <v>585</v>
      </c>
      <c r="D1080">
        <f t="shared" ca="1" si="70"/>
        <v>0</v>
      </c>
      <c r="E1080" t="str">
        <f ca="1">IF(D1080=0,"",COUNTIF($D$2:D1080,"&gt;0"))</f>
        <v/>
      </c>
      <c r="F1080" s="24" t="str">
        <f t="shared" ca="1" si="71"/>
        <v/>
      </c>
    </row>
    <row r="1081" spans="1:6" ht="16.8">
      <c r="A1081" s="56" t="s">
        <v>1494</v>
      </c>
      <c r="B1081" s="49" t="s">
        <v>562</v>
      </c>
      <c r="C1081" s="50" t="s">
        <v>589</v>
      </c>
      <c r="D1081">
        <f t="shared" ca="1" si="70"/>
        <v>0</v>
      </c>
      <c r="E1081" t="str">
        <f ca="1">IF(D1081=0,"",COUNTIF($D$2:D1081,"&gt;0"))</f>
        <v/>
      </c>
      <c r="F1081" s="24" t="str">
        <f t="shared" ca="1" si="71"/>
        <v/>
      </c>
    </row>
    <row r="1082" spans="1:6" ht="16.8">
      <c r="A1082" s="62" t="s">
        <v>1497</v>
      </c>
      <c r="B1082" s="49"/>
      <c r="C1082" s="50"/>
      <c r="D1082">
        <f t="shared" ca="1" si="70"/>
        <v>0</v>
      </c>
      <c r="E1082" t="str">
        <f ca="1">IF(D1082=0,"",COUNTIF($D$2:D1082,"&gt;0"))</f>
        <v/>
      </c>
      <c r="F1082" s="24" t="str">
        <f t="shared" ca="1" si="71"/>
        <v/>
      </c>
    </row>
    <row r="1083" spans="1:6" ht="33.6">
      <c r="A1083" s="58" t="s">
        <v>1498</v>
      </c>
      <c r="B1083" s="49" t="s">
        <v>562</v>
      </c>
      <c r="C1083" s="50" t="s">
        <v>586</v>
      </c>
      <c r="D1083">
        <f t="shared" ca="1" si="70"/>
        <v>0</v>
      </c>
      <c r="E1083" t="str">
        <f ca="1">IF(D1083=0,"",COUNTIF($D$2:D1083,"&gt;0"))</f>
        <v/>
      </c>
      <c r="F1083" s="24" t="str">
        <f t="shared" ca="1" si="71"/>
        <v/>
      </c>
    </row>
    <row r="1084" spans="1:6" ht="33.6">
      <c r="A1084" s="59" t="s">
        <v>1499</v>
      </c>
      <c r="B1084" s="49" t="s">
        <v>562</v>
      </c>
      <c r="C1084" s="50" t="s">
        <v>615</v>
      </c>
      <c r="D1084">
        <f t="shared" ca="1" si="70"/>
        <v>0</v>
      </c>
      <c r="E1084" t="str">
        <f ca="1">IF(D1084=0,"",COUNTIF($D$2:D1084,"&gt;0"))</f>
        <v/>
      </c>
      <c r="F1084" s="24" t="str">
        <f t="shared" ca="1" si="71"/>
        <v/>
      </c>
    </row>
    <row r="1085" spans="1:6" ht="33.6">
      <c r="A1085" s="58" t="s">
        <v>1500</v>
      </c>
      <c r="B1085" s="49" t="s">
        <v>562</v>
      </c>
      <c r="C1085" s="50" t="s">
        <v>616</v>
      </c>
      <c r="D1085">
        <f t="shared" ca="1" si="70"/>
        <v>0</v>
      </c>
      <c r="E1085" t="str">
        <f ca="1">IF(D1085=0,"",COUNTIF($D$2:D1085,"&gt;0"))</f>
        <v/>
      </c>
      <c r="F1085" s="24" t="str">
        <f t="shared" ca="1" si="71"/>
        <v/>
      </c>
    </row>
    <row r="1086" spans="1:6" ht="16.8">
      <c r="A1086" s="56" t="s">
        <v>1729</v>
      </c>
      <c r="B1086" s="49" t="s">
        <v>562</v>
      </c>
      <c r="C1086" s="50" t="s">
        <v>617</v>
      </c>
      <c r="D1086">
        <f t="shared" ca="1" si="70"/>
        <v>0</v>
      </c>
      <c r="E1086" t="str">
        <f ca="1">IF(D1086=0,"",COUNTIF($D$2:D1086,"&gt;0"))</f>
        <v/>
      </c>
      <c r="F1086" s="24" t="str">
        <f t="shared" ca="1" si="71"/>
        <v/>
      </c>
    </row>
    <row r="1087" spans="1:6" ht="16.8">
      <c r="A1087" s="59" t="s">
        <v>1504</v>
      </c>
      <c r="B1087" s="49" t="s">
        <v>562</v>
      </c>
      <c r="C1087" s="50" t="s">
        <v>618</v>
      </c>
      <c r="D1087">
        <f t="shared" ca="1" si="70"/>
        <v>0</v>
      </c>
      <c r="E1087" t="str">
        <f ca="1">IF(D1087=0,"",COUNTIF($D$2:D1087,"&gt;0"))</f>
        <v/>
      </c>
      <c r="F1087" s="24" t="str">
        <f t="shared" ca="1" si="71"/>
        <v/>
      </c>
    </row>
    <row r="1088" spans="1:6" ht="16.8">
      <c r="A1088" s="59" t="s">
        <v>1505</v>
      </c>
      <c r="B1088" s="49" t="s">
        <v>562</v>
      </c>
      <c r="C1088" s="50" t="s">
        <v>619</v>
      </c>
      <c r="D1088">
        <f t="shared" ca="1" si="70"/>
        <v>0</v>
      </c>
      <c r="E1088" t="str">
        <f ca="1">IF(D1088=0,"",COUNTIF($D$2:D1088,"&gt;0"))</f>
        <v/>
      </c>
      <c r="F1088" s="24" t="str">
        <f t="shared" ca="1" si="71"/>
        <v/>
      </c>
    </row>
    <row r="1089" spans="1:6" ht="16.8">
      <c r="A1089" s="59" t="s">
        <v>1506</v>
      </c>
      <c r="B1089" s="49" t="s">
        <v>562</v>
      </c>
      <c r="C1089" s="50" t="s">
        <v>620</v>
      </c>
      <c r="D1089">
        <f t="shared" ca="1" si="70"/>
        <v>0</v>
      </c>
      <c r="E1089" t="str">
        <f ca="1">IF(D1089=0,"",COUNTIF($D$2:D1089,"&gt;0"))</f>
        <v/>
      </c>
      <c r="F1089" s="24" t="str">
        <f t="shared" ca="1" si="71"/>
        <v/>
      </c>
    </row>
    <row r="1090" spans="1:6" ht="16.8">
      <c r="A1090" s="59" t="s">
        <v>1507</v>
      </c>
      <c r="B1090" s="49" t="s">
        <v>562</v>
      </c>
      <c r="C1090" s="50" t="s">
        <v>621</v>
      </c>
      <c r="D1090">
        <f t="shared" ca="1" si="70"/>
        <v>0</v>
      </c>
      <c r="E1090" t="str">
        <f ca="1">IF(D1090=0,"",COUNTIF($D$2:D1090,"&gt;0"))</f>
        <v/>
      </c>
      <c r="F1090" s="24" t="str">
        <f t="shared" ca="1" si="71"/>
        <v/>
      </c>
    </row>
    <row r="1091" spans="1:6" ht="16.8">
      <c r="A1091" s="59" t="s">
        <v>1508</v>
      </c>
      <c r="B1091" s="49" t="s">
        <v>562</v>
      </c>
      <c r="C1091" s="50" t="s">
        <v>622</v>
      </c>
      <c r="D1091">
        <f t="shared" ca="1" si="70"/>
        <v>0</v>
      </c>
      <c r="E1091" t="str">
        <f ca="1">IF(D1091=0,"",COUNTIF($D$2:D1091,"&gt;0"))</f>
        <v/>
      </c>
      <c r="F1091" s="24" t="str">
        <f t="shared" ca="1" si="71"/>
        <v/>
      </c>
    </row>
    <row r="1092" spans="1:6" ht="16.8">
      <c r="A1092" s="59" t="s">
        <v>1509</v>
      </c>
      <c r="B1092" s="49" t="s">
        <v>562</v>
      </c>
      <c r="C1092" s="50" t="s">
        <v>623</v>
      </c>
      <c r="D1092">
        <f t="shared" ca="1" si="70"/>
        <v>0</v>
      </c>
      <c r="E1092" t="str">
        <f ca="1">IF(D1092=0,"",COUNTIF($D$2:D1092,"&gt;0"))</f>
        <v/>
      </c>
      <c r="F1092" s="24" t="str">
        <f t="shared" ca="1" si="71"/>
        <v/>
      </c>
    </row>
    <row r="1093" spans="1:6" ht="16.8">
      <c r="A1093" s="58" t="s">
        <v>1510</v>
      </c>
      <c r="B1093" s="49" t="s">
        <v>562</v>
      </c>
      <c r="C1093" s="50" t="s">
        <v>624</v>
      </c>
      <c r="D1093">
        <f t="shared" ca="1" si="70"/>
        <v>0</v>
      </c>
      <c r="E1093" t="str">
        <f ca="1">IF(D1093=0,"",COUNTIF($D$2:D1093,"&gt;0"))</f>
        <v/>
      </c>
      <c r="F1093" s="24" t="str">
        <f t="shared" ca="1" si="71"/>
        <v/>
      </c>
    </row>
    <row r="1094" spans="1:6" ht="16.8">
      <c r="A1094" s="62" t="s">
        <v>1501</v>
      </c>
      <c r="B1094" s="49"/>
      <c r="C1094" s="50"/>
      <c r="D1094">
        <f t="shared" ref="D1094:D1157" ca="1" si="72">IFERROR(SEARCH(INDIRECT(CELL("address")),A1094),0)</f>
        <v>0</v>
      </c>
      <c r="E1094" t="str">
        <f ca="1">IF(D1094=0,"",COUNTIF($D$2:D1094,"&gt;0"))</f>
        <v/>
      </c>
      <c r="F1094" s="24" t="str">
        <f t="shared" ca="1" si="71"/>
        <v/>
      </c>
    </row>
    <row r="1095" spans="1:6" ht="16.8">
      <c r="A1095" s="63" t="s">
        <v>1502</v>
      </c>
      <c r="B1095" s="49" t="s">
        <v>562</v>
      </c>
      <c r="C1095" s="50" t="s">
        <v>625</v>
      </c>
      <c r="D1095">
        <f t="shared" ca="1" si="72"/>
        <v>0</v>
      </c>
      <c r="E1095" t="str">
        <f ca="1">IF(D1095=0,"",COUNTIF($D$2:D1095,"&gt;0"))</f>
        <v/>
      </c>
      <c r="F1095" s="24" t="str">
        <f t="shared" ca="1" si="71"/>
        <v/>
      </c>
    </row>
    <row r="1096" spans="1:6" ht="16.8">
      <c r="A1096" s="55" t="s">
        <v>1511</v>
      </c>
      <c r="B1096" s="49" t="s">
        <v>562</v>
      </c>
      <c r="C1096" s="50" t="s">
        <v>626</v>
      </c>
      <c r="D1096">
        <f t="shared" ca="1" si="72"/>
        <v>0</v>
      </c>
      <c r="E1096" t="str">
        <f ca="1">IF(D1096=0,"",COUNTIF($D$2:D1096,"&gt;0"))</f>
        <v/>
      </c>
      <c r="F1096" s="24" t="str">
        <f t="shared" ca="1" si="71"/>
        <v/>
      </c>
    </row>
    <row r="1097" spans="1:6" ht="16.8">
      <c r="A1097" s="55" t="s">
        <v>1512</v>
      </c>
      <c r="B1097" s="49" t="s">
        <v>562</v>
      </c>
      <c r="C1097" s="50" t="s">
        <v>612</v>
      </c>
      <c r="D1097">
        <f t="shared" ca="1" si="72"/>
        <v>0</v>
      </c>
      <c r="E1097" t="str">
        <f ca="1">IF(D1097=0,"",COUNTIF($D$2:D1097,"&gt;0"))</f>
        <v/>
      </c>
      <c r="F1097" s="24" t="str">
        <f t="shared" ca="1" si="71"/>
        <v/>
      </c>
    </row>
    <row r="1098" spans="1:6" ht="16.8">
      <c r="A1098" s="56" t="s">
        <v>1503</v>
      </c>
      <c r="B1098" s="49" t="s">
        <v>562</v>
      </c>
      <c r="C1098" s="50" t="s">
        <v>627</v>
      </c>
      <c r="D1098">
        <f t="shared" ca="1" si="72"/>
        <v>0</v>
      </c>
      <c r="E1098" t="str">
        <f ca="1">IF(D1098=0,"",COUNTIF($D$2:D1098,"&gt;0"))</f>
        <v/>
      </c>
      <c r="F1098" s="24" t="str">
        <f t="shared" ca="1" si="71"/>
        <v/>
      </c>
    </row>
    <row r="1099" spans="1:6" ht="16.8">
      <c r="A1099" s="62" t="s">
        <v>1513</v>
      </c>
      <c r="B1099" s="49"/>
      <c r="C1099" s="50"/>
      <c r="D1099">
        <f t="shared" ca="1" si="72"/>
        <v>0</v>
      </c>
      <c r="E1099" t="str">
        <f ca="1">IF(D1099=0,"",COUNTIF($D$2:D1099,"&gt;0"))</f>
        <v/>
      </c>
      <c r="F1099" s="24" t="str">
        <f t="shared" ref="F1099:F1162" ca="1" si="73">IFERROR(INDEX(A:A,MATCH(ROW(D1098),E:E,0)),"")</f>
        <v/>
      </c>
    </row>
    <row r="1100" spans="1:6" ht="16.8">
      <c r="A1100" s="63" t="s">
        <v>1514</v>
      </c>
      <c r="B1100" s="49" t="s">
        <v>562</v>
      </c>
      <c r="C1100" s="50" t="s">
        <v>628</v>
      </c>
      <c r="D1100">
        <f t="shared" ca="1" si="72"/>
        <v>0</v>
      </c>
      <c r="E1100" t="str">
        <f ca="1">IF(D1100=0,"",COUNTIF($D$2:D1100,"&gt;0"))</f>
        <v/>
      </c>
      <c r="F1100" s="24" t="str">
        <f t="shared" ca="1" si="73"/>
        <v/>
      </c>
    </row>
    <row r="1101" spans="1:6" ht="16.8">
      <c r="A1101" s="56" t="s">
        <v>1517</v>
      </c>
      <c r="B1101" s="49" t="s">
        <v>562</v>
      </c>
      <c r="C1101" s="50" t="s">
        <v>605</v>
      </c>
      <c r="D1101">
        <f t="shared" ca="1" si="72"/>
        <v>0</v>
      </c>
      <c r="E1101" t="str">
        <f ca="1">IF(D1101=0,"",COUNTIF($D$2:D1101,"&gt;0"))</f>
        <v/>
      </c>
      <c r="F1101" s="24" t="str">
        <f t="shared" ca="1" si="73"/>
        <v/>
      </c>
    </row>
    <row r="1102" spans="1:6" ht="16.8">
      <c r="A1102" s="56" t="s">
        <v>1516</v>
      </c>
      <c r="B1102" s="49" t="s">
        <v>562</v>
      </c>
      <c r="C1102" s="50" t="s">
        <v>613</v>
      </c>
      <c r="D1102">
        <f t="shared" ca="1" si="72"/>
        <v>0</v>
      </c>
      <c r="E1102" t="str">
        <f ca="1">IF(D1102=0,"",COUNTIF($D$2:D1102,"&gt;0"))</f>
        <v/>
      </c>
      <c r="F1102" s="24" t="str">
        <f t="shared" ca="1" si="73"/>
        <v/>
      </c>
    </row>
    <row r="1103" spans="1:6" ht="16.8">
      <c r="A1103" s="63" t="s">
        <v>1515</v>
      </c>
      <c r="B1103" s="49" t="s">
        <v>562</v>
      </c>
      <c r="C1103" s="50" t="s">
        <v>629</v>
      </c>
      <c r="D1103">
        <f t="shared" ca="1" si="72"/>
        <v>0</v>
      </c>
      <c r="E1103" t="str">
        <f ca="1">IF(D1103=0,"",COUNTIF($D$2:D1103,"&gt;0"))</f>
        <v/>
      </c>
      <c r="F1103" s="24" t="str">
        <f t="shared" ca="1" si="73"/>
        <v/>
      </c>
    </row>
    <row r="1104" spans="1:6" ht="16.8">
      <c r="A1104" s="62" t="s">
        <v>1518</v>
      </c>
      <c r="B1104" s="49"/>
      <c r="C1104" s="50"/>
      <c r="D1104">
        <f t="shared" ca="1" si="72"/>
        <v>0</v>
      </c>
      <c r="E1104" t="str">
        <f ca="1">IF(D1104=0,"",COUNTIF($D$2:D1104,"&gt;0"))</f>
        <v/>
      </c>
      <c r="F1104" s="24" t="str">
        <f t="shared" ca="1" si="73"/>
        <v/>
      </c>
    </row>
    <row r="1105" spans="1:6" ht="16.8">
      <c r="A1105" s="63" t="s">
        <v>1519</v>
      </c>
      <c r="B1105" s="49" t="s">
        <v>562</v>
      </c>
      <c r="C1105" s="50" t="s">
        <v>597</v>
      </c>
      <c r="D1105">
        <f t="shared" ca="1" si="72"/>
        <v>0</v>
      </c>
      <c r="E1105" t="str">
        <f ca="1">IF(D1105=0,"",COUNTIF($D$2:D1105,"&gt;0"))</f>
        <v/>
      </c>
      <c r="F1105" s="24" t="str">
        <f t="shared" ca="1" si="73"/>
        <v/>
      </c>
    </row>
    <row r="1106" spans="1:6" ht="16.8">
      <c r="A1106" s="55" t="s">
        <v>1522</v>
      </c>
      <c r="B1106" s="49" t="s">
        <v>562</v>
      </c>
      <c r="C1106" s="50" t="s">
        <v>591</v>
      </c>
      <c r="D1106">
        <f t="shared" ca="1" si="72"/>
        <v>0</v>
      </c>
      <c r="E1106" t="str">
        <f ca="1">IF(D1106=0,"",COUNTIF($D$2:D1106,"&gt;0"))</f>
        <v/>
      </c>
      <c r="F1106" s="24" t="str">
        <f t="shared" ca="1" si="73"/>
        <v/>
      </c>
    </row>
    <row r="1107" spans="1:6" ht="16.8">
      <c r="A1107" s="55" t="s">
        <v>1521</v>
      </c>
      <c r="B1107" s="49" t="s">
        <v>592</v>
      </c>
      <c r="C1107" s="50" t="s">
        <v>630</v>
      </c>
      <c r="D1107">
        <f t="shared" ca="1" si="72"/>
        <v>0</v>
      </c>
      <c r="E1107" t="str">
        <f ca="1">IF(D1107=0,"",COUNTIF($D$2:D1107,"&gt;0"))</f>
        <v/>
      </c>
      <c r="F1107" s="24" t="str">
        <f t="shared" ca="1" si="73"/>
        <v/>
      </c>
    </row>
    <row r="1108" spans="1:6" ht="16.8">
      <c r="A1108" s="55" t="s">
        <v>1523</v>
      </c>
      <c r="B1108" s="49" t="s">
        <v>562</v>
      </c>
      <c r="C1108" s="50" t="s">
        <v>605</v>
      </c>
      <c r="D1108">
        <f t="shared" ca="1" si="72"/>
        <v>0</v>
      </c>
      <c r="E1108" t="str">
        <f ca="1">IF(D1108=0,"",COUNTIF($D$2:D1108,"&gt;0"))</f>
        <v/>
      </c>
      <c r="F1108" s="24" t="str">
        <f t="shared" ca="1" si="73"/>
        <v/>
      </c>
    </row>
    <row r="1109" spans="1:6" ht="16.8">
      <c r="A1109" s="57" t="s">
        <v>1524</v>
      </c>
      <c r="B1109" s="49" t="s">
        <v>562</v>
      </c>
      <c r="C1109" s="50" t="s">
        <v>612</v>
      </c>
      <c r="D1109">
        <f t="shared" ca="1" si="72"/>
        <v>0</v>
      </c>
      <c r="E1109" t="str">
        <f ca="1">IF(D1109=0,"",COUNTIF($D$2:D1109,"&gt;0"))</f>
        <v/>
      </c>
      <c r="F1109" s="24" t="str">
        <f t="shared" ca="1" si="73"/>
        <v/>
      </c>
    </row>
    <row r="1110" spans="1:6" ht="16.8">
      <c r="A1110" s="63" t="s">
        <v>1520</v>
      </c>
      <c r="B1110" s="49" t="s">
        <v>562</v>
      </c>
      <c r="C1110" s="50" t="s">
        <v>613</v>
      </c>
      <c r="D1110">
        <f t="shared" ca="1" si="72"/>
        <v>0</v>
      </c>
      <c r="E1110" t="str">
        <f ca="1">IF(D1110=0,"",COUNTIF($D$2:D1110,"&gt;0"))</f>
        <v/>
      </c>
      <c r="F1110" s="24" t="str">
        <f t="shared" ca="1" si="73"/>
        <v/>
      </c>
    </row>
    <row r="1111" spans="1:6" ht="16.8">
      <c r="A1111" s="62" t="s">
        <v>1525</v>
      </c>
      <c r="B1111" s="49" t="s">
        <v>562</v>
      </c>
      <c r="C1111" s="50" t="s">
        <v>607</v>
      </c>
      <c r="D1111">
        <f t="shared" ca="1" si="72"/>
        <v>0</v>
      </c>
      <c r="E1111" t="str">
        <f ca="1">IF(D1111=0,"",COUNTIF($D$2:D1111,"&gt;0"))</f>
        <v/>
      </c>
      <c r="F1111" s="24" t="str">
        <f t="shared" ca="1" si="73"/>
        <v/>
      </c>
    </row>
    <row r="1112" spans="1:6" ht="16.8">
      <c r="A1112" s="59" t="s">
        <v>1526</v>
      </c>
      <c r="B1112" s="49" t="s">
        <v>562</v>
      </c>
      <c r="C1112" s="50" t="s">
        <v>626</v>
      </c>
      <c r="D1112">
        <f t="shared" ca="1" si="72"/>
        <v>0</v>
      </c>
      <c r="E1112" t="str">
        <f ca="1">IF(D1112=0,"",COUNTIF($D$2:D1112,"&gt;0"))</f>
        <v/>
      </c>
      <c r="F1112" s="24" t="str">
        <f t="shared" ca="1" si="73"/>
        <v/>
      </c>
    </row>
    <row r="1113" spans="1:6" ht="16.8">
      <c r="A1113" s="55" t="s">
        <v>1528</v>
      </c>
      <c r="B1113" s="49" t="s">
        <v>562</v>
      </c>
      <c r="C1113" s="50" t="s">
        <v>630</v>
      </c>
      <c r="D1113">
        <f t="shared" ca="1" si="72"/>
        <v>0</v>
      </c>
      <c r="E1113" t="str">
        <f ca="1">IF(D1113=0,"",COUNTIF($D$2:D1113,"&gt;0"))</f>
        <v/>
      </c>
      <c r="F1113" s="24" t="str">
        <f t="shared" ca="1" si="73"/>
        <v/>
      </c>
    </row>
    <row r="1114" spans="1:6" ht="16.8">
      <c r="A1114" s="57" t="s">
        <v>1529</v>
      </c>
      <c r="B1114" s="49" t="s">
        <v>562</v>
      </c>
      <c r="C1114" s="50" t="s">
        <v>606</v>
      </c>
      <c r="D1114">
        <f t="shared" ca="1" si="72"/>
        <v>0</v>
      </c>
      <c r="E1114" t="str">
        <f ca="1">IF(D1114=0,"",COUNTIF($D$2:D1114,"&gt;0"))</f>
        <v/>
      </c>
      <c r="F1114" s="24" t="str">
        <f t="shared" ca="1" si="73"/>
        <v/>
      </c>
    </row>
    <row r="1115" spans="1:6" ht="16.8">
      <c r="A1115" s="57" t="s">
        <v>1530</v>
      </c>
      <c r="B1115" s="49" t="s">
        <v>562</v>
      </c>
      <c r="C1115" s="50" t="s">
        <v>612</v>
      </c>
      <c r="D1115">
        <f t="shared" ca="1" si="72"/>
        <v>0</v>
      </c>
      <c r="E1115" t="str">
        <f ca="1">IF(D1115=0,"",COUNTIF($D$2:D1115,"&gt;0"))</f>
        <v/>
      </c>
      <c r="F1115" s="24" t="str">
        <f t="shared" ca="1" si="73"/>
        <v/>
      </c>
    </row>
    <row r="1116" spans="1:6" ht="16.8">
      <c r="A1116" s="57" t="s">
        <v>1531</v>
      </c>
      <c r="B1116" s="49" t="s">
        <v>562</v>
      </c>
      <c r="C1116" s="50" t="s">
        <v>607</v>
      </c>
      <c r="D1116">
        <f t="shared" ca="1" si="72"/>
        <v>0</v>
      </c>
      <c r="E1116" t="str">
        <f ca="1">IF(D1116=0,"",COUNTIF($D$2:D1116,"&gt;0"))</f>
        <v/>
      </c>
      <c r="F1116" s="24" t="str">
        <f t="shared" ca="1" si="73"/>
        <v/>
      </c>
    </row>
    <row r="1117" spans="1:6" ht="16.8">
      <c r="A1117" s="63" t="s">
        <v>1527</v>
      </c>
      <c r="B1117" s="49" t="s">
        <v>562</v>
      </c>
      <c r="C1117" s="50" t="s">
        <v>627</v>
      </c>
      <c r="D1117">
        <f t="shared" ca="1" si="72"/>
        <v>0</v>
      </c>
      <c r="E1117" t="str">
        <f ca="1">IF(D1117=0,"",COUNTIF($D$2:D1117,"&gt;0"))</f>
        <v/>
      </c>
      <c r="F1117" s="24" t="str">
        <f t="shared" ca="1" si="73"/>
        <v/>
      </c>
    </row>
    <row r="1118" spans="1:6" ht="16.8">
      <c r="A1118" s="62" t="s">
        <v>631</v>
      </c>
      <c r="B1118" s="49"/>
      <c r="C1118" s="50"/>
      <c r="D1118">
        <f t="shared" ca="1" si="72"/>
        <v>0</v>
      </c>
      <c r="E1118" t="str">
        <f ca="1">IF(D1118=0,"",COUNTIF($D$2:D1118,"&gt;0"))</f>
        <v/>
      </c>
      <c r="F1118" s="24" t="str">
        <f t="shared" ca="1" si="73"/>
        <v/>
      </c>
    </row>
    <row r="1119" spans="1:6" ht="16.8">
      <c r="A1119" s="59" t="s">
        <v>1532</v>
      </c>
      <c r="B1119" s="49" t="s">
        <v>562</v>
      </c>
      <c r="C1119" s="50" t="s">
        <v>626</v>
      </c>
      <c r="D1119">
        <f t="shared" ca="1" si="72"/>
        <v>0</v>
      </c>
      <c r="E1119" t="str">
        <f ca="1">IF(D1119=0,"",COUNTIF($D$2:D1119,"&gt;0"))</f>
        <v/>
      </c>
      <c r="F1119" s="24" t="str">
        <f t="shared" ca="1" si="73"/>
        <v/>
      </c>
    </row>
    <row r="1120" spans="1:6" ht="16.8">
      <c r="A1120" s="55" t="s">
        <v>1534</v>
      </c>
      <c r="B1120" s="49" t="s">
        <v>562</v>
      </c>
      <c r="C1120" s="50" t="s">
        <v>632</v>
      </c>
      <c r="D1120">
        <f t="shared" ca="1" si="72"/>
        <v>0</v>
      </c>
      <c r="E1120" t="str">
        <f ca="1">IF(D1120=0,"",COUNTIF($D$2:D1120,"&gt;0"))</f>
        <v/>
      </c>
      <c r="F1120" s="24" t="str">
        <f t="shared" ca="1" si="73"/>
        <v/>
      </c>
    </row>
    <row r="1121" spans="1:6" ht="16.8">
      <c r="A1121" s="55" t="s">
        <v>1535</v>
      </c>
      <c r="B1121" s="49" t="s">
        <v>592</v>
      </c>
      <c r="C1121" s="50" t="s">
        <v>633</v>
      </c>
      <c r="D1121">
        <f t="shared" ca="1" si="72"/>
        <v>0</v>
      </c>
      <c r="E1121" t="str">
        <f ca="1">IF(D1121=0,"",COUNTIF($D$2:D1121,"&gt;0"))</f>
        <v/>
      </c>
      <c r="F1121" s="24" t="str">
        <f t="shared" ca="1" si="73"/>
        <v/>
      </c>
    </row>
    <row r="1122" spans="1:6" ht="16.8">
      <c r="A1122" s="55" t="s">
        <v>1536</v>
      </c>
      <c r="B1122" s="49" t="s">
        <v>562</v>
      </c>
      <c r="C1122" s="50" t="s">
        <v>634</v>
      </c>
      <c r="D1122">
        <f t="shared" ca="1" si="72"/>
        <v>0</v>
      </c>
      <c r="E1122" t="str">
        <f ca="1">IF(D1122=0,"",COUNTIF($D$2:D1122,"&gt;0"))</f>
        <v/>
      </c>
      <c r="F1122" s="24" t="str">
        <f t="shared" ca="1" si="73"/>
        <v/>
      </c>
    </row>
    <row r="1123" spans="1:6" ht="16.8">
      <c r="A1123" s="57" t="s">
        <v>1537</v>
      </c>
      <c r="B1123" s="49" t="s">
        <v>562</v>
      </c>
      <c r="C1123" s="50" t="s">
        <v>635</v>
      </c>
      <c r="D1123">
        <f t="shared" ca="1" si="72"/>
        <v>0</v>
      </c>
      <c r="E1123" t="str">
        <f ca="1">IF(D1123=0,"",COUNTIF($D$2:D1123,"&gt;0"))</f>
        <v/>
      </c>
      <c r="F1123" s="24" t="str">
        <f t="shared" ca="1" si="73"/>
        <v/>
      </c>
    </row>
    <row r="1124" spans="1:6" ht="16.8">
      <c r="A1124" s="55" t="s">
        <v>1538</v>
      </c>
      <c r="B1124" s="49" t="s">
        <v>562</v>
      </c>
      <c r="C1124" s="50" t="s">
        <v>636</v>
      </c>
      <c r="D1124">
        <f t="shared" ca="1" si="72"/>
        <v>0</v>
      </c>
      <c r="E1124" t="str">
        <f ca="1">IF(D1124=0,"",COUNTIF($D$2:D1124,"&gt;0"))</f>
        <v/>
      </c>
      <c r="F1124" s="24" t="str">
        <f t="shared" ca="1" si="73"/>
        <v/>
      </c>
    </row>
    <row r="1125" spans="1:6" ht="16.8">
      <c r="A1125" s="55" t="s">
        <v>1539</v>
      </c>
      <c r="B1125" s="49" t="s">
        <v>562</v>
      </c>
      <c r="C1125" s="50" t="s">
        <v>637</v>
      </c>
      <c r="D1125">
        <f t="shared" ca="1" si="72"/>
        <v>0</v>
      </c>
      <c r="E1125" t="str">
        <f ca="1">IF(D1125=0,"",COUNTIF($D$2:D1125,"&gt;0"))</f>
        <v/>
      </c>
      <c r="F1125" s="24" t="str">
        <f t="shared" ca="1" si="73"/>
        <v/>
      </c>
    </row>
    <row r="1126" spans="1:6" ht="16.8">
      <c r="A1126" s="55" t="s">
        <v>1540</v>
      </c>
      <c r="B1126" s="49" t="s">
        <v>562</v>
      </c>
      <c r="C1126" s="50" t="s">
        <v>638</v>
      </c>
      <c r="D1126">
        <f t="shared" ca="1" si="72"/>
        <v>0</v>
      </c>
      <c r="E1126" t="str">
        <f ca="1">IF(D1126=0,"",COUNTIF($D$2:D1126,"&gt;0"))</f>
        <v/>
      </c>
      <c r="F1126" s="24" t="str">
        <f t="shared" ca="1" si="73"/>
        <v/>
      </c>
    </row>
    <row r="1127" spans="1:6" ht="16.8">
      <c r="A1127" s="63" t="s">
        <v>1533</v>
      </c>
      <c r="B1127" s="49" t="s">
        <v>562</v>
      </c>
      <c r="C1127" s="50" t="s">
        <v>639</v>
      </c>
      <c r="D1127">
        <f t="shared" ca="1" si="72"/>
        <v>0</v>
      </c>
      <c r="E1127" t="str">
        <f ca="1">IF(D1127=0,"",COUNTIF($D$2:D1127,"&gt;0"))</f>
        <v/>
      </c>
      <c r="F1127" s="24" t="str">
        <f t="shared" ca="1" si="73"/>
        <v/>
      </c>
    </row>
    <row r="1128" spans="1:6" ht="16.8">
      <c r="A1128" s="62" t="s">
        <v>1541</v>
      </c>
      <c r="B1128" s="49"/>
      <c r="C1128" s="50"/>
      <c r="D1128">
        <f t="shared" ca="1" si="72"/>
        <v>0</v>
      </c>
      <c r="E1128" t="str">
        <f ca="1">IF(D1128=0,"",COUNTIF($D$2:D1128,"&gt;0"))</f>
        <v/>
      </c>
      <c r="F1128" s="24" t="str">
        <f t="shared" ca="1" si="73"/>
        <v/>
      </c>
    </row>
    <row r="1129" spans="1:6" ht="16.8">
      <c r="A1129" s="56" t="s">
        <v>1542</v>
      </c>
      <c r="B1129" s="49" t="s">
        <v>562</v>
      </c>
      <c r="C1129" s="50" t="s">
        <v>640</v>
      </c>
      <c r="D1129">
        <f t="shared" ca="1" si="72"/>
        <v>0</v>
      </c>
      <c r="E1129" t="str">
        <f ca="1">IF(D1129=0,"",COUNTIF($D$2:D1129,"&gt;0"))</f>
        <v/>
      </c>
      <c r="F1129" s="24" t="str">
        <f t="shared" ca="1" si="73"/>
        <v/>
      </c>
    </row>
    <row r="1130" spans="1:6" ht="16.8">
      <c r="A1130" s="55" t="s">
        <v>1544</v>
      </c>
      <c r="B1130" s="49" t="s">
        <v>562</v>
      </c>
      <c r="C1130" s="50" t="s">
        <v>641</v>
      </c>
      <c r="D1130">
        <f t="shared" ca="1" si="72"/>
        <v>0</v>
      </c>
      <c r="E1130" t="str">
        <f ca="1">IF(D1130=0,"",COUNTIF($D$2:D1130,"&gt;0"))</f>
        <v/>
      </c>
      <c r="F1130" s="24" t="str">
        <f t="shared" ca="1" si="73"/>
        <v/>
      </c>
    </row>
    <row r="1131" spans="1:6" ht="16.8">
      <c r="A1131" s="56" t="s">
        <v>1543</v>
      </c>
      <c r="B1131" s="49" t="s">
        <v>562</v>
      </c>
      <c r="C1131" s="50" t="s">
        <v>642</v>
      </c>
      <c r="D1131">
        <f t="shared" ca="1" si="72"/>
        <v>0</v>
      </c>
      <c r="E1131" t="str">
        <f ca="1">IF(D1131=0,"",COUNTIF($D$2:D1131,"&gt;0"))</f>
        <v/>
      </c>
      <c r="F1131" s="24" t="str">
        <f t="shared" ca="1" si="73"/>
        <v/>
      </c>
    </row>
    <row r="1132" spans="1:6" ht="16.8">
      <c r="A1132" s="62" t="s">
        <v>1545</v>
      </c>
      <c r="B1132" s="49"/>
      <c r="C1132" s="50"/>
      <c r="D1132">
        <f t="shared" ca="1" si="72"/>
        <v>0</v>
      </c>
      <c r="E1132" t="str">
        <f ca="1">IF(D1132=0,"",COUNTIF($D$2:D1132,"&gt;0"))</f>
        <v/>
      </c>
      <c r="F1132" s="24" t="str">
        <f t="shared" ca="1" si="73"/>
        <v/>
      </c>
    </row>
    <row r="1133" spans="1:6" ht="16.8">
      <c r="A1133" s="56" t="s">
        <v>1546</v>
      </c>
      <c r="B1133" s="49" t="s">
        <v>562</v>
      </c>
      <c r="C1133" s="50" t="s">
        <v>590</v>
      </c>
      <c r="D1133">
        <f t="shared" ca="1" si="72"/>
        <v>0</v>
      </c>
      <c r="E1133" t="str">
        <f ca="1">IF(D1133=0,"",COUNTIF($D$2:D1133,"&gt;0"))</f>
        <v/>
      </c>
      <c r="F1133" s="24" t="str">
        <f t="shared" ca="1" si="73"/>
        <v/>
      </c>
    </row>
    <row r="1134" spans="1:6" ht="16.8">
      <c r="A1134" s="55" t="s">
        <v>1548</v>
      </c>
      <c r="B1134" s="49" t="s">
        <v>562</v>
      </c>
      <c r="C1134" s="50" t="s">
        <v>632</v>
      </c>
      <c r="D1134">
        <f t="shared" ca="1" si="72"/>
        <v>0</v>
      </c>
      <c r="E1134" t="str">
        <f ca="1">IF(D1134=0,"",COUNTIF($D$2:D1134,"&gt;0"))</f>
        <v/>
      </c>
      <c r="F1134" s="24" t="str">
        <f t="shared" ca="1" si="73"/>
        <v/>
      </c>
    </row>
    <row r="1135" spans="1:6" ht="16.8">
      <c r="A1135" s="55" t="s">
        <v>1549</v>
      </c>
      <c r="B1135" s="49" t="s">
        <v>562</v>
      </c>
      <c r="C1135" s="50" t="s">
        <v>643</v>
      </c>
      <c r="D1135">
        <f t="shared" ca="1" si="72"/>
        <v>0</v>
      </c>
      <c r="E1135" t="str">
        <f ca="1">IF(D1135=0,"",COUNTIF($D$2:D1135,"&gt;0"))</f>
        <v/>
      </c>
      <c r="F1135" s="24" t="str">
        <f t="shared" ca="1" si="73"/>
        <v/>
      </c>
    </row>
    <row r="1136" spans="1:6" ht="16.8">
      <c r="A1136" s="56" t="s">
        <v>1547</v>
      </c>
      <c r="B1136" s="49" t="s">
        <v>592</v>
      </c>
      <c r="C1136" s="50" t="s">
        <v>635</v>
      </c>
      <c r="D1136">
        <f t="shared" ca="1" si="72"/>
        <v>0</v>
      </c>
      <c r="E1136" t="str">
        <f ca="1">IF(D1136=0,"",COUNTIF($D$2:D1136,"&gt;0"))</f>
        <v/>
      </c>
      <c r="F1136" s="24" t="str">
        <f t="shared" ca="1" si="73"/>
        <v/>
      </c>
    </row>
    <row r="1137" spans="1:6" ht="16.8">
      <c r="A1137" s="62" t="s">
        <v>1550</v>
      </c>
      <c r="B1137" s="49"/>
      <c r="C1137" s="50"/>
      <c r="D1137">
        <f t="shared" ca="1" si="72"/>
        <v>0</v>
      </c>
      <c r="E1137" t="str">
        <f ca="1">IF(D1137=0,"",COUNTIF($D$2:D1137,"&gt;0"))</f>
        <v/>
      </c>
      <c r="F1137" s="24" t="str">
        <f t="shared" ca="1" si="73"/>
        <v/>
      </c>
    </row>
    <row r="1138" spans="1:6" ht="16.8">
      <c r="A1138" s="56" t="s">
        <v>1551</v>
      </c>
      <c r="B1138" s="49" t="s">
        <v>562</v>
      </c>
      <c r="C1138" s="50" t="s">
        <v>590</v>
      </c>
      <c r="D1138">
        <f t="shared" ca="1" si="72"/>
        <v>0</v>
      </c>
      <c r="E1138" t="str">
        <f ca="1">IF(D1138=0,"",COUNTIF($D$2:D1138,"&gt;0"))</f>
        <v/>
      </c>
      <c r="F1138" s="24" t="str">
        <f t="shared" ca="1" si="73"/>
        <v/>
      </c>
    </row>
    <row r="1139" spans="1:6" ht="16.8">
      <c r="A1139" s="55" t="s">
        <v>1553</v>
      </c>
      <c r="B1139" s="49" t="s">
        <v>592</v>
      </c>
      <c r="C1139" s="50" t="s">
        <v>604</v>
      </c>
      <c r="D1139">
        <f t="shared" ca="1" si="72"/>
        <v>0</v>
      </c>
      <c r="E1139" t="str">
        <f ca="1">IF(D1139=0,"",COUNTIF($D$2:D1139,"&gt;0"))</f>
        <v/>
      </c>
      <c r="F1139" s="24" t="str">
        <f t="shared" ca="1" si="73"/>
        <v/>
      </c>
    </row>
    <row r="1140" spans="1:6" ht="16.8">
      <c r="A1140" s="55" t="s">
        <v>1554</v>
      </c>
      <c r="B1140" s="49" t="s">
        <v>562</v>
      </c>
      <c r="C1140" s="50" t="s">
        <v>612</v>
      </c>
      <c r="D1140">
        <f t="shared" ca="1" si="72"/>
        <v>0</v>
      </c>
      <c r="E1140" t="str">
        <f ca="1">IF(D1140=0,"",COUNTIF($D$2:D1140,"&gt;0"))</f>
        <v/>
      </c>
      <c r="F1140" s="24" t="str">
        <f t="shared" ca="1" si="73"/>
        <v/>
      </c>
    </row>
    <row r="1141" spans="1:6" ht="16.8">
      <c r="A1141" s="56" t="s">
        <v>1552</v>
      </c>
      <c r="B1141" s="49" t="s">
        <v>562</v>
      </c>
      <c r="C1141" s="50" t="s">
        <v>617</v>
      </c>
      <c r="D1141">
        <f t="shared" ca="1" si="72"/>
        <v>0</v>
      </c>
      <c r="E1141" t="str">
        <f ca="1">IF(D1141=0,"",COUNTIF($D$2:D1141,"&gt;0"))</f>
        <v/>
      </c>
      <c r="F1141" s="24" t="str">
        <f t="shared" ca="1" si="73"/>
        <v/>
      </c>
    </row>
    <row r="1142" spans="1:6" ht="16.8">
      <c r="A1142" s="62" t="s">
        <v>1555</v>
      </c>
      <c r="B1142" s="49"/>
      <c r="C1142" s="50"/>
      <c r="D1142">
        <f t="shared" ca="1" si="72"/>
        <v>0</v>
      </c>
      <c r="E1142" t="str">
        <f ca="1">IF(D1142=0,"",COUNTIF($D$2:D1142,"&gt;0"))</f>
        <v/>
      </c>
      <c r="F1142" s="24" t="str">
        <f t="shared" ca="1" si="73"/>
        <v/>
      </c>
    </row>
    <row r="1143" spans="1:6" ht="16.8">
      <c r="A1143" s="56" t="s">
        <v>1556</v>
      </c>
      <c r="B1143" s="49" t="s">
        <v>562</v>
      </c>
      <c r="C1143" s="50" t="s">
        <v>563</v>
      </c>
      <c r="D1143">
        <f t="shared" ca="1" si="72"/>
        <v>0</v>
      </c>
      <c r="E1143" t="str">
        <f ca="1">IF(D1143=0,"",COUNTIF($D$2:D1143,"&gt;0"))</f>
        <v/>
      </c>
      <c r="F1143" s="24" t="str">
        <f t="shared" ca="1" si="73"/>
        <v/>
      </c>
    </row>
    <row r="1144" spans="1:6" ht="16.8">
      <c r="A1144" s="55" t="s">
        <v>1558</v>
      </c>
      <c r="B1144" s="49" t="s">
        <v>562</v>
      </c>
      <c r="C1144" s="50" t="s">
        <v>644</v>
      </c>
      <c r="D1144">
        <f t="shared" ca="1" si="72"/>
        <v>0</v>
      </c>
      <c r="E1144" t="str">
        <f ca="1">IF(D1144=0,"",COUNTIF($D$2:D1144,"&gt;0"))</f>
        <v/>
      </c>
      <c r="F1144" s="24" t="str">
        <f t="shared" ca="1" si="73"/>
        <v/>
      </c>
    </row>
    <row r="1145" spans="1:6" ht="16.8">
      <c r="A1145" s="55" t="s">
        <v>1559</v>
      </c>
      <c r="B1145" s="49" t="s">
        <v>562</v>
      </c>
      <c r="C1145" s="50" t="s">
        <v>633</v>
      </c>
      <c r="D1145">
        <f t="shared" ca="1" si="72"/>
        <v>0</v>
      </c>
      <c r="E1145" t="str">
        <f ca="1">IF(D1145=0,"",COUNTIF($D$2:D1145,"&gt;0"))</f>
        <v/>
      </c>
      <c r="F1145" s="24" t="str">
        <f t="shared" ca="1" si="73"/>
        <v/>
      </c>
    </row>
    <row r="1146" spans="1:6" ht="16.8">
      <c r="A1146" s="56" t="s">
        <v>1560</v>
      </c>
      <c r="B1146" s="49" t="s">
        <v>562</v>
      </c>
      <c r="C1146" s="50" t="s">
        <v>645</v>
      </c>
      <c r="D1146">
        <f t="shared" ca="1" si="72"/>
        <v>0</v>
      </c>
      <c r="E1146" t="str">
        <f ca="1">IF(D1146=0,"",COUNTIF($D$2:D1146,"&gt;0"))</f>
        <v/>
      </c>
      <c r="F1146" s="24" t="str">
        <f t="shared" ca="1" si="73"/>
        <v/>
      </c>
    </row>
    <row r="1147" spans="1:6" ht="16.8">
      <c r="A1147" s="55" t="s">
        <v>1561</v>
      </c>
      <c r="B1147" s="49" t="s">
        <v>562</v>
      </c>
      <c r="C1147" s="50" t="s">
        <v>618</v>
      </c>
      <c r="D1147">
        <f t="shared" ca="1" si="72"/>
        <v>0</v>
      </c>
      <c r="E1147" t="str">
        <f ca="1">IF(D1147=0,"",COUNTIF($D$2:D1147,"&gt;0"))</f>
        <v/>
      </c>
      <c r="F1147" s="24" t="str">
        <f t="shared" ca="1" si="73"/>
        <v/>
      </c>
    </row>
    <row r="1148" spans="1:6" ht="16.8">
      <c r="A1148" s="57" t="s">
        <v>1569</v>
      </c>
      <c r="B1148" s="49" t="s">
        <v>562</v>
      </c>
      <c r="C1148" s="50" t="s">
        <v>646</v>
      </c>
      <c r="D1148">
        <f t="shared" ca="1" si="72"/>
        <v>0</v>
      </c>
      <c r="E1148" t="str">
        <f ca="1">IF(D1148=0,"",COUNTIF($D$2:D1148,"&gt;0"))</f>
        <v/>
      </c>
      <c r="F1148" s="24" t="str">
        <f t="shared" ca="1" si="73"/>
        <v/>
      </c>
    </row>
    <row r="1149" spans="1:6" ht="16.8">
      <c r="A1149" s="55" t="s">
        <v>1562</v>
      </c>
      <c r="B1149" s="49" t="s">
        <v>562</v>
      </c>
      <c r="C1149" s="50" t="s">
        <v>647</v>
      </c>
      <c r="D1149">
        <f t="shared" ca="1" si="72"/>
        <v>0</v>
      </c>
      <c r="E1149" t="str">
        <f ca="1">IF(D1149=0,"",COUNTIF($D$2:D1149,"&gt;0"))</f>
        <v/>
      </c>
      <c r="F1149" s="24" t="str">
        <f t="shared" ca="1" si="73"/>
        <v/>
      </c>
    </row>
    <row r="1150" spans="1:6" ht="16.8">
      <c r="A1150" s="55" t="s">
        <v>1563</v>
      </c>
      <c r="B1150" s="49" t="s">
        <v>562</v>
      </c>
      <c r="C1150" s="50" t="s">
        <v>648</v>
      </c>
      <c r="D1150">
        <f t="shared" ca="1" si="72"/>
        <v>0</v>
      </c>
      <c r="E1150" t="str">
        <f ca="1">IF(D1150=0,"",COUNTIF($D$2:D1150,"&gt;0"))</f>
        <v/>
      </c>
      <c r="F1150" s="24" t="str">
        <f t="shared" ca="1" si="73"/>
        <v/>
      </c>
    </row>
    <row r="1151" spans="1:6" ht="16.8">
      <c r="A1151" s="57" t="s">
        <v>1564</v>
      </c>
      <c r="B1151" s="49" t="s">
        <v>562</v>
      </c>
      <c r="C1151" s="50" t="s">
        <v>649</v>
      </c>
      <c r="D1151">
        <f t="shared" ca="1" si="72"/>
        <v>0</v>
      </c>
      <c r="E1151" t="str">
        <f ca="1">IF(D1151=0,"",COUNTIF($D$2:D1151,"&gt;0"))</f>
        <v/>
      </c>
      <c r="F1151" s="24" t="str">
        <f t="shared" ca="1" si="73"/>
        <v/>
      </c>
    </row>
    <row r="1152" spans="1:6" ht="16.8">
      <c r="A1152" s="57" t="s">
        <v>1565</v>
      </c>
      <c r="B1152" s="49" t="s">
        <v>562</v>
      </c>
      <c r="C1152" s="50" t="s">
        <v>650</v>
      </c>
      <c r="D1152">
        <f t="shared" ca="1" si="72"/>
        <v>0</v>
      </c>
      <c r="E1152" t="str">
        <f ca="1">IF(D1152=0,"",COUNTIF($D$2:D1152,"&gt;0"))</f>
        <v/>
      </c>
      <c r="F1152" s="24" t="str">
        <f t="shared" ca="1" si="73"/>
        <v/>
      </c>
    </row>
    <row r="1153" spans="1:6" ht="16.8">
      <c r="A1153" s="55" t="s">
        <v>1566</v>
      </c>
      <c r="B1153" s="49" t="s">
        <v>562</v>
      </c>
      <c r="C1153" s="50" t="s">
        <v>651</v>
      </c>
      <c r="D1153">
        <f t="shared" ca="1" si="72"/>
        <v>0</v>
      </c>
      <c r="E1153" t="str">
        <f ca="1">IF(D1153=0,"",COUNTIF($D$2:D1153,"&gt;0"))</f>
        <v/>
      </c>
      <c r="F1153" s="24" t="str">
        <f t="shared" ca="1" si="73"/>
        <v/>
      </c>
    </row>
    <row r="1154" spans="1:6" ht="16.8">
      <c r="A1154" s="55" t="s">
        <v>1567</v>
      </c>
      <c r="B1154" s="49" t="s">
        <v>562</v>
      </c>
      <c r="C1154" s="50" t="s">
        <v>652</v>
      </c>
      <c r="D1154">
        <f t="shared" ca="1" si="72"/>
        <v>0</v>
      </c>
      <c r="E1154" t="str">
        <f ca="1">IF(D1154=0,"",COUNTIF($D$2:D1154,"&gt;0"))</f>
        <v/>
      </c>
      <c r="F1154" s="24" t="str">
        <f t="shared" ca="1" si="73"/>
        <v/>
      </c>
    </row>
    <row r="1155" spans="1:6" ht="16.8">
      <c r="A1155" s="55" t="s">
        <v>1568</v>
      </c>
      <c r="B1155" s="49" t="s">
        <v>562</v>
      </c>
      <c r="C1155" s="50" t="s">
        <v>653</v>
      </c>
      <c r="D1155">
        <f t="shared" ca="1" si="72"/>
        <v>0</v>
      </c>
      <c r="E1155" t="str">
        <f ca="1">IF(D1155=0,"",COUNTIF($D$2:D1155,"&gt;0"))</f>
        <v/>
      </c>
      <c r="F1155" s="24" t="str">
        <f t="shared" ca="1" si="73"/>
        <v/>
      </c>
    </row>
    <row r="1156" spans="1:6" ht="16.8">
      <c r="A1156" s="56" t="s">
        <v>1557</v>
      </c>
      <c r="B1156" s="49" t="s">
        <v>562</v>
      </c>
      <c r="C1156" s="50" t="s">
        <v>654</v>
      </c>
      <c r="D1156">
        <f t="shared" ca="1" si="72"/>
        <v>0</v>
      </c>
      <c r="E1156" t="str">
        <f ca="1">IF(D1156=0,"",COUNTIF($D$2:D1156,"&gt;0"))</f>
        <v/>
      </c>
      <c r="F1156" s="24" t="str">
        <f t="shared" ca="1" si="73"/>
        <v/>
      </c>
    </row>
    <row r="1157" spans="1:6" ht="16.8">
      <c r="A1157" s="62" t="s">
        <v>1570</v>
      </c>
      <c r="B1157" s="49"/>
      <c r="C1157" s="50"/>
      <c r="D1157">
        <f t="shared" ca="1" si="72"/>
        <v>0</v>
      </c>
      <c r="E1157" t="str">
        <f ca="1">IF(D1157=0,"",COUNTIF($D$2:D1157,"&gt;0"))</f>
        <v/>
      </c>
      <c r="F1157" s="24" t="str">
        <f t="shared" ca="1" si="73"/>
        <v/>
      </c>
    </row>
    <row r="1158" spans="1:6" ht="16.8">
      <c r="A1158" s="56" t="s">
        <v>1571</v>
      </c>
      <c r="B1158" s="49" t="s">
        <v>562</v>
      </c>
      <c r="C1158" s="50" t="s">
        <v>572</v>
      </c>
      <c r="D1158">
        <f t="shared" ref="D1158:D1221" ca="1" si="74">IFERROR(SEARCH(INDIRECT(CELL("address")),A1158),0)</f>
        <v>0</v>
      </c>
      <c r="E1158" t="str">
        <f ca="1">IF(D1158=0,"",COUNTIF($D$2:D1158,"&gt;0"))</f>
        <v/>
      </c>
      <c r="F1158" s="24" t="str">
        <f t="shared" ca="1" si="73"/>
        <v/>
      </c>
    </row>
    <row r="1159" spans="1:6" ht="16.8">
      <c r="A1159" s="55" t="s">
        <v>1573</v>
      </c>
      <c r="B1159" s="49" t="s">
        <v>562</v>
      </c>
      <c r="C1159" s="50" t="s">
        <v>604</v>
      </c>
      <c r="D1159">
        <f t="shared" ca="1" si="74"/>
        <v>0</v>
      </c>
      <c r="E1159" t="str">
        <f ca="1">IF(D1159=0,"",COUNTIF($D$2:D1159,"&gt;0"))</f>
        <v/>
      </c>
      <c r="F1159" s="24" t="str">
        <f t="shared" ca="1" si="73"/>
        <v/>
      </c>
    </row>
    <row r="1160" spans="1:6" ht="19.2">
      <c r="A1160" s="55" t="s">
        <v>1574</v>
      </c>
      <c r="B1160" s="49" t="s">
        <v>655</v>
      </c>
      <c r="C1160" s="50" t="s">
        <v>606</v>
      </c>
      <c r="D1160">
        <f t="shared" ca="1" si="74"/>
        <v>0</v>
      </c>
      <c r="E1160" t="str">
        <f ca="1">IF(D1160=0,"",COUNTIF($D$2:D1160,"&gt;0"))</f>
        <v/>
      </c>
      <c r="F1160" s="24" t="str">
        <f t="shared" ca="1" si="73"/>
        <v/>
      </c>
    </row>
    <row r="1161" spans="1:6" ht="16.8">
      <c r="A1161" s="56" t="s">
        <v>1578</v>
      </c>
      <c r="B1161" s="49" t="s">
        <v>562</v>
      </c>
      <c r="C1161" s="50" t="s">
        <v>656</v>
      </c>
      <c r="D1161">
        <f t="shared" ca="1" si="74"/>
        <v>0</v>
      </c>
      <c r="E1161" t="str">
        <f ca="1">IF(D1161=0,"",COUNTIF($D$2:D1161,"&gt;0"))</f>
        <v/>
      </c>
      <c r="F1161" s="24" t="str">
        <f t="shared" ca="1" si="73"/>
        <v/>
      </c>
    </row>
    <row r="1162" spans="1:6" ht="19.2">
      <c r="A1162" s="56" t="s">
        <v>1575</v>
      </c>
      <c r="B1162" s="49" t="s">
        <v>657</v>
      </c>
      <c r="C1162" s="50" t="s">
        <v>658</v>
      </c>
      <c r="D1162">
        <f t="shared" ca="1" si="74"/>
        <v>0</v>
      </c>
      <c r="E1162" t="str">
        <f ca="1">IF(D1162=0,"",COUNTIF($D$2:D1162,"&gt;0"))</f>
        <v/>
      </c>
      <c r="F1162" s="24" t="str">
        <f t="shared" ca="1" si="73"/>
        <v/>
      </c>
    </row>
    <row r="1163" spans="1:6" ht="16.8">
      <c r="A1163" s="57" t="s">
        <v>1576</v>
      </c>
      <c r="B1163" s="49" t="s">
        <v>562</v>
      </c>
      <c r="C1163" s="50" t="s">
        <v>659</v>
      </c>
      <c r="D1163">
        <f t="shared" ca="1" si="74"/>
        <v>0</v>
      </c>
      <c r="E1163" t="str">
        <f ca="1">IF(D1163=0,"",COUNTIF($D$2:D1163,"&gt;0"))</f>
        <v/>
      </c>
      <c r="F1163" s="24" t="str">
        <f t="shared" ref="F1163:F1226" ca="1" si="75">IFERROR(INDEX(A:A,MATCH(ROW(D1162),E:E,0)),"")</f>
        <v/>
      </c>
    </row>
    <row r="1164" spans="1:6" ht="16.8">
      <c r="A1164" s="55" t="s">
        <v>1577</v>
      </c>
      <c r="B1164" s="49" t="s">
        <v>562</v>
      </c>
      <c r="C1164" s="50" t="s">
        <v>580</v>
      </c>
      <c r="D1164">
        <f t="shared" ca="1" si="74"/>
        <v>0</v>
      </c>
      <c r="E1164" t="str">
        <f ca="1">IF(D1164=0,"",COUNTIF($D$2:D1164,"&gt;0"))</f>
        <v/>
      </c>
      <c r="F1164" s="24" t="str">
        <f t="shared" ca="1" si="75"/>
        <v/>
      </c>
    </row>
    <row r="1165" spans="1:6" ht="16.8">
      <c r="A1165" s="63" t="s">
        <v>1572</v>
      </c>
      <c r="B1165" s="49" t="s">
        <v>562</v>
      </c>
      <c r="C1165" s="50" t="s">
        <v>660</v>
      </c>
      <c r="D1165">
        <f t="shared" ca="1" si="74"/>
        <v>0</v>
      </c>
      <c r="E1165" t="str">
        <f ca="1">IF(D1165=0,"",COUNTIF($D$2:D1165,"&gt;0"))</f>
        <v/>
      </c>
      <c r="F1165" s="24" t="str">
        <f t="shared" ca="1" si="75"/>
        <v/>
      </c>
    </row>
    <row r="1166" spans="1:6" ht="16.8">
      <c r="A1166" s="394" t="s">
        <v>661</v>
      </c>
      <c r="B1166" s="394"/>
      <c r="C1166" s="394"/>
      <c r="D1166">
        <f t="shared" ca="1" si="74"/>
        <v>0</v>
      </c>
      <c r="E1166" t="str">
        <f ca="1">IF(D1166=0,"",COUNTIF($D$2:D1166,"&gt;0"))</f>
        <v/>
      </c>
      <c r="F1166" s="24" t="str">
        <f t="shared" ca="1" si="75"/>
        <v/>
      </c>
    </row>
    <row r="1167" spans="1:6" ht="19.2">
      <c r="A1167" s="54" t="s">
        <v>662</v>
      </c>
      <c r="B1167" s="49" t="s">
        <v>663</v>
      </c>
      <c r="C1167" s="50" t="s">
        <v>664</v>
      </c>
      <c r="D1167">
        <f t="shared" ca="1" si="74"/>
        <v>0</v>
      </c>
      <c r="E1167" t="str">
        <f ca="1">IF(D1167=0,"",COUNTIF($D$2:D1167,"&gt;0"))</f>
        <v/>
      </c>
      <c r="F1167" s="24" t="str">
        <f t="shared" ca="1" si="75"/>
        <v/>
      </c>
    </row>
    <row r="1168" spans="1:6" ht="16.8">
      <c r="A1168" s="62" t="s">
        <v>1579</v>
      </c>
      <c r="B1168" s="49"/>
      <c r="C1168" s="50"/>
      <c r="D1168">
        <f t="shared" ca="1" si="74"/>
        <v>0</v>
      </c>
      <c r="E1168" t="str">
        <f ca="1">IF(D1168=0,"",COUNTIF($D$2:D1168,"&gt;0"))</f>
        <v/>
      </c>
      <c r="F1168" s="24" t="str">
        <f t="shared" ca="1" si="75"/>
        <v/>
      </c>
    </row>
    <row r="1169" spans="1:6" ht="19.2">
      <c r="A1169" s="63" t="s">
        <v>1580</v>
      </c>
      <c r="B1169" s="49" t="s">
        <v>663</v>
      </c>
      <c r="C1169" s="50" t="s">
        <v>584</v>
      </c>
      <c r="D1169">
        <f t="shared" ca="1" si="74"/>
        <v>0</v>
      </c>
      <c r="E1169" t="str">
        <f ca="1">IF(D1169=0,"",COUNTIF($D$2:D1169,"&gt;0"))</f>
        <v/>
      </c>
      <c r="F1169" s="24" t="str">
        <f t="shared" ca="1" si="75"/>
        <v/>
      </c>
    </row>
    <row r="1170" spans="1:6" ht="16.8">
      <c r="A1170" s="63" t="s">
        <v>1581</v>
      </c>
      <c r="B1170" s="49"/>
      <c r="C1170" s="50"/>
      <c r="D1170">
        <f t="shared" ca="1" si="74"/>
        <v>0</v>
      </c>
      <c r="E1170" t="str">
        <f ca="1">IF(D1170=0,"",COUNTIF($D$2:D1170,"&gt;0"))</f>
        <v/>
      </c>
      <c r="F1170" s="24" t="str">
        <f t="shared" ca="1" si="75"/>
        <v/>
      </c>
    </row>
    <row r="1171" spans="1:6" ht="16.8">
      <c r="A1171" s="65" t="s">
        <v>1582</v>
      </c>
      <c r="B1171" s="64" t="s">
        <v>665</v>
      </c>
      <c r="C1171" s="50" t="s">
        <v>626</v>
      </c>
      <c r="D1171">
        <f t="shared" ca="1" si="74"/>
        <v>0</v>
      </c>
      <c r="E1171" t="str">
        <f ca="1">IF(D1171=0,"",COUNTIF($D$2:D1171,"&gt;0"))</f>
        <v/>
      </c>
      <c r="F1171" s="24" t="str">
        <f t="shared" ca="1" si="75"/>
        <v/>
      </c>
    </row>
    <row r="1172" spans="1:6" ht="16.8">
      <c r="A1172" s="65" t="s">
        <v>1583</v>
      </c>
      <c r="B1172" s="64" t="s">
        <v>665</v>
      </c>
      <c r="C1172" s="50" t="s">
        <v>666</v>
      </c>
      <c r="D1172">
        <f t="shared" ca="1" si="74"/>
        <v>0</v>
      </c>
      <c r="E1172" t="str">
        <f ca="1">IF(D1172=0,"",COUNTIF($D$2:D1172,"&gt;0"))</f>
        <v/>
      </c>
      <c r="F1172" s="24" t="str">
        <f t="shared" ca="1" si="75"/>
        <v/>
      </c>
    </row>
    <row r="1173" spans="1:6" ht="16.8">
      <c r="A1173" s="65" t="s">
        <v>1584</v>
      </c>
      <c r="B1173" s="64" t="s">
        <v>667</v>
      </c>
      <c r="C1173" s="50" t="s">
        <v>604</v>
      </c>
      <c r="D1173">
        <f t="shared" ca="1" si="74"/>
        <v>0</v>
      </c>
      <c r="E1173" t="str">
        <f ca="1">IF(D1173=0,"",COUNTIF($D$2:D1173,"&gt;0"))</f>
        <v/>
      </c>
      <c r="F1173" s="24" t="str">
        <f t="shared" ca="1" si="75"/>
        <v/>
      </c>
    </row>
    <row r="1174" spans="1:6" ht="19.2">
      <c r="A1174" s="54" t="s">
        <v>668</v>
      </c>
      <c r="B1174" s="49" t="s">
        <v>663</v>
      </c>
      <c r="C1174" s="50" t="s">
        <v>669</v>
      </c>
      <c r="D1174">
        <f t="shared" ca="1" si="74"/>
        <v>0</v>
      </c>
      <c r="E1174" t="str">
        <f ca="1">IF(D1174=0,"",COUNTIF($D$2:D1174,"&gt;0"))</f>
        <v/>
      </c>
      <c r="F1174" s="24" t="str">
        <f t="shared" ca="1" si="75"/>
        <v/>
      </c>
    </row>
    <row r="1175" spans="1:6" ht="16.8">
      <c r="A1175" s="393" t="s">
        <v>670</v>
      </c>
      <c r="B1175" s="393"/>
      <c r="C1175" s="393"/>
      <c r="D1175">
        <f t="shared" ca="1" si="74"/>
        <v>0</v>
      </c>
      <c r="E1175" t="str">
        <f ca="1">IF(D1175=0,"",COUNTIF($D$2:D1175,"&gt;0"))</f>
        <v/>
      </c>
      <c r="F1175" s="24" t="str">
        <f t="shared" ca="1" si="75"/>
        <v/>
      </c>
    </row>
    <row r="1176" spans="1:6" ht="16.8">
      <c r="A1176" s="62" t="s">
        <v>1585</v>
      </c>
      <c r="B1176" s="49"/>
      <c r="C1176" s="50"/>
      <c r="D1176">
        <f t="shared" ca="1" si="74"/>
        <v>0</v>
      </c>
      <c r="E1176" t="str">
        <f ca="1">IF(D1176=0,"",COUNTIF($D$2:D1176,"&gt;0"))</f>
        <v/>
      </c>
      <c r="F1176" s="24" t="str">
        <f t="shared" ca="1" si="75"/>
        <v/>
      </c>
    </row>
    <row r="1177" spans="1:6" ht="16.8">
      <c r="A1177" s="56" t="s">
        <v>1586</v>
      </c>
      <c r="B1177" s="49" t="s">
        <v>671</v>
      </c>
      <c r="C1177" s="50" t="s">
        <v>572</v>
      </c>
      <c r="D1177">
        <f t="shared" ca="1" si="74"/>
        <v>0</v>
      </c>
      <c r="E1177" t="str">
        <f ca="1">IF(D1177=0,"",COUNTIF($D$2:D1177,"&gt;0"))</f>
        <v/>
      </c>
      <c r="F1177" s="24" t="str">
        <f t="shared" ca="1" si="75"/>
        <v/>
      </c>
    </row>
    <row r="1178" spans="1:6" ht="16.8">
      <c r="A1178" s="56" t="s">
        <v>1587</v>
      </c>
      <c r="B1178" s="49" t="s">
        <v>671</v>
      </c>
      <c r="C1178" s="50" t="s">
        <v>593</v>
      </c>
      <c r="D1178">
        <f t="shared" ca="1" si="74"/>
        <v>0</v>
      </c>
      <c r="E1178" t="str">
        <f ca="1">IF(D1178=0,"",COUNTIF($D$2:D1178,"&gt;0"))</f>
        <v/>
      </c>
      <c r="F1178" s="24" t="str">
        <f t="shared" ca="1" si="75"/>
        <v/>
      </c>
    </row>
    <row r="1179" spans="1:6" ht="16.8">
      <c r="A1179" s="56" t="s">
        <v>1588</v>
      </c>
      <c r="B1179" s="49" t="s">
        <v>671</v>
      </c>
      <c r="C1179" s="50" t="s">
        <v>672</v>
      </c>
      <c r="D1179">
        <f t="shared" ca="1" si="74"/>
        <v>0</v>
      </c>
      <c r="E1179" t="str">
        <f ca="1">IF(D1179=0,"",COUNTIF($D$2:D1179,"&gt;0"))</f>
        <v/>
      </c>
      <c r="F1179" s="24" t="str">
        <f t="shared" ca="1" si="75"/>
        <v/>
      </c>
    </row>
    <row r="1180" spans="1:6" ht="19.2">
      <c r="A1180" s="54" t="s">
        <v>673</v>
      </c>
      <c r="B1180" s="49" t="s">
        <v>663</v>
      </c>
      <c r="C1180" s="50" t="s">
        <v>591</v>
      </c>
      <c r="D1180">
        <f t="shared" ca="1" si="74"/>
        <v>0</v>
      </c>
      <c r="E1180" t="str">
        <f ca="1">IF(D1180=0,"",COUNTIF($D$2:D1180,"&gt;0"))</f>
        <v/>
      </c>
      <c r="F1180" s="24" t="str">
        <f t="shared" ca="1" si="75"/>
        <v/>
      </c>
    </row>
    <row r="1181" spans="1:6" ht="16.8">
      <c r="A1181" s="54" t="s">
        <v>674</v>
      </c>
      <c r="B1181" s="49" t="s">
        <v>562</v>
      </c>
      <c r="C1181" s="50" t="s">
        <v>675</v>
      </c>
      <c r="D1181">
        <f t="shared" ca="1" si="74"/>
        <v>0</v>
      </c>
      <c r="E1181" t="str">
        <f ca="1">IF(D1181=0,"",COUNTIF($D$2:D1181,"&gt;0"))</f>
        <v/>
      </c>
      <c r="F1181" s="24" t="str">
        <f t="shared" ca="1" si="75"/>
        <v/>
      </c>
    </row>
    <row r="1182" spans="1:6" ht="16.8">
      <c r="A1182" s="62" t="s">
        <v>1589</v>
      </c>
      <c r="B1182" s="49"/>
      <c r="C1182" s="50"/>
      <c r="D1182">
        <f t="shared" ca="1" si="74"/>
        <v>0</v>
      </c>
      <c r="E1182" t="str">
        <f ca="1">IF(D1182=0,"",COUNTIF($D$2:D1182,"&gt;0"))</f>
        <v/>
      </c>
      <c r="F1182" s="24" t="str">
        <f t="shared" ca="1" si="75"/>
        <v/>
      </c>
    </row>
    <row r="1183" spans="1:6" ht="16.8">
      <c r="A1183" s="56" t="s">
        <v>1590</v>
      </c>
      <c r="B1183" s="49" t="s">
        <v>562</v>
      </c>
      <c r="C1183" s="50" t="s">
        <v>676</v>
      </c>
      <c r="D1183">
        <f t="shared" ca="1" si="74"/>
        <v>0</v>
      </c>
      <c r="E1183" t="str">
        <f ca="1">IF(D1183=0,"",COUNTIF($D$2:D1183,"&gt;0"))</f>
        <v/>
      </c>
      <c r="F1183" s="24" t="str">
        <f t="shared" ca="1" si="75"/>
        <v/>
      </c>
    </row>
    <row r="1184" spans="1:6" ht="16.8">
      <c r="A1184" s="56" t="s">
        <v>1591</v>
      </c>
      <c r="B1184" s="49" t="s">
        <v>562</v>
      </c>
      <c r="C1184" s="50" t="s">
        <v>641</v>
      </c>
      <c r="D1184">
        <f t="shared" ca="1" si="74"/>
        <v>0</v>
      </c>
      <c r="E1184" t="str">
        <f ca="1">IF(D1184=0,"",COUNTIF($D$2:D1184,"&gt;0"))</f>
        <v/>
      </c>
      <c r="F1184" s="24" t="str">
        <f t="shared" ca="1" si="75"/>
        <v/>
      </c>
    </row>
    <row r="1185" spans="1:6" ht="16.8">
      <c r="A1185" s="62" t="s">
        <v>1592</v>
      </c>
      <c r="B1185" s="49"/>
      <c r="C1185" s="50"/>
      <c r="D1185">
        <f t="shared" ca="1" si="74"/>
        <v>0</v>
      </c>
      <c r="E1185" t="str">
        <f ca="1">IF(D1185=0,"",COUNTIF($D$2:D1185,"&gt;0"))</f>
        <v/>
      </c>
      <c r="F1185" s="24" t="str">
        <f t="shared" ca="1" si="75"/>
        <v/>
      </c>
    </row>
    <row r="1186" spans="1:6" ht="16.8">
      <c r="A1186" s="56" t="s">
        <v>1593</v>
      </c>
      <c r="B1186" s="49" t="s">
        <v>671</v>
      </c>
      <c r="C1186" s="50" t="s">
        <v>669</v>
      </c>
      <c r="D1186">
        <f t="shared" ca="1" si="74"/>
        <v>0</v>
      </c>
      <c r="E1186" t="str">
        <f ca="1">IF(D1186=0,"",COUNTIF($D$2:D1186,"&gt;0"))</f>
        <v/>
      </c>
      <c r="F1186" s="24" t="str">
        <f t="shared" ca="1" si="75"/>
        <v/>
      </c>
    </row>
    <row r="1187" spans="1:6" ht="16.8">
      <c r="A1187" s="56" t="s">
        <v>1594</v>
      </c>
      <c r="B1187" s="49" t="s">
        <v>671</v>
      </c>
      <c r="C1187" s="50" t="s">
        <v>675</v>
      </c>
      <c r="D1187">
        <f t="shared" ca="1" si="74"/>
        <v>0</v>
      </c>
      <c r="E1187" t="str">
        <f ca="1">IF(D1187=0,"",COUNTIF($D$2:D1187,"&gt;0"))</f>
        <v/>
      </c>
      <c r="F1187" s="24" t="str">
        <f t="shared" ca="1" si="75"/>
        <v/>
      </c>
    </row>
    <row r="1188" spans="1:6" ht="16.8">
      <c r="A1188" s="56" t="s">
        <v>1595</v>
      </c>
      <c r="B1188" s="49" t="s">
        <v>671</v>
      </c>
      <c r="C1188" s="50" t="s">
        <v>677</v>
      </c>
      <c r="D1188">
        <f t="shared" ca="1" si="74"/>
        <v>0</v>
      </c>
      <c r="E1188" t="str">
        <f ca="1">IF(D1188=0,"",COUNTIF($D$2:D1188,"&gt;0"))</f>
        <v/>
      </c>
      <c r="F1188" s="24" t="str">
        <f t="shared" ca="1" si="75"/>
        <v/>
      </c>
    </row>
    <row r="1189" spans="1:6" ht="16.8">
      <c r="A1189" s="56" t="s">
        <v>1596</v>
      </c>
      <c r="B1189" s="49" t="s">
        <v>671</v>
      </c>
      <c r="C1189" s="50" t="s">
        <v>564</v>
      </c>
      <c r="D1189">
        <f t="shared" ca="1" si="74"/>
        <v>0</v>
      </c>
      <c r="E1189" t="str">
        <f ca="1">IF(D1189=0,"",COUNTIF($D$2:D1189,"&gt;0"))</f>
        <v/>
      </c>
      <c r="F1189" s="24" t="str">
        <f t="shared" ca="1" si="75"/>
        <v/>
      </c>
    </row>
    <row r="1190" spans="1:6" ht="16.8">
      <c r="A1190" s="62" t="s">
        <v>1597</v>
      </c>
      <c r="B1190" s="49"/>
      <c r="C1190" s="50"/>
      <c r="D1190">
        <f t="shared" ca="1" si="74"/>
        <v>0</v>
      </c>
      <c r="E1190" t="str">
        <f ca="1">IF(D1190=0,"",COUNTIF($D$2:D1190,"&gt;0"))</f>
        <v/>
      </c>
      <c r="F1190" s="24" t="str">
        <f t="shared" ca="1" si="75"/>
        <v/>
      </c>
    </row>
    <row r="1191" spans="1:6" ht="16.8">
      <c r="A1191" s="56" t="s">
        <v>1598</v>
      </c>
      <c r="B1191" s="49" t="s">
        <v>671</v>
      </c>
      <c r="C1191" s="50" t="s">
        <v>563</v>
      </c>
      <c r="D1191">
        <f t="shared" ca="1" si="74"/>
        <v>0</v>
      </c>
      <c r="E1191" t="str">
        <f ca="1">IF(D1191=0,"",COUNTIF($D$2:D1191,"&gt;0"))</f>
        <v/>
      </c>
      <c r="F1191" s="24" t="str">
        <f t="shared" ca="1" si="75"/>
        <v/>
      </c>
    </row>
    <row r="1192" spans="1:6" ht="16.8">
      <c r="A1192" s="56" t="s">
        <v>1599</v>
      </c>
      <c r="B1192" s="49" t="s">
        <v>671</v>
      </c>
      <c r="C1192" s="50" t="s">
        <v>626</v>
      </c>
      <c r="D1192">
        <f t="shared" ca="1" si="74"/>
        <v>0</v>
      </c>
      <c r="E1192" t="str">
        <f ca="1">IF(D1192=0,"",COUNTIF($D$2:D1192,"&gt;0"))</f>
        <v/>
      </c>
      <c r="F1192" s="24" t="str">
        <f t="shared" ca="1" si="75"/>
        <v/>
      </c>
    </row>
    <row r="1193" spans="1:6" ht="16.8">
      <c r="A1193" s="56" t="s">
        <v>1600</v>
      </c>
      <c r="B1193" s="49" t="s">
        <v>671</v>
      </c>
      <c r="C1193" s="50" t="s">
        <v>642</v>
      </c>
      <c r="D1193">
        <f t="shared" ca="1" si="74"/>
        <v>0</v>
      </c>
      <c r="E1193" t="str">
        <f ca="1">IF(D1193=0,"",COUNTIF($D$2:D1193,"&gt;0"))</f>
        <v/>
      </c>
      <c r="F1193" s="24" t="str">
        <f t="shared" ca="1" si="75"/>
        <v/>
      </c>
    </row>
    <row r="1194" spans="1:6" ht="16.8">
      <c r="A1194" s="62" t="s">
        <v>1601</v>
      </c>
      <c r="B1194" s="49"/>
      <c r="C1194" s="50"/>
      <c r="D1194">
        <f t="shared" ca="1" si="74"/>
        <v>0</v>
      </c>
      <c r="E1194" t="str">
        <f ca="1">IF(D1194=0,"",COUNTIF($D$2:D1194,"&gt;0"))</f>
        <v/>
      </c>
      <c r="F1194" s="24" t="str">
        <f t="shared" ca="1" si="75"/>
        <v/>
      </c>
    </row>
    <row r="1195" spans="1:6" ht="16.8">
      <c r="A1195" s="56" t="s">
        <v>1602</v>
      </c>
      <c r="B1195" s="49" t="s">
        <v>671</v>
      </c>
      <c r="C1195" s="50" t="s">
        <v>678</v>
      </c>
      <c r="D1195">
        <f t="shared" ca="1" si="74"/>
        <v>0</v>
      </c>
      <c r="E1195" t="str">
        <f ca="1">IF(D1195=0,"",COUNTIF($D$2:D1195,"&gt;0"))</f>
        <v/>
      </c>
      <c r="F1195" s="24" t="str">
        <f t="shared" ca="1" si="75"/>
        <v/>
      </c>
    </row>
    <row r="1196" spans="1:6" ht="16.8">
      <c r="A1196" s="56" t="s">
        <v>1603</v>
      </c>
      <c r="B1196" s="49" t="s">
        <v>671</v>
      </c>
      <c r="C1196" s="50" t="s">
        <v>563</v>
      </c>
      <c r="D1196">
        <f t="shared" ca="1" si="74"/>
        <v>0</v>
      </c>
      <c r="E1196" t="str">
        <f ca="1">IF(D1196=0,"",COUNTIF($D$2:D1196,"&gt;0"))</f>
        <v/>
      </c>
      <c r="F1196" s="24" t="str">
        <f t="shared" ca="1" si="75"/>
        <v/>
      </c>
    </row>
    <row r="1197" spans="1:6" ht="16.8">
      <c r="A1197" s="56" t="s">
        <v>1604</v>
      </c>
      <c r="B1197" s="49" t="s">
        <v>671</v>
      </c>
      <c r="C1197" s="50" t="s">
        <v>641</v>
      </c>
      <c r="D1197">
        <f t="shared" ca="1" si="74"/>
        <v>0</v>
      </c>
      <c r="E1197" t="str">
        <f ca="1">IF(D1197=0,"",COUNTIF($D$2:D1197,"&gt;0"))</f>
        <v/>
      </c>
      <c r="F1197" s="24" t="str">
        <f t="shared" ca="1" si="75"/>
        <v/>
      </c>
    </row>
    <row r="1198" spans="1:6" ht="16.8">
      <c r="A1198" s="54" t="s">
        <v>679</v>
      </c>
      <c r="B1198" s="49" t="s">
        <v>671</v>
      </c>
      <c r="C1198" s="50" t="s">
        <v>563</v>
      </c>
      <c r="D1198">
        <f t="shared" ca="1" si="74"/>
        <v>0</v>
      </c>
      <c r="E1198" t="str">
        <f ca="1">IF(D1198=0,"",COUNTIF($D$2:D1198,"&gt;0"))</f>
        <v/>
      </c>
      <c r="F1198" s="24" t="str">
        <f t="shared" ca="1" si="75"/>
        <v/>
      </c>
    </row>
    <row r="1199" spans="1:6" ht="16.8">
      <c r="A1199" s="62" t="s">
        <v>1605</v>
      </c>
      <c r="B1199" s="49"/>
      <c r="C1199" s="50"/>
      <c r="D1199">
        <f t="shared" ca="1" si="74"/>
        <v>0</v>
      </c>
      <c r="E1199" t="str">
        <f ca="1">IF(D1199=0,"",COUNTIF($D$2:D1199,"&gt;0"))</f>
        <v/>
      </c>
      <c r="F1199" s="24" t="str">
        <f t="shared" ca="1" si="75"/>
        <v/>
      </c>
    </row>
    <row r="1200" spans="1:6" ht="16.8">
      <c r="A1200" s="56" t="s">
        <v>1606</v>
      </c>
      <c r="B1200" s="49" t="s">
        <v>562</v>
      </c>
      <c r="C1200" s="50" t="s">
        <v>669</v>
      </c>
      <c r="D1200">
        <f t="shared" ca="1" si="74"/>
        <v>0</v>
      </c>
      <c r="E1200" t="str">
        <f ca="1">IF(D1200=0,"",COUNTIF($D$2:D1200,"&gt;0"))</f>
        <v/>
      </c>
      <c r="F1200" s="24" t="str">
        <f t="shared" ca="1" si="75"/>
        <v/>
      </c>
    </row>
    <row r="1201" spans="1:6" ht="16.8">
      <c r="A1201" s="56" t="s">
        <v>1607</v>
      </c>
      <c r="B1201" s="49" t="s">
        <v>562</v>
      </c>
      <c r="C1201" s="50" t="s">
        <v>626</v>
      </c>
      <c r="D1201">
        <f t="shared" ca="1" si="74"/>
        <v>0</v>
      </c>
      <c r="E1201" t="str">
        <f ca="1">IF(D1201=0,"",COUNTIF($D$2:D1201,"&gt;0"))</f>
        <v/>
      </c>
      <c r="F1201" s="24" t="str">
        <f t="shared" ca="1" si="75"/>
        <v/>
      </c>
    </row>
    <row r="1202" spans="1:6" ht="16.8">
      <c r="A1202" s="56" t="s">
        <v>1608</v>
      </c>
      <c r="B1202" s="49" t="s">
        <v>562</v>
      </c>
      <c r="C1202" s="50" t="s">
        <v>604</v>
      </c>
      <c r="D1202">
        <f t="shared" ca="1" si="74"/>
        <v>0</v>
      </c>
      <c r="E1202" t="str">
        <f ca="1">IF(D1202=0,"",COUNTIF($D$2:D1202,"&gt;0"))</f>
        <v/>
      </c>
      <c r="F1202" s="24" t="str">
        <f t="shared" ca="1" si="75"/>
        <v/>
      </c>
    </row>
    <row r="1203" spans="1:6" ht="16.8">
      <c r="A1203" s="56" t="s">
        <v>1609</v>
      </c>
      <c r="B1203" s="49" t="s">
        <v>562</v>
      </c>
      <c r="C1203" s="50" t="s">
        <v>634</v>
      </c>
      <c r="D1203">
        <f t="shared" ca="1" si="74"/>
        <v>0</v>
      </c>
      <c r="E1203" t="str">
        <f ca="1">IF(D1203=0,"",COUNTIF($D$2:D1203,"&gt;0"))</f>
        <v/>
      </c>
      <c r="F1203" s="24" t="str">
        <f t="shared" ca="1" si="75"/>
        <v/>
      </c>
    </row>
    <row r="1204" spans="1:6" ht="16.8">
      <c r="A1204" s="62" t="s">
        <v>1610</v>
      </c>
      <c r="B1204" s="49"/>
      <c r="C1204" s="50"/>
      <c r="D1204">
        <f t="shared" ca="1" si="74"/>
        <v>0</v>
      </c>
      <c r="E1204" t="str">
        <f ca="1">IF(D1204=0,"",COUNTIF($D$2:D1204,"&gt;0"))</f>
        <v/>
      </c>
      <c r="F1204" s="24" t="str">
        <f t="shared" ca="1" si="75"/>
        <v/>
      </c>
    </row>
    <row r="1205" spans="1:6" ht="16.8">
      <c r="A1205" s="56" t="s">
        <v>1611</v>
      </c>
      <c r="B1205" s="49" t="s">
        <v>671</v>
      </c>
      <c r="C1205" s="50" t="s">
        <v>584</v>
      </c>
      <c r="D1205">
        <f t="shared" ca="1" si="74"/>
        <v>0</v>
      </c>
      <c r="E1205" t="str">
        <f ca="1">IF(D1205=0,"",COUNTIF($D$2:D1205,"&gt;0"))</f>
        <v/>
      </c>
      <c r="F1205" s="24" t="str">
        <f t="shared" ca="1" si="75"/>
        <v/>
      </c>
    </row>
    <row r="1206" spans="1:6" ht="16.8">
      <c r="A1206" s="56" t="s">
        <v>1612</v>
      </c>
      <c r="B1206" s="49" t="s">
        <v>671</v>
      </c>
      <c r="C1206" s="50" t="s">
        <v>680</v>
      </c>
      <c r="D1206">
        <f t="shared" ca="1" si="74"/>
        <v>0</v>
      </c>
      <c r="E1206" t="str">
        <f ca="1">IF(D1206=0,"",COUNTIF($D$2:D1206,"&gt;0"))</f>
        <v/>
      </c>
      <c r="F1206" s="24" t="str">
        <f t="shared" ca="1" si="75"/>
        <v/>
      </c>
    </row>
    <row r="1207" spans="1:6" ht="16.8">
      <c r="A1207" s="56" t="s">
        <v>1613</v>
      </c>
      <c r="B1207" s="49" t="s">
        <v>671</v>
      </c>
      <c r="C1207" s="50" t="s">
        <v>681</v>
      </c>
      <c r="D1207">
        <f t="shared" ca="1" si="74"/>
        <v>0</v>
      </c>
      <c r="E1207" t="str">
        <f ca="1">IF(D1207=0,"",COUNTIF($D$2:D1207,"&gt;0"))</f>
        <v/>
      </c>
      <c r="F1207" s="24" t="str">
        <f t="shared" ca="1" si="75"/>
        <v/>
      </c>
    </row>
    <row r="1208" spans="1:6" ht="16.8">
      <c r="A1208" s="56" t="s">
        <v>1614</v>
      </c>
      <c r="B1208" s="49" t="s">
        <v>682</v>
      </c>
      <c r="C1208" s="50" t="s">
        <v>634</v>
      </c>
      <c r="D1208">
        <f t="shared" ca="1" si="74"/>
        <v>0</v>
      </c>
      <c r="E1208" t="str">
        <f ca="1">IF(D1208=0,"",COUNTIF($D$2:D1208,"&gt;0"))</f>
        <v/>
      </c>
      <c r="F1208" s="24" t="str">
        <f t="shared" ca="1" si="75"/>
        <v/>
      </c>
    </row>
    <row r="1209" spans="1:6" ht="16.8">
      <c r="A1209" s="62" t="s">
        <v>1615</v>
      </c>
      <c r="B1209" s="49"/>
      <c r="C1209" s="50"/>
      <c r="D1209">
        <f t="shared" ca="1" si="74"/>
        <v>0</v>
      </c>
      <c r="E1209" t="str">
        <f ca="1">IF(D1209=0,"",COUNTIF($D$2:D1209,"&gt;0"))</f>
        <v/>
      </c>
      <c r="F1209" s="24" t="str">
        <f t="shared" ca="1" si="75"/>
        <v/>
      </c>
    </row>
    <row r="1210" spans="1:6" ht="16.8">
      <c r="A1210" s="63" t="s">
        <v>1616</v>
      </c>
      <c r="B1210" s="49" t="s">
        <v>671</v>
      </c>
      <c r="C1210" s="50" t="s">
        <v>669</v>
      </c>
      <c r="D1210">
        <f t="shared" ca="1" si="74"/>
        <v>0</v>
      </c>
      <c r="E1210" t="str">
        <f ca="1">IF(D1210=0,"",COUNTIF($D$2:D1210,"&gt;0"))</f>
        <v/>
      </c>
      <c r="F1210" s="24" t="str">
        <f t="shared" ca="1" si="75"/>
        <v/>
      </c>
    </row>
    <row r="1211" spans="1:6" ht="16.8">
      <c r="A1211" s="56" t="s">
        <v>1617</v>
      </c>
      <c r="B1211" s="49" t="s">
        <v>671</v>
      </c>
      <c r="C1211" s="50" t="s">
        <v>572</v>
      </c>
      <c r="D1211">
        <f t="shared" ca="1" si="74"/>
        <v>0</v>
      </c>
      <c r="E1211" t="str">
        <f ca="1">IF(D1211=0,"",COUNTIF($D$2:D1211,"&gt;0"))</f>
        <v/>
      </c>
      <c r="F1211" s="24" t="str">
        <f t="shared" ca="1" si="75"/>
        <v/>
      </c>
    </row>
    <row r="1212" spans="1:6" ht="16.8">
      <c r="A1212" s="58" t="s">
        <v>1618</v>
      </c>
      <c r="B1212" s="49" t="s">
        <v>671</v>
      </c>
      <c r="C1212" s="50" t="s">
        <v>664</v>
      </c>
      <c r="D1212">
        <f t="shared" ca="1" si="74"/>
        <v>0</v>
      </c>
      <c r="E1212" t="str">
        <f ca="1">IF(D1212=0,"",COUNTIF($D$2:D1212,"&gt;0"))</f>
        <v/>
      </c>
      <c r="F1212" s="24" t="str">
        <f t="shared" ca="1" si="75"/>
        <v/>
      </c>
    </row>
    <row r="1213" spans="1:6" ht="16.8">
      <c r="A1213" s="59" t="s">
        <v>1619</v>
      </c>
      <c r="B1213" s="49" t="s">
        <v>671</v>
      </c>
      <c r="C1213" s="50" t="s">
        <v>683</v>
      </c>
      <c r="D1213">
        <f t="shared" ca="1" si="74"/>
        <v>0</v>
      </c>
      <c r="E1213" t="str">
        <f ca="1">IF(D1213=0,"",COUNTIF($D$2:D1213,"&gt;0"))</f>
        <v/>
      </c>
      <c r="F1213" s="24" t="str">
        <f t="shared" ca="1" si="75"/>
        <v/>
      </c>
    </row>
    <row r="1214" spans="1:6" ht="16.8">
      <c r="A1214" s="62" t="s">
        <v>1620</v>
      </c>
      <c r="B1214" s="49"/>
      <c r="C1214" s="50"/>
      <c r="D1214">
        <f t="shared" ca="1" si="74"/>
        <v>0</v>
      </c>
      <c r="E1214" t="str">
        <f ca="1">IF(D1214=0,"",COUNTIF($D$2:D1214,"&gt;0"))</f>
        <v/>
      </c>
      <c r="F1214" s="24" t="str">
        <f t="shared" ca="1" si="75"/>
        <v/>
      </c>
    </row>
    <row r="1215" spans="1:6" ht="16.8">
      <c r="A1215" s="56" t="s">
        <v>1621</v>
      </c>
      <c r="B1215" s="49" t="s">
        <v>592</v>
      </c>
      <c r="C1215" s="66">
        <v>15000</v>
      </c>
      <c r="D1215">
        <f t="shared" ca="1" si="74"/>
        <v>0</v>
      </c>
      <c r="E1215" t="str">
        <f ca="1">IF(D1215=0,"",COUNTIF($D$2:D1215,"&gt;0"))</f>
        <v/>
      </c>
      <c r="F1215" s="24" t="str">
        <f t="shared" ca="1" si="75"/>
        <v/>
      </c>
    </row>
    <row r="1216" spans="1:6" ht="16.8">
      <c r="A1216" s="56" t="s">
        <v>1622</v>
      </c>
      <c r="B1216" s="49" t="s">
        <v>562</v>
      </c>
      <c r="C1216" s="67" t="s">
        <v>664</v>
      </c>
      <c r="D1216">
        <f t="shared" ca="1" si="74"/>
        <v>0</v>
      </c>
      <c r="E1216" t="str">
        <f ca="1">IF(D1216=0,"",COUNTIF($D$2:D1216,"&gt;0"))</f>
        <v/>
      </c>
      <c r="F1216" s="24" t="str">
        <f t="shared" ca="1" si="75"/>
        <v/>
      </c>
    </row>
    <row r="1217" spans="1:6" ht="16.8">
      <c r="A1217" s="54" t="s">
        <v>684</v>
      </c>
      <c r="B1217" s="49" t="s">
        <v>562</v>
      </c>
      <c r="C1217" s="67" t="s">
        <v>685</v>
      </c>
      <c r="D1217">
        <f t="shared" ca="1" si="74"/>
        <v>0</v>
      </c>
      <c r="E1217" t="str">
        <f ca="1">IF(D1217=0,"",COUNTIF($D$2:D1217,"&gt;0"))</f>
        <v/>
      </c>
      <c r="F1217" s="24" t="str">
        <f t="shared" ca="1" si="75"/>
        <v/>
      </c>
    </row>
    <row r="1218" spans="1:6" ht="16.8">
      <c r="A1218" s="54" t="s">
        <v>686</v>
      </c>
      <c r="B1218" s="49" t="s">
        <v>562</v>
      </c>
      <c r="C1218" s="66">
        <v>18000</v>
      </c>
      <c r="D1218">
        <f t="shared" ca="1" si="74"/>
        <v>0</v>
      </c>
      <c r="E1218" t="str">
        <f ca="1">IF(D1218=0,"",COUNTIF($D$2:D1218,"&gt;0"))</f>
        <v/>
      </c>
      <c r="F1218" s="24" t="str">
        <f t="shared" ca="1" si="75"/>
        <v/>
      </c>
    </row>
    <row r="1219" spans="1:6" ht="16.8">
      <c r="A1219" s="54" t="s">
        <v>687</v>
      </c>
      <c r="B1219" s="49" t="s">
        <v>671</v>
      </c>
      <c r="C1219" s="50" t="s">
        <v>628</v>
      </c>
      <c r="D1219">
        <f t="shared" ca="1" si="74"/>
        <v>0</v>
      </c>
      <c r="E1219" t="str">
        <f ca="1">IF(D1219=0,"",COUNTIF($D$2:D1219,"&gt;0"))</f>
        <v/>
      </c>
      <c r="F1219" s="24" t="str">
        <f t="shared" ca="1" si="75"/>
        <v/>
      </c>
    </row>
    <row r="1220" spans="1:6" ht="16.8">
      <c r="A1220" s="54" t="s">
        <v>688</v>
      </c>
      <c r="B1220" s="49" t="s">
        <v>671</v>
      </c>
      <c r="C1220" s="50" t="s">
        <v>591</v>
      </c>
      <c r="D1220">
        <f t="shared" ca="1" si="74"/>
        <v>0</v>
      </c>
      <c r="E1220" t="str">
        <f ca="1">IF(D1220=0,"",COUNTIF($D$2:D1220,"&gt;0"))</f>
        <v/>
      </c>
      <c r="F1220" s="24" t="str">
        <f t="shared" ca="1" si="75"/>
        <v/>
      </c>
    </row>
    <row r="1221" spans="1:6" ht="16.8">
      <c r="A1221" s="54" t="s">
        <v>689</v>
      </c>
      <c r="B1221" s="49" t="s">
        <v>671</v>
      </c>
      <c r="C1221" s="50" t="s">
        <v>664</v>
      </c>
      <c r="D1221">
        <f t="shared" ca="1" si="74"/>
        <v>0</v>
      </c>
      <c r="E1221" t="str">
        <f ca="1">IF(D1221=0,"",COUNTIF($D$2:D1221,"&gt;0"))</f>
        <v/>
      </c>
      <c r="F1221" s="24" t="str">
        <f t="shared" ca="1" si="75"/>
        <v/>
      </c>
    </row>
    <row r="1222" spans="1:6" ht="16.8">
      <c r="A1222" s="54" t="s">
        <v>690</v>
      </c>
      <c r="B1222" s="49" t="s">
        <v>671</v>
      </c>
      <c r="C1222" s="50" t="s">
        <v>626</v>
      </c>
      <c r="D1222">
        <f t="shared" ref="D1222:D1285" ca="1" si="76">IFERROR(SEARCH(INDIRECT(CELL("address")),A1222),0)</f>
        <v>0</v>
      </c>
      <c r="E1222" t="str">
        <f ca="1">IF(D1222=0,"",COUNTIF($D$2:D1222,"&gt;0"))</f>
        <v/>
      </c>
      <c r="F1222" s="24" t="str">
        <f t="shared" ca="1" si="75"/>
        <v/>
      </c>
    </row>
    <row r="1223" spans="1:6" ht="16.8">
      <c r="A1223" s="62" t="s">
        <v>1623</v>
      </c>
      <c r="B1223" s="49"/>
      <c r="C1223" s="50"/>
      <c r="D1223">
        <f t="shared" ca="1" si="76"/>
        <v>0</v>
      </c>
      <c r="E1223" t="str">
        <f ca="1">IF(D1223=0,"",COUNTIF($D$2:D1223,"&gt;0"))</f>
        <v/>
      </c>
      <c r="F1223" s="24" t="str">
        <f t="shared" ca="1" si="75"/>
        <v/>
      </c>
    </row>
    <row r="1224" spans="1:6" ht="16.8">
      <c r="A1224" s="56" t="s">
        <v>1624</v>
      </c>
      <c r="B1224" s="49" t="s">
        <v>671</v>
      </c>
      <c r="C1224" s="50" t="s">
        <v>584</v>
      </c>
      <c r="D1224">
        <f t="shared" ca="1" si="76"/>
        <v>0</v>
      </c>
      <c r="E1224" t="str">
        <f ca="1">IF(D1224=0,"",COUNTIF($D$2:D1224,"&gt;0"))</f>
        <v/>
      </c>
      <c r="F1224" s="24" t="str">
        <f t="shared" ca="1" si="75"/>
        <v/>
      </c>
    </row>
    <row r="1225" spans="1:6" ht="16.8">
      <c r="A1225" s="56" t="s">
        <v>1625</v>
      </c>
      <c r="B1225" s="49" t="s">
        <v>671</v>
      </c>
      <c r="C1225" s="50" t="s">
        <v>680</v>
      </c>
      <c r="D1225">
        <f t="shared" ca="1" si="76"/>
        <v>0</v>
      </c>
      <c r="E1225" t="str">
        <f ca="1">IF(D1225=0,"",COUNTIF($D$2:D1225,"&gt;0"))</f>
        <v/>
      </c>
      <c r="F1225" s="24" t="str">
        <f t="shared" ca="1" si="75"/>
        <v/>
      </c>
    </row>
    <row r="1226" spans="1:6" ht="16.8">
      <c r="A1226" s="62" t="s">
        <v>1626</v>
      </c>
      <c r="B1226" s="49"/>
      <c r="C1226" s="50"/>
      <c r="D1226">
        <f t="shared" ca="1" si="76"/>
        <v>0</v>
      </c>
      <c r="E1226" t="str">
        <f ca="1">IF(D1226=0,"",COUNTIF($D$2:D1226,"&gt;0"))</f>
        <v/>
      </c>
      <c r="F1226" s="24" t="str">
        <f t="shared" ca="1" si="75"/>
        <v/>
      </c>
    </row>
    <row r="1227" spans="1:6" ht="16.8">
      <c r="A1227" s="56" t="s">
        <v>1627</v>
      </c>
      <c r="B1227" s="49" t="s">
        <v>671</v>
      </c>
      <c r="C1227" s="50" t="s">
        <v>632</v>
      </c>
      <c r="D1227">
        <f t="shared" ca="1" si="76"/>
        <v>0</v>
      </c>
      <c r="E1227" t="str">
        <f ca="1">IF(D1227=0,"",COUNTIF($D$2:D1227,"&gt;0"))</f>
        <v/>
      </c>
      <c r="F1227" s="24" t="str">
        <f t="shared" ref="F1227:F1290" ca="1" si="77">IFERROR(INDEX(A:A,MATCH(ROW(D1226),E:E,0)),"")</f>
        <v/>
      </c>
    </row>
    <row r="1228" spans="1:6" ht="16.8">
      <c r="A1228" s="56" t="s">
        <v>1628</v>
      </c>
      <c r="B1228" s="49" t="s">
        <v>671</v>
      </c>
      <c r="C1228" s="50" t="s">
        <v>605</v>
      </c>
      <c r="D1228">
        <f t="shared" ca="1" si="76"/>
        <v>0</v>
      </c>
      <c r="E1228" t="str">
        <f ca="1">IF(D1228=0,"",COUNTIF($D$2:D1228,"&gt;0"))</f>
        <v/>
      </c>
      <c r="F1228" s="24" t="str">
        <f t="shared" ca="1" si="77"/>
        <v/>
      </c>
    </row>
    <row r="1229" spans="1:6" ht="16.8">
      <c r="A1229" s="62" t="s">
        <v>1629</v>
      </c>
      <c r="B1229" s="49"/>
      <c r="C1229" s="50"/>
      <c r="D1229">
        <f t="shared" ca="1" si="76"/>
        <v>0</v>
      </c>
      <c r="E1229" t="str">
        <f ca="1">IF(D1229=0,"",COUNTIF($D$2:D1229,"&gt;0"))</f>
        <v/>
      </c>
      <c r="F1229" s="24" t="str">
        <f t="shared" ca="1" si="77"/>
        <v/>
      </c>
    </row>
    <row r="1230" spans="1:6" ht="16.8">
      <c r="A1230" s="56" t="s">
        <v>1630</v>
      </c>
      <c r="B1230" s="49" t="s">
        <v>671</v>
      </c>
      <c r="C1230" s="50" t="s">
        <v>632</v>
      </c>
      <c r="D1230">
        <f t="shared" ca="1" si="76"/>
        <v>0</v>
      </c>
      <c r="E1230" t="str">
        <f ca="1">IF(D1230=0,"",COUNTIF($D$2:D1230,"&gt;0"))</f>
        <v/>
      </c>
      <c r="F1230" s="24" t="str">
        <f t="shared" ca="1" si="77"/>
        <v/>
      </c>
    </row>
    <row r="1231" spans="1:6" ht="16.8">
      <c r="A1231" s="56" t="s">
        <v>1631</v>
      </c>
      <c r="B1231" s="49" t="s">
        <v>671</v>
      </c>
      <c r="C1231" s="50" t="s">
        <v>605</v>
      </c>
      <c r="D1231">
        <f t="shared" ca="1" si="76"/>
        <v>0</v>
      </c>
      <c r="E1231" t="str">
        <f ca="1">IF(D1231=0,"",COUNTIF($D$2:D1231,"&gt;0"))</f>
        <v/>
      </c>
      <c r="F1231" s="24" t="str">
        <f t="shared" ca="1" si="77"/>
        <v/>
      </c>
    </row>
    <row r="1232" spans="1:6" ht="16.8">
      <c r="A1232" s="62" t="s">
        <v>691</v>
      </c>
      <c r="B1232" s="49" t="s">
        <v>671</v>
      </c>
      <c r="C1232" s="50" t="s">
        <v>692</v>
      </c>
      <c r="D1232">
        <f t="shared" ca="1" si="76"/>
        <v>0</v>
      </c>
      <c r="E1232" t="str">
        <f ca="1">IF(D1232=0,"",COUNTIF($D$2:D1232,"&gt;0"))</f>
        <v/>
      </c>
      <c r="F1232" s="24" t="str">
        <f t="shared" ca="1" si="77"/>
        <v/>
      </c>
    </row>
    <row r="1233" spans="1:6" ht="16.8">
      <c r="A1233" s="62" t="s">
        <v>693</v>
      </c>
      <c r="B1233" s="49" t="s">
        <v>671</v>
      </c>
      <c r="C1233" s="50" t="s">
        <v>678</v>
      </c>
      <c r="D1233">
        <f t="shared" ca="1" si="76"/>
        <v>0</v>
      </c>
      <c r="E1233" t="str">
        <f ca="1">IF(D1233=0,"",COUNTIF($D$2:D1233,"&gt;0"))</f>
        <v/>
      </c>
      <c r="F1233" s="24" t="str">
        <f t="shared" ca="1" si="77"/>
        <v/>
      </c>
    </row>
    <row r="1234" spans="1:6" ht="16.8">
      <c r="A1234" s="62" t="s">
        <v>1632</v>
      </c>
      <c r="B1234" s="49"/>
      <c r="C1234" s="50"/>
      <c r="D1234">
        <f t="shared" ca="1" si="76"/>
        <v>0</v>
      </c>
      <c r="E1234" t="str">
        <f ca="1">IF(D1234=0,"",COUNTIF($D$2:D1234,"&gt;0"))</f>
        <v/>
      </c>
      <c r="F1234" s="24" t="str">
        <f t="shared" ca="1" si="77"/>
        <v/>
      </c>
    </row>
    <row r="1235" spans="1:6" ht="16.8">
      <c r="A1235" s="56" t="s">
        <v>1633</v>
      </c>
      <c r="B1235" s="49" t="s">
        <v>562</v>
      </c>
      <c r="C1235" s="50" t="s">
        <v>669</v>
      </c>
      <c r="D1235">
        <f t="shared" ca="1" si="76"/>
        <v>0</v>
      </c>
      <c r="E1235" t="str">
        <f ca="1">IF(D1235=0,"",COUNTIF($D$2:D1235,"&gt;0"))</f>
        <v/>
      </c>
      <c r="F1235" s="24" t="str">
        <f t="shared" ca="1" si="77"/>
        <v/>
      </c>
    </row>
    <row r="1236" spans="1:6" ht="19.2">
      <c r="A1236" s="56" t="s">
        <v>1634</v>
      </c>
      <c r="B1236" s="49" t="s">
        <v>694</v>
      </c>
      <c r="C1236" s="50" t="s">
        <v>678</v>
      </c>
      <c r="D1236">
        <f t="shared" ca="1" si="76"/>
        <v>0</v>
      </c>
      <c r="E1236" t="str">
        <f ca="1">IF(D1236=0,"",COUNTIF($D$2:D1236,"&gt;0"))</f>
        <v/>
      </c>
      <c r="F1236" s="24" t="str">
        <f t="shared" ca="1" si="77"/>
        <v/>
      </c>
    </row>
    <row r="1237" spans="1:6" ht="16.8">
      <c r="A1237" s="54" t="s">
        <v>695</v>
      </c>
      <c r="B1237" s="49" t="s">
        <v>562</v>
      </c>
      <c r="C1237" s="50" t="s">
        <v>640</v>
      </c>
      <c r="D1237">
        <f t="shared" ca="1" si="76"/>
        <v>0</v>
      </c>
      <c r="E1237" t="str">
        <f ca="1">IF(D1237=0,"",COUNTIF($D$2:D1237,"&gt;0"))</f>
        <v/>
      </c>
      <c r="F1237" s="24" t="str">
        <f t="shared" ca="1" si="77"/>
        <v/>
      </c>
    </row>
    <row r="1238" spans="1:6" ht="16.8">
      <c r="A1238" s="54" t="s">
        <v>696</v>
      </c>
      <c r="B1238" s="49" t="s">
        <v>562</v>
      </c>
      <c r="C1238" s="50" t="s">
        <v>678</v>
      </c>
      <c r="D1238">
        <f t="shared" ca="1" si="76"/>
        <v>0</v>
      </c>
      <c r="E1238" t="str">
        <f ca="1">IF(D1238=0,"",COUNTIF($D$2:D1238,"&gt;0"))</f>
        <v/>
      </c>
      <c r="F1238" s="24" t="str">
        <f t="shared" ca="1" si="77"/>
        <v/>
      </c>
    </row>
    <row r="1239" spans="1:6" ht="16.8">
      <c r="A1239" s="54" t="s">
        <v>697</v>
      </c>
      <c r="B1239" s="49" t="s">
        <v>562</v>
      </c>
      <c r="C1239" s="50" t="s">
        <v>677</v>
      </c>
      <c r="D1239">
        <f t="shared" ca="1" si="76"/>
        <v>0</v>
      </c>
      <c r="E1239" t="str">
        <f ca="1">IF(D1239=0,"",COUNTIF($D$2:D1239,"&gt;0"))</f>
        <v/>
      </c>
      <c r="F1239" s="24" t="str">
        <f t="shared" ca="1" si="77"/>
        <v/>
      </c>
    </row>
    <row r="1240" spans="1:6" ht="16.8">
      <c r="A1240" s="54" t="s">
        <v>698</v>
      </c>
      <c r="B1240" s="49" t="s">
        <v>562</v>
      </c>
      <c r="C1240" s="50" t="s">
        <v>590</v>
      </c>
      <c r="D1240">
        <f t="shared" ca="1" si="76"/>
        <v>0</v>
      </c>
      <c r="E1240" t="str">
        <f ca="1">IF(D1240=0,"",COUNTIF($D$2:D1240,"&gt;0"))</f>
        <v/>
      </c>
      <c r="F1240" s="24" t="str">
        <f t="shared" ca="1" si="77"/>
        <v/>
      </c>
    </row>
    <row r="1241" spans="1:6" ht="16.8">
      <c r="A1241" s="54" t="s">
        <v>699</v>
      </c>
      <c r="B1241" s="49" t="s">
        <v>562</v>
      </c>
      <c r="C1241" s="50" t="s">
        <v>572</v>
      </c>
      <c r="D1241">
        <f t="shared" ca="1" si="76"/>
        <v>0</v>
      </c>
      <c r="E1241" t="str">
        <f ca="1">IF(D1241=0,"",COUNTIF($D$2:D1241,"&gt;0"))</f>
        <v/>
      </c>
      <c r="F1241" s="24" t="str">
        <f t="shared" ca="1" si="77"/>
        <v/>
      </c>
    </row>
    <row r="1242" spans="1:6" ht="16.8">
      <c r="A1242" s="54" t="s">
        <v>700</v>
      </c>
      <c r="B1242" s="49" t="s">
        <v>562</v>
      </c>
      <c r="C1242" s="50" t="s">
        <v>590</v>
      </c>
      <c r="D1242">
        <f t="shared" ca="1" si="76"/>
        <v>0</v>
      </c>
      <c r="E1242" t="str">
        <f ca="1">IF(D1242=0,"",COUNTIF($D$2:D1242,"&gt;0"))</f>
        <v/>
      </c>
      <c r="F1242" s="24" t="str">
        <f t="shared" ca="1" si="77"/>
        <v/>
      </c>
    </row>
    <row r="1243" spans="1:6" ht="16.8">
      <c r="A1243" s="54" t="s">
        <v>701</v>
      </c>
      <c r="B1243" s="49" t="s">
        <v>562</v>
      </c>
      <c r="C1243" s="50" t="s">
        <v>572</v>
      </c>
      <c r="D1243">
        <f t="shared" ca="1" si="76"/>
        <v>0</v>
      </c>
      <c r="E1243" t="str">
        <f ca="1">IF(D1243=0,"",COUNTIF($D$2:D1243,"&gt;0"))</f>
        <v/>
      </c>
      <c r="F1243" s="24" t="str">
        <f t="shared" ca="1" si="77"/>
        <v/>
      </c>
    </row>
    <row r="1244" spans="1:6" ht="16.8">
      <c r="A1244" s="54" t="s">
        <v>702</v>
      </c>
      <c r="B1244" s="49" t="s">
        <v>562</v>
      </c>
      <c r="C1244" s="50" t="s">
        <v>590</v>
      </c>
      <c r="D1244">
        <f t="shared" ca="1" si="76"/>
        <v>0</v>
      </c>
      <c r="E1244" t="str">
        <f ca="1">IF(D1244=0,"",COUNTIF($D$2:D1244,"&gt;0"))</f>
        <v/>
      </c>
      <c r="F1244" s="24" t="str">
        <f t="shared" ca="1" si="77"/>
        <v/>
      </c>
    </row>
    <row r="1245" spans="1:6" ht="16.8">
      <c r="A1245" s="54" t="s">
        <v>703</v>
      </c>
      <c r="B1245" s="49" t="s">
        <v>562</v>
      </c>
      <c r="C1245" s="50" t="s">
        <v>677</v>
      </c>
      <c r="D1245">
        <f t="shared" ca="1" si="76"/>
        <v>0</v>
      </c>
      <c r="E1245" t="str">
        <f ca="1">IF(D1245=0,"",COUNTIF($D$2:D1245,"&gt;0"))</f>
        <v/>
      </c>
      <c r="F1245" s="24" t="str">
        <f t="shared" ca="1" si="77"/>
        <v/>
      </c>
    </row>
    <row r="1246" spans="1:6" ht="16.8">
      <c r="A1246" s="54" t="s">
        <v>704</v>
      </c>
      <c r="B1246" s="49" t="s">
        <v>562</v>
      </c>
      <c r="C1246" s="50" t="s">
        <v>669</v>
      </c>
      <c r="D1246">
        <f t="shared" ca="1" si="76"/>
        <v>0</v>
      </c>
      <c r="E1246" t="str">
        <f ca="1">IF(D1246=0,"",COUNTIF($D$2:D1246,"&gt;0"))</f>
        <v/>
      </c>
      <c r="F1246" s="24" t="str">
        <f t="shared" ca="1" si="77"/>
        <v/>
      </c>
    </row>
    <row r="1247" spans="1:6" ht="16.8">
      <c r="A1247" s="62" t="s">
        <v>1635</v>
      </c>
      <c r="B1247" s="49"/>
      <c r="C1247" s="50"/>
      <c r="D1247">
        <f t="shared" ca="1" si="76"/>
        <v>0</v>
      </c>
      <c r="E1247" t="str">
        <f ca="1">IF(D1247=0,"",COUNTIF($D$2:D1247,"&gt;0"))</f>
        <v/>
      </c>
      <c r="F1247" s="24" t="str">
        <f t="shared" ca="1" si="77"/>
        <v/>
      </c>
    </row>
    <row r="1248" spans="1:6" ht="16.8">
      <c r="A1248" s="56" t="s">
        <v>1636</v>
      </c>
      <c r="B1248" s="49" t="s">
        <v>562</v>
      </c>
      <c r="C1248" s="50" t="s">
        <v>678</v>
      </c>
      <c r="D1248">
        <f t="shared" ca="1" si="76"/>
        <v>0</v>
      </c>
      <c r="E1248" t="str">
        <f ca="1">IF(D1248=0,"",COUNTIF($D$2:D1248,"&gt;0"))</f>
        <v/>
      </c>
      <c r="F1248" s="24" t="str">
        <f t="shared" ca="1" si="77"/>
        <v/>
      </c>
    </row>
    <row r="1249" spans="1:6" ht="16.8">
      <c r="A1249" s="56" t="s">
        <v>1637</v>
      </c>
      <c r="B1249" s="49" t="s">
        <v>562</v>
      </c>
      <c r="C1249" s="50" t="s">
        <v>572</v>
      </c>
      <c r="D1249">
        <f t="shared" ca="1" si="76"/>
        <v>0</v>
      </c>
      <c r="E1249" t="str">
        <f ca="1">IF(D1249=0,"",COUNTIF($D$2:D1249,"&gt;0"))</f>
        <v/>
      </c>
      <c r="F1249" s="24" t="str">
        <f t="shared" ca="1" si="77"/>
        <v/>
      </c>
    </row>
    <row r="1250" spans="1:6" ht="16.8">
      <c r="A1250" s="62" t="s">
        <v>1638</v>
      </c>
      <c r="B1250" s="49"/>
      <c r="C1250" s="50"/>
      <c r="D1250">
        <f t="shared" ca="1" si="76"/>
        <v>0</v>
      </c>
      <c r="E1250" t="str">
        <f ca="1">IF(D1250=0,"",COUNTIF($D$2:D1250,"&gt;0"))</f>
        <v/>
      </c>
      <c r="F1250" s="24" t="str">
        <f t="shared" ca="1" si="77"/>
        <v/>
      </c>
    </row>
    <row r="1251" spans="1:6" ht="16.8">
      <c r="A1251" s="56" t="s">
        <v>1639</v>
      </c>
      <c r="B1251" s="49" t="s">
        <v>562</v>
      </c>
      <c r="C1251" s="50" t="s">
        <v>625</v>
      </c>
      <c r="D1251">
        <f t="shared" ca="1" si="76"/>
        <v>0</v>
      </c>
      <c r="E1251" t="str">
        <f ca="1">IF(D1251=0,"",COUNTIF($D$2:D1251,"&gt;0"))</f>
        <v/>
      </c>
      <c r="F1251" s="24" t="str">
        <f t="shared" ca="1" si="77"/>
        <v/>
      </c>
    </row>
    <row r="1252" spans="1:6" ht="16.8">
      <c r="A1252" s="56" t="s">
        <v>1640</v>
      </c>
      <c r="B1252" s="49" t="s">
        <v>562</v>
      </c>
      <c r="C1252" s="50" t="s">
        <v>640</v>
      </c>
      <c r="D1252">
        <f t="shared" ca="1" si="76"/>
        <v>0</v>
      </c>
      <c r="E1252" t="str">
        <f ca="1">IF(D1252=0,"",COUNTIF($D$2:D1252,"&gt;0"))</f>
        <v/>
      </c>
      <c r="F1252" s="24" t="str">
        <f t="shared" ca="1" si="77"/>
        <v/>
      </c>
    </row>
    <row r="1253" spans="1:6" ht="16.8">
      <c r="A1253" s="62" t="s">
        <v>1641</v>
      </c>
      <c r="B1253" s="49"/>
      <c r="C1253" s="50"/>
      <c r="D1253">
        <f t="shared" ca="1" si="76"/>
        <v>0</v>
      </c>
      <c r="E1253" t="str">
        <f ca="1">IF(D1253=0,"",COUNTIF($D$2:D1253,"&gt;0"))</f>
        <v/>
      </c>
      <c r="F1253" s="24" t="str">
        <f t="shared" ca="1" si="77"/>
        <v/>
      </c>
    </row>
    <row r="1254" spans="1:6" ht="16.8">
      <c r="A1254" s="56" t="s">
        <v>1642</v>
      </c>
      <c r="B1254" s="49" t="s">
        <v>671</v>
      </c>
      <c r="C1254" s="50" t="s">
        <v>692</v>
      </c>
      <c r="D1254">
        <f t="shared" ca="1" si="76"/>
        <v>0</v>
      </c>
      <c r="E1254" t="str">
        <f ca="1">IF(D1254=0,"",COUNTIF($D$2:D1254,"&gt;0"))</f>
        <v/>
      </c>
      <c r="F1254" s="24" t="str">
        <f t="shared" ca="1" si="77"/>
        <v/>
      </c>
    </row>
    <row r="1255" spans="1:6" ht="16.8">
      <c r="A1255" s="56" t="s">
        <v>1643</v>
      </c>
      <c r="B1255" s="49" t="s">
        <v>671</v>
      </c>
      <c r="C1255" s="50" t="s">
        <v>626</v>
      </c>
      <c r="D1255">
        <f t="shared" ca="1" si="76"/>
        <v>0</v>
      </c>
      <c r="E1255" t="str">
        <f ca="1">IF(D1255=0,"",COUNTIF($D$2:D1255,"&gt;0"))</f>
        <v/>
      </c>
      <c r="F1255" s="24" t="str">
        <f t="shared" ca="1" si="77"/>
        <v/>
      </c>
    </row>
    <row r="1256" spans="1:6" ht="16.8">
      <c r="A1256" s="62" t="s">
        <v>1644</v>
      </c>
      <c r="B1256" s="49"/>
      <c r="C1256" s="50"/>
      <c r="D1256">
        <f t="shared" ca="1" si="76"/>
        <v>0</v>
      </c>
      <c r="E1256" t="str">
        <f ca="1">IF(D1256=0,"",COUNTIF($D$2:D1256,"&gt;0"))</f>
        <v/>
      </c>
      <c r="F1256" s="24" t="str">
        <f t="shared" ca="1" si="77"/>
        <v/>
      </c>
    </row>
    <row r="1257" spans="1:6" ht="19.2">
      <c r="A1257" s="63" t="s">
        <v>1645</v>
      </c>
      <c r="B1257" s="49" t="s">
        <v>705</v>
      </c>
      <c r="C1257" s="50" t="s">
        <v>678</v>
      </c>
      <c r="D1257">
        <f t="shared" ca="1" si="76"/>
        <v>0</v>
      </c>
      <c r="E1257" t="str">
        <f ca="1">IF(D1257=0,"",COUNTIF($D$2:D1257,"&gt;0"))</f>
        <v/>
      </c>
      <c r="F1257" s="24" t="str">
        <f t="shared" ca="1" si="77"/>
        <v/>
      </c>
    </row>
    <row r="1258" spans="1:6" ht="19.2">
      <c r="A1258" s="56" t="s">
        <v>1646</v>
      </c>
      <c r="B1258" s="49" t="s">
        <v>694</v>
      </c>
      <c r="C1258" s="50" t="s">
        <v>572</v>
      </c>
      <c r="D1258">
        <f t="shared" ca="1" si="76"/>
        <v>0</v>
      </c>
      <c r="E1258" t="str">
        <f ca="1">IF(D1258=0,"",COUNTIF($D$2:D1258,"&gt;0"))</f>
        <v/>
      </c>
      <c r="F1258" s="24" t="str">
        <f t="shared" ca="1" si="77"/>
        <v/>
      </c>
    </row>
    <row r="1259" spans="1:6" ht="16.8">
      <c r="A1259" s="62" t="s">
        <v>1647</v>
      </c>
      <c r="B1259" s="49"/>
      <c r="C1259" s="50"/>
      <c r="D1259">
        <f t="shared" ca="1" si="76"/>
        <v>0</v>
      </c>
      <c r="E1259" t="str">
        <f ca="1">IF(D1259=0,"",COUNTIF($D$2:D1259,"&gt;0"))</f>
        <v/>
      </c>
      <c r="F1259" s="24" t="str">
        <f t="shared" ca="1" si="77"/>
        <v/>
      </c>
    </row>
    <row r="1260" spans="1:6" ht="16.8">
      <c r="A1260" s="56" t="s">
        <v>1648</v>
      </c>
      <c r="B1260" s="49" t="s">
        <v>562</v>
      </c>
      <c r="C1260" s="50" t="s">
        <v>625</v>
      </c>
      <c r="D1260">
        <f t="shared" ca="1" si="76"/>
        <v>0</v>
      </c>
      <c r="E1260" t="str">
        <f ca="1">IF(D1260=0,"",COUNTIF($D$2:D1260,"&gt;0"))</f>
        <v/>
      </c>
      <c r="F1260" s="24" t="str">
        <f t="shared" ca="1" si="77"/>
        <v/>
      </c>
    </row>
    <row r="1261" spans="1:6" ht="16.8">
      <c r="A1261" s="56" t="s">
        <v>1649</v>
      </c>
      <c r="B1261" s="49" t="s">
        <v>562</v>
      </c>
      <c r="C1261" s="50" t="s">
        <v>692</v>
      </c>
      <c r="D1261">
        <f t="shared" ca="1" si="76"/>
        <v>0</v>
      </c>
      <c r="E1261" t="str">
        <f ca="1">IF(D1261=0,"",COUNTIF($D$2:D1261,"&gt;0"))</f>
        <v/>
      </c>
      <c r="F1261" s="24" t="str">
        <f t="shared" ca="1" si="77"/>
        <v/>
      </c>
    </row>
    <row r="1262" spans="1:6" ht="16.8">
      <c r="A1262" s="62" t="s">
        <v>1650</v>
      </c>
      <c r="B1262" s="49"/>
      <c r="C1262" s="50"/>
      <c r="D1262">
        <f t="shared" ca="1" si="76"/>
        <v>0</v>
      </c>
      <c r="E1262" t="str">
        <f ca="1">IF(D1262=0,"",COUNTIF($D$2:D1262,"&gt;0"))</f>
        <v/>
      </c>
      <c r="F1262" s="24" t="str">
        <f t="shared" ca="1" si="77"/>
        <v/>
      </c>
    </row>
    <row r="1263" spans="1:6" ht="16.8">
      <c r="A1263" s="56" t="s">
        <v>1651</v>
      </c>
      <c r="B1263" s="49" t="s">
        <v>562</v>
      </c>
      <c r="C1263" s="50" t="s">
        <v>640</v>
      </c>
      <c r="D1263">
        <f t="shared" ca="1" si="76"/>
        <v>0</v>
      </c>
      <c r="E1263" t="str">
        <f ca="1">IF(D1263=0,"",COUNTIF($D$2:D1263,"&gt;0"))</f>
        <v/>
      </c>
      <c r="F1263" s="24" t="str">
        <f t="shared" ca="1" si="77"/>
        <v/>
      </c>
    </row>
    <row r="1264" spans="1:6" ht="16.8">
      <c r="A1264" s="56" t="s">
        <v>1652</v>
      </c>
      <c r="B1264" s="49" t="s">
        <v>562</v>
      </c>
      <c r="C1264" s="50" t="s">
        <v>692</v>
      </c>
      <c r="D1264">
        <f t="shared" ca="1" si="76"/>
        <v>0</v>
      </c>
      <c r="E1264" t="str">
        <f ca="1">IF(D1264=0,"",COUNTIF($D$2:D1264,"&gt;0"))</f>
        <v/>
      </c>
      <c r="F1264" s="24" t="str">
        <f t="shared" ca="1" si="77"/>
        <v/>
      </c>
    </row>
    <row r="1265" spans="1:6" ht="16.8">
      <c r="A1265" s="62" t="s">
        <v>1653</v>
      </c>
      <c r="B1265" s="49"/>
      <c r="C1265" s="50" t="s">
        <v>706</v>
      </c>
      <c r="D1265">
        <f t="shared" ca="1" si="76"/>
        <v>0</v>
      </c>
      <c r="E1265" t="str">
        <f ca="1">IF(D1265=0,"",COUNTIF($D$2:D1265,"&gt;0"))</f>
        <v/>
      </c>
      <c r="F1265" s="24" t="str">
        <f t="shared" ca="1" si="77"/>
        <v/>
      </c>
    </row>
    <row r="1266" spans="1:6" ht="16.8">
      <c r="A1266" s="56" t="s">
        <v>1654</v>
      </c>
      <c r="B1266" s="49" t="s">
        <v>562</v>
      </c>
      <c r="C1266" s="50" t="s">
        <v>678</v>
      </c>
      <c r="D1266">
        <f t="shared" ca="1" si="76"/>
        <v>0</v>
      </c>
      <c r="E1266" t="str">
        <f ca="1">IF(D1266=0,"",COUNTIF($D$2:D1266,"&gt;0"))</f>
        <v/>
      </c>
      <c r="F1266" s="24" t="str">
        <f t="shared" ca="1" si="77"/>
        <v/>
      </c>
    </row>
    <row r="1267" spans="1:6" ht="19.2">
      <c r="A1267" s="56" t="s">
        <v>1655</v>
      </c>
      <c r="B1267" s="49" t="s">
        <v>694</v>
      </c>
      <c r="C1267" s="50" t="s">
        <v>563</v>
      </c>
      <c r="D1267">
        <f t="shared" ca="1" si="76"/>
        <v>0</v>
      </c>
      <c r="E1267" t="str">
        <f ca="1">IF(D1267=0,"",COUNTIF($D$2:D1267,"&gt;0"))</f>
        <v/>
      </c>
      <c r="F1267" s="24" t="str">
        <f t="shared" ca="1" si="77"/>
        <v/>
      </c>
    </row>
    <row r="1268" spans="1:6" ht="16.8">
      <c r="A1268" s="62" t="s">
        <v>1656</v>
      </c>
      <c r="B1268" s="49"/>
      <c r="C1268" s="50"/>
      <c r="D1268">
        <f t="shared" ca="1" si="76"/>
        <v>0</v>
      </c>
      <c r="E1268" t="str">
        <f ca="1">IF(D1268=0,"",COUNTIF($D$2:D1268,"&gt;0"))</f>
        <v/>
      </c>
      <c r="F1268" s="24" t="str">
        <f t="shared" ca="1" si="77"/>
        <v/>
      </c>
    </row>
    <row r="1269" spans="1:6" ht="16.8">
      <c r="A1269" s="63" t="s">
        <v>1657</v>
      </c>
      <c r="B1269" s="49" t="s">
        <v>671</v>
      </c>
      <c r="C1269" s="50" t="s">
        <v>584</v>
      </c>
      <c r="D1269">
        <f t="shared" ca="1" si="76"/>
        <v>0</v>
      </c>
      <c r="E1269" t="str">
        <f ca="1">IF(D1269=0,"",COUNTIF($D$2:D1269,"&gt;0"))</f>
        <v/>
      </c>
      <c r="F1269" s="24" t="str">
        <f t="shared" ca="1" si="77"/>
        <v/>
      </c>
    </row>
    <row r="1270" spans="1:6" ht="16.8">
      <c r="A1270" s="56" t="s">
        <v>1658</v>
      </c>
      <c r="B1270" s="49" t="s">
        <v>671</v>
      </c>
      <c r="C1270" s="50" t="s">
        <v>632</v>
      </c>
      <c r="D1270">
        <f t="shared" ca="1" si="76"/>
        <v>0</v>
      </c>
      <c r="E1270" t="str">
        <f ca="1">IF(D1270=0,"",COUNTIF($D$2:D1270,"&gt;0"))</f>
        <v/>
      </c>
      <c r="F1270" s="24" t="str">
        <f t="shared" ca="1" si="77"/>
        <v/>
      </c>
    </row>
    <row r="1271" spans="1:6" ht="33.6">
      <c r="A1271" s="68" t="s">
        <v>1659</v>
      </c>
      <c r="B1271" s="49"/>
      <c r="C1271" s="50"/>
      <c r="D1271">
        <f t="shared" ca="1" si="76"/>
        <v>0</v>
      </c>
      <c r="E1271" t="str">
        <f ca="1">IF(D1271=0,"",COUNTIF($D$2:D1271,"&gt;0"))</f>
        <v/>
      </c>
      <c r="F1271" s="24" t="str">
        <f t="shared" ca="1" si="77"/>
        <v/>
      </c>
    </row>
    <row r="1272" spans="1:6" ht="50.4">
      <c r="A1272" s="58" t="s">
        <v>1660</v>
      </c>
      <c r="B1272" s="49" t="s">
        <v>694</v>
      </c>
      <c r="C1272" s="50" t="s">
        <v>590</v>
      </c>
      <c r="D1272">
        <f t="shared" ca="1" si="76"/>
        <v>0</v>
      </c>
      <c r="E1272" t="str">
        <f ca="1">IF(D1272=0,"",COUNTIF($D$2:D1272,"&gt;0"))</f>
        <v/>
      </c>
      <c r="F1272" s="24" t="str">
        <f t="shared" ca="1" si="77"/>
        <v/>
      </c>
    </row>
    <row r="1273" spans="1:6" ht="50.4">
      <c r="A1273" s="58" t="s">
        <v>1661</v>
      </c>
      <c r="B1273" s="49" t="s">
        <v>705</v>
      </c>
      <c r="C1273" s="50" t="s">
        <v>591</v>
      </c>
      <c r="D1273">
        <f t="shared" ca="1" si="76"/>
        <v>0</v>
      </c>
      <c r="E1273" t="str">
        <f ca="1">IF(D1273=0,"",COUNTIF($D$2:D1273,"&gt;0"))</f>
        <v/>
      </c>
      <c r="F1273" s="24" t="str">
        <f t="shared" ca="1" si="77"/>
        <v/>
      </c>
    </row>
    <row r="1274" spans="1:6" ht="16.8">
      <c r="A1274" s="54" t="s">
        <v>707</v>
      </c>
      <c r="B1274" s="49" t="s">
        <v>671</v>
      </c>
      <c r="C1274" s="50" t="s">
        <v>626</v>
      </c>
      <c r="D1274">
        <f t="shared" ca="1" si="76"/>
        <v>0</v>
      </c>
      <c r="E1274" t="str">
        <f ca="1">IF(D1274=0,"",COUNTIF($D$2:D1274,"&gt;0"))</f>
        <v/>
      </c>
      <c r="F1274" s="24" t="str">
        <f t="shared" ca="1" si="77"/>
        <v/>
      </c>
    </row>
    <row r="1275" spans="1:6" ht="16.8">
      <c r="A1275" s="62" t="s">
        <v>1662</v>
      </c>
      <c r="B1275" s="49"/>
      <c r="C1275" s="50"/>
      <c r="D1275">
        <f t="shared" ca="1" si="76"/>
        <v>0</v>
      </c>
      <c r="E1275" t="str">
        <f ca="1">IF(D1275=0,"",COUNTIF($D$2:D1275,"&gt;0"))</f>
        <v/>
      </c>
      <c r="F1275" s="24" t="str">
        <f t="shared" ca="1" si="77"/>
        <v/>
      </c>
    </row>
    <row r="1276" spans="1:6" ht="16.8">
      <c r="A1276" s="48" t="s">
        <v>1663</v>
      </c>
      <c r="B1276" s="49" t="s">
        <v>708</v>
      </c>
      <c r="C1276" s="50" t="s">
        <v>625</v>
      </c>
      <c r="D1276">
        <f t="shared" ca="1" si="76"/>
        <v>0</v>
      </c>
      <c r="E1276" t="str">
        <f ca="1">IF(D1276=0,"",COUNTIF($D$2:D1276,"&gt;0"))</f>
        <v/>
      </c>
      <c r="F1276" s="24" t="str">
        <f t="shared" ca="1" si="77"/>
        <v/>
      </c>
    </row>
    <row r="1277" spans="1:6" ht="19.2">
      <c r="A1277" s="56" t="s">
        <v>1664</v>
      </c>
      <c r="B1277" s="49" t="s">
        <v>694</v>
      </c>
      <c r="C1277" s="50" t="s">
        <v>590</v>
      </c>
      <c r="D1277">
        <f t="shared" ca="1" si="76"/>
        <v>0</v>
      </c>
      <c r="E1277" t="str">
        <f ca="1">IF(D1277=0,"",COUNTIF($D$2:D1277,"&gt;0"))</f>
        <v/>
      </c>
      <c r="F1277" s="24" t="str">
        <f t="shared" ca="1" si="77"/>
        <v/>
      </c>
    </row>
    <row r="1278" spans="1:6" ht="16.8">
      <c r="A1278" s="62" t="s">
        <v>1665</v>
      </c>
      <c r="B1278" s="49"/>
      <c r="C1278" s="50"/>
      <c r="D1278">
        <f t="shared" ca="1" si="76"/>
        <v>0</v>
      </c>
      <c r="E1278" t="str">
        <f ca="1">IF(D1278=0,"",COUNTIF($D$2:D1278,"&gt;0"))</f>
        <v/>
      </c>
      <c r="F1278" s="24" t="str">
        <f t="shared" ca="1" si="77"/>
        <v/>
      </c>
    </row>
    <row r="1279" spans="1:6" ht="16.8">
      <c r="A1279" s="63" t="s">
        <v>1666</v>
      </c>
      <c r="B1279" s="49" t="s">
        <v>562</v>
      </c>
      <c r="C1279" s="50" t="s">
        <v>625</v>
      </c>
      <c r="D1279">
        <f t="shared" ca="1" si="76"/>
        <v>0</v>
      </c>
      <c r="E1279" t="str">
        <f ca="1">IF(D1279=0,"",COUNTIF($D$2:D1279,"&gt;0"))</f>
        <v/>
      </c>
      <c r="F1279" s="24" t="str">
        <f t="shared" ca="1" si="77"/>
        <v/>
      </c>
    </row>
    <row r="1280" spans="1:6" ht="19.2">
      <c r="A1280" s="56" t="s">
        <v>1951</v>
      </c>
      <c r="B1280" s="49" t="s">
        <v>705</v>
      </c>
      <c r="C1280" s="50" t="s">
        <v>590</v>
      </c>
      <c r="D1280">
        <f t="shared" ca="1" si="76"/>
        <v>0</v>
      </c>
      <c r="E1280" t="str">
        <f ca="1">IF(D1280=0,"",COUNTIF($D$2:D1280,"&gt;0"))</f>
        <v/>
      </c>
      <c r="F1280" s="24" t="str">
        <f t="shared" ca="1" si="77"/>
        <v/>
      </c>
    </row>
    <row r="1281" spans="1:6" ht="19.2">
      <c r="A1281" s="54" t="s">
        <v>709</v>
      </c>
      <c r="B1281" s="49" t="s">
        <v>694</v>
      </c>
      <c r="C1281" s="50" t="s">
        <v>669</v>
      </c>
      <c r="D1281">
        <f t="shared" ca="1" si="76"/>
        <v>0</v>
      </c>
      <c r="E1281" t="str">
        <f ca="1">IF(D1281=0,"",COUNTIF($D$2:D1281,"&gt;0"))</f>
        <v/>
      </c>
      <c r="F1281" s="24" t="str">
        <f t="shared" ca="1" si="77"/>
        <v/>
      </c>
    </row>
    <row r="1282" spans="1:6" ht="19.2">
      <c r="A1282" s="54" t="s">
        <v>710</v>
      </c>
      <c r="B1282" s="49" t="s">
        <v>694</v>
      </c>
      <c r="C1282" s="50" t="s">
        <v>711</v>
      </c>
      <c r="D1282">
        <f t="shared" ca="1" si="76"/>
        <v>0</v>
      </c>
      <c r="E1282" t="str">
        <f ca="1">IF(D1282=0,"",COUNTIF($D$2:D1282,"&gt;0"))</f>
        <v/>
      </c>
      <c r="F1282" s="24" t="str">
        <f t="shared" ca="1" si="77"/>
        <v/>
      </c>
    </row>
    <row r="1283" spans="1:6" ht="19.2">
      <c r="A1283" s="54" t="s">
        <v>712</v>
      </c>
      <c r="B1283" s="49" t="s">
        <v>694</v>
      </c>
      <c r="C1283" s="50" t="s">
        <v>590</v>
      </c>
      <c r="D1283">
        <f t="shared" ca="1" si="76"/>
        <v>0</v>
      </c>
      <c r="E1283" t="str">
        <f ca="1">IF(D1283=0,"",COUNTIF($D$2:D1283,"&gt;0"))</f>
        <v/>
      </c>
      <c r="F1283" s="24" t="str">
        <f t="shared" ca="1" si="77"/>
        <v/>
      </c>
    </row>
    <row r="1284" spans="1:6" ht="19.2">
      <c r="A1284" s="54" t="s">
        <v>713</v>
      </c>
      <c r="B1284" s="49" t="s">
        <v>694</v>
      </c>
      <c r="C1284" s="50" t="s">
        <v>685</v>
      </c>
      <c r="D1284">
        <f t="shared" ca="1" si="76"/>
        <v>0</v>
      </c>
      <c r="E1284" t="str">
        <f ca="1">IF(D1284=0,"",COUNTIF($D$2:D1284,"&gt;0"))</f>
        <v/>
      </c>
      <c r="F1284" s="24" t="str">
        <f t="shared" ca="1" si="77"/>
        <v/>
      </c>
    </row>
    <row r="1285" spans="1:6" ht="16.8">
      <c r="A1285" s="70" t="s">
        <v>1667</v>
      </c>
      <c r="B1285" s="49"/>
      <c r="C1285" s="50"/>
      <c r="D1285">
        <f t="shared" ca="1" si="76"/>
        <v>0</v>
      </c>
      <c r="E1285" t="str">
        <f ca="1">IF(D1285=0,"",COUNTIF($D$2:D1285,"&gt;0"))</f>
        <v/>
      </c>
      <c r="F1285" s="24" t="str">
        <f t="shared" ca="1" si="77"/>
        <v/>
      </c>
    </row>
    <row r="1286" spans="1:6" ht="16.8">
      <c r="A1286" s="56" t="s">
        <v>1668</v>
      </c>
      <c r="B1286" s="49" t="s">
        <v>562</v>
      </c>
      <c r="C1286" s="50" t="s">
        <v>614</v>
      </c>
      <c r="D1286">
        <f t="shared" ref="D1286:D1348" ca="1" si="78">IFERROR(SEARCH(INDIRECT(CELL("address")),A1286),0)</f>
        <v>0</v>
      </c>
      <c r="E1286" t="str">
        <f ca="1">IF(D1286=0,"",COUNTIF($D$2:D1286,"&gt;0"))</f>
        <v/>
      </c>
      <c r="F1286" s="24" t="str">
        <f t="shared" ca="1" si="77"/>
        <v/>
      </c>
    </row>
    <row r="1287" spans="1:6" ht="19.2">
      <c r="A1287" s="56" t="s">
        <v>1669</v>
      </c>
      <c r="B1287" s="49" t="s">
        <v>694</v>
      </c>
      <c r="C1287" s="50" t="s">
        <v>678</v>
      </c>
      <c r="D1287">
        <f t="shared" ca="1" si="78"/>
        <v>0</v>
      </c>
      <c r="E1287" t="str">
        <f ca="1">IF(D1287=0,"",COUNTIF($D$2:D1287,"&gt;0"))</f>
        <v/>
      </c>
      <c r="F1287" s="24" t="str">
        <f t="shared" ca="1" si="77"/>
        <v/>
      </c>
    </row>
    <row r="1288" spans="1:6" ht="19.2">
      <c r="A1288" s="62" t="s">
        <v>1671</v>
      </c>
      <c r="B1288" s="49" t="s">
        <v>694</v>
      </c>
      <c r="C1288" s="50" t="s">
        <v>678</v>
      </c>
      <c r="D1288">
        <f t="shared" ca="1" si="78"/>
        <v>0</v>
      </c>
      <c r="E1288" t="str">
        <f ca="1">IF(D1288=0,"",COUNTIF($D$2:D1288,"&gt;0"))</f>
        <v/>
      </c>
      <c r="F1288" s="24" t="str">
        <f t="shared" ca="1" si="77"/>
        <v/>
      </c>
    </row>
    <row r="1289" spans="1:6" ht="16.8">
      <c r="A1289" s="62" t="s">
        <v>1670</v>
      </c>
      <c r="B1289" s="49"/>
      <c r="C1289" s="50"/>
      <c r="D1289">
        <f t="shared" ca="1" si="78"/>
        <v>0</v>
      </c>
      <c r="E1289" t="str">
        <f ca="1">IF(D1289=0,"",COUNTIF($D$2:D1289,"&gt;0"))</f>
        <v/>
      </c>
      <c r="F1289" s="24" t="str">
        <f t="shared" ca="1" si="77"/>
        <v/>
      </c>
    </row>
    <row r="1290" spans="1:6" ht="16.8">
      <c r="A1290" s="56" t="s">
        <v>1672</v>
      </c>
      <c r="B1290" s="49" t="s">
        <v>562</v>
      </c>
      <c r="C1290" s="50" t="s">
        <v>625</v>
      </c>
      <c r="D1290">
        <f t="shared" ca="1" si="78"/>
        <v>0</v>
      </c>
      <c r="E1290" t="str">
        <f ca="1">IF(D1290=0,"",COUNTIF($D$2:D1290,"&gt;0"))</f>
        <v/>
      </c>
      <c r="F1290" s="24" t="str">
        <f t="shared" ca="1" si="77"/>
        <v/>
      </c>
    </row>
    <row r="1291" spans="1:6" ht="16.8">
      <c r="A1291" s="56" t="s">
        <v>1673</v>
      </c>
      <c r="B1291" s="49" t="s">
        <v>562</v>
      </c>
      <c r="C1291" s="50" t="s">
        <v>678</v>
      </c>
      <c r="D1291">
        <f t="shared" ca="1" si="78"/>
        <v>0</v>
      </c>
      <c r="E1291" t="str">
        <f ca="1">IF(D1291=0,"",COUNTIF($D$2:D1291,"&gt;0"))</f>
        <v/>
      </c>
      <c r="F1291" s="24" t="str">
        <f t="shared" ref="F1291:F1322" ca="1" si="79">IFERROR(INDEX(A:A,MATCH(ROW(D1290),E:E,0)),"")</f>
        <v/>
      </c>
    </row>
    <row r="1292" spans="1:6" ht="19.2">
      <c r="A1292" s="54" t="s">
        <v>714</v>
      </c>
      <c r="B1292" s="49" t="s">
        <v>694</v>
      </c>
      <c r="C1292" s="50" t="s">
        <v>715</v>
      </c>
      <c r="D1292">
        <f t="shared" ca="1" si="78"/>
        <v>0</v>
      </c>
      <c r="E1292" t="str">
        <f ca="1">IF(D1292=0,"",COUNTIF($D$2:D1292,"&gt;0"))</f>
        <v/>
      </c>
      <c r="F1292" s="24" t="str">
        <f t="shared" ca="1" si="79"/>
        <v/>
      </c>
    </row>
    <row r="1293" spans="1:6" ht="19.2">
      <c r="A1293" s="54" t="s">
        <v>716</v>
      </c>
      <c r="B1293" s="49" t="s">
        <v>694</v>
      </c>
      <c r="C1293" s="50" t="s">
        <v>563</v>
      </c>
      <c r="D1293">
        <f t="shared" ca="1" si="78"/>
        <v>0</v>
      </c>
      <c r="E1293" t="str">
        <f ca="1">IF(D1293=0,"",COUNTIF($D$2:D1293,"&gt;0"))</f>
        <v/>
      </c>
      <c r="F1293" s="24" t="str">
        <f t="shared" ca="1" si="79"/>
        <v/>
      </c>
    </row>
    <row r="1294" spans="1:6" ht="33.6">
      <c r="A1294" s="61" t="s">
        <v>717</v>
      </c>
      <c r="B1294" s="49" t="s">
        <v>694</v>
      </c>
      <c r="C1294" s="50" t="s">
        <v>669</v>
      </c>
      <c r="D1294">
        <f t="shared" ca="1" si="78"/>
        <v>0</v>
      </c>
      <c r="E1294" t="str">
        <f ca="1">IF(D1294=0,"",COUNTIF($D$2:D1294,"&gt;0"))</f>
        <v/>
      </c>
      <c r="F1294" s="24" t="str">
        <f t="shared" ca="1" si="79"/>
        <v/>
      </c>
    </row>
    <row r="1295" spans="1:6" ht="84">
      <c r="A1295" s="68" t="s">
        <v>718</v>
      </c>
      <c r="B1295" s="49" t="s">
        <v>694</v>
      </c>
      <c r="C1295" s="50" t="s">
        <v>669</v>
      </c>
      <c r="D1295">
        <f t="shared" ca="1" si="78"/>
        <v>0</v>
      </c>
      <c r="E1295" t="str">
        <f ca="1">IF(D1295=0,"",COUNTIF($D$2:D1295,"&gt;0"))</f>
        <v/>
      </c>
      <c r="F1295" s="24" t="str">
        <f t="shared" ca="1" si="79"/>
        <v/>
      </c>
    </row>
    <row r="1296" spans="1:6" ht="16.8">
      <c r="A1296" s="48" t="s">
        <v>719</v>
      </c>
      <c r="B1296" s="49"/>
      <c r="C1296" s="50"/>
      <c r="D1296">
        <f t="shared" ca="1" si="78"/>
        <v>0</v>
      </c>
      <c r="E1296" t="str">
        <f ca="1">IF(D1296=0,"",COUNTIF($D$2:D1296,"&gt;0"))</f>
        <v/>
      </c>
      <c r="F1296" s="24" t="str">
        <f t="shared" ca="1" si="79"/>
        <v/>
      </c>
    </row>
    <row r="1297" spans="1:6" ht="16.8">
      <c r="A1297" s="62" t="s">
        <v>1674</v>
      </c>
      <c r="B1297" s="49"/>
      <c r="C1297" s="50"/>
      <c r="D1297">
        <f t="shared" ca="1" si="78"/>
        <v>0</v>
      </c>
      <c r="E1297" t="str">
        <f ca="1">IF(D1297=0,"",COUNTIF($D$2:D1297,"&gt;0"))</f>
        <v/>
      </c>
      <c r="F1297" s="24" t="str">
        <f t="shared" ca="1" si="79"/>
        <v/>
      </c>
    </row>
    <row r="1298" spans="1:6" ht="16.8">
      <c r="A1298" s="56" t="s">
        <v>1675</v>
      </c>
      <c r="B1298" s="49" t="s">
        <v>562</v>
      </c>
      <c r="C1298" s="50" t="s">
        <v>720</v>
      </c>
      <c r="D1298">
        <f t="shared" ca="1" si="78"/>
        <v>0</v>
      </c>
      <c r="E1298" t="str">
        <f ca="1">IF(D1298=0,"",COUNTIF($D$2:D1298,"&gt;0"))</f>
        <v/>
      </c>
      <c r="F1298" s="24" t="str">
        <f t="shared" ca="1" si="79"/>
        <v/>
      </c>
    </row>
    <row r="1299" spans="1:6" ht="16.8">
      <c r="A1299" s="56" t="s">
        <v>1676</v>
      </c>
      <c r="B1299" s="49" t="s">
        <v>562</v>
      </c>
      <c r="C1299" s="50" t="s">
        <v>614</v>
      </c>
      <c r="D1299">
        <f t="shared" ca="1" si="78"/>
        <v>0</v>
      </c>
      <c r="E1299" t="str">
        <f ca="1">IF(D1299=0,"",COUNTIF($D$2:D1299,"&gt;0"))</f>
        <v/>
      </c>
      <c r="F1299" s="24" t="str">
        <f t="shared" ca="1" si="79"/>
        <v/>
      </c>
    </row>
    <row r="1300" spans="1:6" ht="16.8">
      <c r="A1300" s="59" t="s">
        <v>1677</v>
      </c>
      <c r="B1300" s="49" t="s">
        <v>562</v>
      </c>
      <c r="C1300" s="50" t="s">
        <v>590</v>
      </c>
      <c r="D1300">
        <f t="shared" ca="1" si="78"/>
        <v>0</v>
      </c>
      <c r="E1300" t="str">
        <f ca="1">IF(D1300=0,"",COUNTIF($D$2:D1300,"&gt;0"))</f>
        <v/>
      </c>
      <c r="F1300" s="24" t="str">
        <f t="shared" ca="1" si="79"/>
        <v/>
      </c>
    </row>
    <row r="1301" spans="1:6" ht="16.8">
      <c r="A1301" s="60" t="s">
        <v>721</v>
      </c>
      <c r="B1301" s="49"/>
      <c r="C1301" s="50" t="s">
        <v>678</v>
      </c>
      <c r="D1301">
        <f t="shared" ca="1" si="78"/>
        <v>0</v>
      </c>
      <c r="E1301" t="str">
        <f ca="1">IF(D1301=0,"",COUNTIF($D$2:D1301,"&gt;0"))</f>
        <v/>
      </c>
      <c r="F1301" s="24" t="str">
        <f t="shared" ca="1" si="79"/>
        <v/>
      </c>
    </row>
    <row r="1302" spans="1:6" ht="16.8">
      <c r="A1302" s="62" t="s">
        <v>1678</v>
      </c>
      <c r="B1302" s="49"/>
      <c r="C1302" s="50"/>
      <c r="D1302">
        <f t="shared" ca="1" si="78"/>
        <v>0</v>
      </c>
      <c r="E1302" t="str">
        <f ca="1">IF(D1302=0,"",COUNTIF($D$2:D1302,"&gt;0"))</f>
        <v/>
      </c>
      <c r="F1302" s="24" t="str">
        <f t="shared" ca="1" si="79"/>
        <v/>
      </c>
    </row>
    <row r="1303" spans="1:6" ht="16.8">
      <c r="A1303" s="56" t="s">
        <v>1679</v>
      </c>
      <c r="B1303" s="49"/>
      <c r="C1303" s="50"/>
      <c r="D1303">
        <f t="shared" ca="1" si="78"/>
        <v>0</v>
      </c>
      <c r="E1303" t="str">
        <f ca="1">IF(D1303=0,"",COUNTIF($D$2:D1303,"&gt;0"))</f>
        <v/>
      </c>
      <c r="F1303" s="24" t="str">
        <f t="shared" ca="1" si="79"/>
        <v/>
      </c>
    </row>
    <row r="1304" spans="1:6" ht="33.6">
      <c r="A1304" s="59" t="s">
        <v>1680</v>
      </c>
      <c r="B1304" s="49" t="s">
        <v>562</v>
      </c>
      <c r="C1304" s="50" t="s">
        <v>722</v>
      </c>
      <c r="D1304">
        <f t="shared" ca="1" si="78"/>
        <v>0</v>
      </c>
      <c r="E1304" t="str">
        <f ca="1">IF(D1304=0,"",COUNTIF($D$2:D1304,"&gt;0"))</f>
        <v/>
      </c>
      <c r="F1304" s="24" t="str">
        <f t="shared" ca="1" si="79"/>
        <v/>
      </c>
    </row>
    <row r="1305" spans="1:6" ht="16.8">
      <c r="A1305" s="59" t="s">
        <v>1681</v>
      </c>
      <c r="B1305" s="49" t="s">
        <v>562</v>
      </c>
      <c r="C1305" s="50" t="s">
        <v>723</v>
      </c>
      <c r="D1305">
        <f t="shared" ca="1" si="78"/>
        <v>0</v>
      </c>
      <c r="E1305" t="str">
        <f ca="1">IF(D1305=0,"",COUNTIF($D$2:D1305,"&gt;0"))</f>
        <v/>
      </c>
      <c r="F1305" s="24" t="str">
        <f t="shared" ca="1" si="79"/>
        <v/>
      </c>
    </row>
    <row r="1306" spans="1:6" ht="33.6">
      <c r="A1306" s="58" t="s">
        <v>1682</v>
      </c>
      <c r="B1306" s="49"/>
      <c r="C1306" s="50"/>
      <c r="D1306">
        <f t="shared" ca="1" si="78"/>
        <v>0</v>
      </c>
      <c r="E1306" t="str">
        <f ca="1">IF(D1306=0,"",COUNTIF($D$2:D1306,"&gt;0"))</f>
        <v/>
      </c>
      <c r="F1306" s="24" t="str">
        <f t="shared" ca="1" si="79"/>
        <v/>
      </c>
    </row>
    <row r="1307" spans="1:6" ht="16.8">
      <c r="A1307" s="63" t="s">
        <v>1684</v>
      </c>
      <c r="B1307" s="49" t="s">
        <v>562</v>
      </c>
      <c r="C1307" s="50" t="s">
        <v>724</v>
      </c>
      <c r="D1307">
        <f t="shared" ca="1" si="78"/>
        <v>0</v>
      </c>
      <c r="E1307" t="str">
        <f ca="1">IF(D1307=0,"",COUNTIF($D$2:D1307,"&gt;0"))</f>
        <v/>
      </c>
      <c r="F1307" s="24" t="str">
        <f t="shared" ca="1" si="79"/>
        <v/>
      </c>
    </row>
    <row r="1308" spans="1:6" ht="16.8">
      <c r="A1308" s="63" t="s">
        <v>1683</v>
      </c>
      <c r="B1308" s="49" t="s">
        <v>562</v>
      </c>
      <c r="C1308" s="50" t="s">
        <v>614</v>
      </c>
      <c r="D1308">
        <f t="shared" ca="1" si="78"/>
        <v>0</v>
      </c>
      <c r="E1308" t="str">
        <f ca="1">IF(D1308=0,"",COUNTIF($D$2:D1308,"&gt;0"))</f>
        <v/>
      </c>
      <c r="F1308" s="24" t="str">
        <f t="shared" ca="1" si="79"/>
        <v/>
      </c>
    </row>
    <row r="1309" spans="1:6" ht="16.8">
      <c r="A1309" s="63" t="s">
        <v>1685</v>
      </c>
      <c r="B1309" s="49" t="s">
        <v>562</v>
      </c>
      <c r="C1309" s="50" t="s">
        <v>625</v>
      </c>
      <c r="D1309">
        <f t="shared" ca="1" si="78"/>
        <v>0</v>
      </c>
      <c r="E1309" t="str">
        <f ca="1">IF(D1309=0,"",COUNTIF($D$2:D1309,"&gt;0"))</f>
        <v/>
      </c>
      <c r="F1309" s="24" t="str">
        <f t="shared" ca="1" si="79"/>
        <v/>
      </c>
    </row>
    <row r="1310" spans="1:6" ht="16.8">
      <c r="A1310" s="62" t="s">
        <v>1686</v>
      </c>
      <c r="B1310" s="49"/>
      <c r="C1310" s="50"/>
      <c r="D1310">
        <f t="shared" ca="1" si="78"/>
        <v>0</v>
      </c>
      <c r="E1310" t="str">
        <f ca="1">IF(D1310=0,"",COUNTIF($D$2:D1310,"&gt;0"))</f>
        <v/>
      </c>
      <c r="F1310" s="24" t="str">
        <f t="shared" ca="1" si="79"/>
        <v/>
      </c>
    </row>
    <row r="1311" spans="1:6" ht="16.8">
      <c r="A1311" s="56" t="s">
        <v>1687</v>
      </c>
      <c r="B1311" s="49" t="s">
        <v>725</v>
      </c>
      <c r="C1311" s="50"/>
      <c r="D1311">
        <f t="shared" ca="1" si="78"/>
        <v>0</v>
      </c>
      <c r="E1311" t="str">
        <f ca="1">IF(D1311=0,"",COUNTIF($D$2:D1311,"&gt;0"))</f>
        <v/>
      </c>
      <c r="F1311" s="24" t="str">
        <f t="shared" ca="1" si="79"/>
        <v/>
      </c>
    </row>
    <row r="1312" spans="1:6" ht="33.6">
      <c r="A1312" s="58" t="s">
        <v>1688</v>
      </c>
      <c r="B1312" s="49" t="s">
        <v>562</v>
      </c>
      <c r="C1312" s="50" t="s">
        <v>726</v>
      </c>
      <c r="D1312">
        <f t="shared" ca="1" si="78"/>
        <v>0</v>
      </c>
      <c r="E1312" t="str">
        <f ca="1">IF(D1312=0,"",COUNTIF($D$2:D1312,"&gt;0"))</f>
        <v/>
      </c>
      <c r="F1312" s="24" t="str">
        <f t="shared" ca="1" si="79"/>
        <v/>
      </c>
    </row>
    <row r="1313" spans="1:6" ht="33.6">
      <c r="A1313" s="58" t="s">
        <v>1689</v>
      </c>
      <c r="B1313" s="49" t="s">
        <v>562</v>
      </c>
      <c r="C1313" s="50" t="s">
        <v>727</v>
      </c>
      <c r="D1313">
        <f t="shared" ca="1" si="78"/>
        <v>0</v>
      </c>
      <c r="E1313" t="str">
        <f ca="1">IF(D1313=0,"",COUNTIF($D$2:D1313,"&gt;0"))</f>
        <v/>
      </c>
      <c r="F1313" s="24" t="str">
        <f t="shared" ca="1" si="79"/>
        <v/>
      </c>
    </row>
    <row r="1314" spans="1:6" ht="33.6">
      <c r="A1314" s="58" t="s">
        <v>1690</v>
      </c>
      <c r="B1314" s="49" t="s">
        <v>562</v>
      </c>
      <c r="C1314" s="50" t="s">
        <v>724</v>
      </c>
      <c r="D1314">
        <f t="shared" ca="1" si="78"/>
        <v>0</v>
      </c>
      <c r="E1314" t="str">
        <f ca="1">IF(D1314=0,"",COUNTIF($D$2:D1314,"&gt;0"))</f>
        <v/>
      </c>
      <c r="F1314" s="24" t="str">
        <f t="shared" ca="1" si="79"/>
        <v/>
      </c>
    </row>
    <row r="1315" spans="1:6" ht="16.8">
      <c r="A1315" s="63" t="s">
        <v>1691</v>
      </c>
      <c r="B1315" s="49" t="s">
        <v>562</v>
      </c>
      <c r="C1315" s="50" t="s">
        <v>614</v>
      </c>
      <c r="D1315">
        <f t="shared" ca="1" si="78"/>
        <v>0</v>
      </c>
      <c r="E1315" t="str">
        <f ca="1">IF(D1315=0,"",COUNTIF($D$2:D1315,"&gt;0"))</f>
        <v/>
      </c>
      <c r="F1315" s="24" t="str">
        <f t="shared" ca="1" si="79"/>
        <v/>
      </c>
    </row>
    <row r="1316" spans="1:6" ht="16.8">
      <c r="A1316" s="63" t="s">
        <v>1692</v>
      </c>
      <c r="B1316" s="49" t="s">
        <v>562</v>
      </c>
      <c r="C1316" s="50" t="s">
        <v>625</v>
      </c>
      <c r="D1316">
        <f t="shared" ca="1" si="78"/>
        <v>0</v>
      </c>
      <c r="E1316" t="str">
        <f ca="1">IF(D1316=0,"",COUNTIF($D$2:D1316,"&gt;0"))</f>
        <v/>
      </c>
      <c r="F1316" s="24" t="str">
        <f t="shared" ca="1" si="79"/>
        <v/>
      </c>
    </row>
    <row r="1317" spans="1:6" ht="86.4">
      <c r="A1317" s="60" t="s">
        <v>728</v>
      </c>
      <c r="B1317" s="49"/>
      <c r="C1317" s="50"/>
      <c r="D1317">
        <f t="shared" ca="1" si="78"/>
        <v>0</v>
      </c>
      <c r="E1317" t="str">
        <f ca="1">IF(D1317=0,"",COUNTIF($D$2:D1317,"&gt;0"))</f>
        <v/>
      </c>
      <c r="F1317" s="24" t="str">
        <f t="shared" ca="1" si="79"/>
        <v/>
      </c>
    </row>
    <row r="1318" spans="1:6" ht="36">
      <c r="A1318" s="60" t="s">
        <v>729</v>
      </c>
      <c r="B1318" s="49" t="s">
        <v>730</v>
      </c>
      <c r="C1318" s="50" t="s">
        <v>731</v>
      </c>
      <c r="D1318">
        <f t="shared" ca="1" si="78"/>
        <v>0</v>
      </c>
      <c r="E1318" t="str">
        <f ca="1">IF(D1318=0,"",COUNTIF($D$2:D1318,"&gt;0"))</f>
        <v/>
      </c>
      <c r="F1318" s="24" t="str">
        <f t="shared" ca="1" si="79"/>
        <v/>
      </c>
    </row>
    <row r="1319" spans="1:6" ht="36">
      <c r="A1319" s="60" t="s">
        <v>732</v>
      </c>
      <c r="B1319" s="49" t="s">
        <v>730</v>
      </c>
      <c r="C1319" s="50" t="s">
        <v>733</v>
      </c>
      <c r="D1319">
        <f t="shared" ca="1" si="78"/>
        <v>0</v>
      </c>
      <c r="E1319" t="str">
        <f ca="1">IF(D1319=0,"",COUNTIF($D$2:D1319,"&gt;0"))</f>
        <v/>
      </c>
      <c r="F1319" s="24" t="str">
        <f t="shared" ca="1" si="79"/>
        <v/>
      </c>
    </row>
    <row r="1320" spans="1:6" ht="36">
      <c r="A1320" s="60" t="s">
        <v>734</v>
      </c>
      <c r="B1320" s="49" t="s">
        <v>730</v>
      </c>
      <c r="C1320" s="50" t="s">
        <v>735</v>
      </c>
      <c r="D1320">
        <f t="shared" ca="1" si="78"/>
        <v>0</v>
      </c>
      <c r="E1320" t="str">
        <f ca="1">IF(D1320=0,"",COUNTIF($D$2:D1320,"&gt;0"))</f>
        <v/>
      </c>
      <c r="F1320" s="24" t="str">
        <f t="shared" ca="1" si="79"/>
        <v/>
      </c>
    </row>
    <row r="1321" spans="1:6" ht="36">
      <c r="A1321" s="60" t="s">
        <v>736</v>
      </c>
      <c r="B1321" s="49" t="s">
        <v>730</v>
      </c>
      <c r="C1321" s="50" t="s">
        <v>737</v>
      </c>
      <c r="D1321">
        <f t="shared" ca="1" si="78"/>
        <v>0</v>
      </c>
      <c r="E1321" t="str">
        <f ca="1">IF(D1321=0,"",COUNTIF($D$2:D1321,"&gt;0"))</f>
        <v/>
      </c>
      <c r="F1321" s="24" t="str">
        <f t="shared" ca="1" si="79"/>
        <v/>
      </c>
    </row>
    <row r="1322" spans="1:6" ht="50.4">
      <c r="A1322" s="58" t="s">
        <v>1693</v>
      </c>
      <c r="B1322" s="49"/>
      <c r="C1322" s="50"/>
      <c r="D1322">
        <f t="shared" ca="1" si="78"/>
        <v>0</v>
      </c>
      <c r="E1322" t="str">
        <f ca="1">IF(D1322=0,"",COUNTIF($D$2:D1322,"&gt;0"))</f>
        <v/>
      </c>
      <c r="F1322" s="24" t="str">
        <f t="shared" ca="1" si="79"/>
        <v/>
      </c>
    </row>
    <row r="1323" spans="1:6" ht="36">
      <c r="A1323" s="60" t="s">
        <v>738</v>
      </c>
      <c r="B1323" s="49" t="s">
        <v>730</v>
      </c>
      <c r="C1323" s="50" t="s">
        <v>739</v>
      </c>
      <c r="D1323">
        <f t="shared" ca="1" si="78"/>
        <v>0</v>
      </c>
      <c r="E1323" t="str">
        <f ca="1">IF(D1323=0,"",COUNTIF($D$2:D1323,"&gt;0"))</f>
        <v/>
      </c>
      <c r="F1323" s="24" t="str">
        <f>IFERROR(INDEX(A:A,MATCH(ROW(#REF!),E:E,0)),"")</f>
        <v/>
      </c>
    </row>
    <row r="1324" spans="1:6" ht="36">
      <c r="A1324" s="61" t="s">
        <v>740</v>
      </c>
      <c r="B1324" s="49" t="s">
        <v>730</v>
      </c>
      <c r="C1324" s="50" t="s">
        <v>741</v>
      </c>
      <c r="D1324">
        <f t="shared" ca="1" si="78"/>
        <v>0</v>
      </c>
      <c r="E1324" t="str">
        <f ca="1">IF(D1324=0,"",COUNTIF($D$2:D1324,"&gt;0"))</f>
        <v/>
      </c>
      <c r="F1324" s="24" t="str">
        <f t="shared" ref="F1324:F1361" ca="1" si="80">IFERROR(INDEX(A:A,MATCH(ROW(D1323),E:E,0)),"")</f>
        <v/>
      </c>
    </row>
    <row r="1325" spans="1:6" ht="36">
      <c r="A1325" s="60" t="s">
        <v>742</v>
      </c>
      <c r="B1325" s="49" t="s">
        <v>730</v>
      </c>
      <c r="C1325" s="50" t="s">
        <v>731</v>
      </c>
      <c r="D1325">
        <f t="shared" ca="1" si="78"/>
        <v>0</v>
      </c>
      <c r="E1325" t="str">
        <f ca="1">IF(D1325=0,"",COUNTIF($D$2:D1325,"&gt;0"))</f>
        <v/>
      </c>
      <c r="F1325" s="24" t="str">
        <f t="shared" ca="1" si="80"/>
        <v/>
      </c>
    </row>
    <row r="1326" spans="1:6" ht="19.2">
      <c r="A1326" s="54" t="s">
        <v>743</v>
      </c>
      <c r="B1326" s="49" t="s">
        <v>694</v>
      </c>
      <c r="C1326" s="50" t="s">
        <v>591</v>
      </c>
      <c r="D1326">
        <f t="shared" ca="1" si="78"/>
        <v>0</v>
      </c>
      <c r="E1326" t="str">
        <f ca="1">IF(D1326=0,"",COUNTIF($D$2:D1326,"&gt;0"))</f>
        <v/>
      </c>
      <c r="F1326" s="24" t="str">
        <f t="shared" ca="1" si="80"/>
        <v/>
      </c>
    </row>
    <row r="1327" spans="1:6" ht="19.2">
      <c r="A1327" s="61" t="s">
        <v>744</v>
      </c>
      <c r="B1327" s="49" t="s">
        <v>694</v>
      </c>
      <c r="C1327" s="50" t="s">
        <v>669</v>
      </c>
      <c r="D1327">
        <f t="shared" ca="1" si="78"/>
        <v>0</v>
      </c>
      <c r="E1327" t="str">
        <f ca="1">IF(D1327=0,"",COUNTIF($D$2:D1327,"&gt;0"))</f>
        <v/>
      </c>
      <c r="F1327" s="24" t="str">
        <f t="shared" ca="1" si="80"/>
        <v/>
      </c>
    </row>
    <row r="1328" spans="1:6" ht="19.2">
      <c r="A1328" s="54" t="s">
        <v>745</v>
      </c>
      <c r="B1328" s="49" t="s">
        <v>694</v>
      </c>
      <c r="C1328" s="50" t="s">
        <v>640</v>
      </c>
      <c r="D1328">
        <f t="shared" ca="1" si="78"/>
        <v>0</v>
      </c>
      <c r="E1328" t="str">
        <f ca="1">IF(D1328=0,"",COUNTIF($D$2:D1328,"&gt;0"))</f>
        <v/>
      </c>
      <c r="F1328" s="24" t="str">
        <f t="shared" ca="1" si="80"/>
        <v/>
      </c>
    </row>
    <row r="1329" spans="1:6" ht="16.8">
      <c r="A1329" s="54" t="s">
        <v>746</v>
      </c>
      <c r="B1329" s="49"/>
      <c r="C1329" s="50"/>
      <c r="D1329">
        <f t="shared" ca="1" si="78"/>
        <v>0</v>
      </c>
      <c r="E1329" t="str">
        <f ca="1">IF(D1329=0,"",COUNTIF($D$2:D1329,"&gt;0"))</f>
        <v/>
      </c>
      <c r="F1329" s="24" t="str">
        <f t="shared" ca="1" si="80"/>
        <v/>
      </c>
    </row>
    <row r="1330" spans="1:6" ht="16.8">
      <c r="A1330" s="62" t="s">
        <v>1694</v>
      </c>
      <c r="B1330" s="49"/>
      <c r="C1330" s="50"/>
      <c r="D1330">
        <f t="shared" ca="1" si="78"/>
        <v>0</v>
      </c>
      <c r="E1330" t="str">
        <f ca="1">IF(D1330=0,"",COUNTIF($D$2:D1330,"&gt;0"))</f>
        <v/>
      </c>
      <c r="F1330" s="24" t="str">
        <f t="shared" ca="1" si="80"/>
        <v/>
      </c>
    </row>
    <row r="1331" spans="1:6" ht="16.8">
      <c r="A1331" s="63" t="s">
        <v>1695</v>
      </c>
      <c r="B1331" s="49" t="s">
        <v>747</v>
      </c>
      <c r="C1331" s="50" t="s">
        <v>748</v>
      </c>
      <c r="D1331">
        <f t="shared" ca="1" si="78"/>
        <v>0</v>
      </c>
      <c r="E1331" t="str">
        <f ca="1">IF(D1331=0,"",COUNTIF($D$2:D1331,"&gt;0"))</f>
        <v/>
      </c>
      <c r="F1331" s="24" t="str">
        <f t="shared" ca="1" si="80"/>
        <v/>
      </c>
    </row>
    <row r="1332" spans="1:6" ht="16.8">
      <c r="A1332" s="58" t="s">
        <v>1696</v>
      </c>
      <c r="B1332" s="49" t="s">
        <v>671</v>
      </c>
      <c r="C1332" s="50" t="s">
        <v>614</v>
      </c>
      <c r="D1332">
        <f t="shared" ca="1" si="78"/>
        <v>0</v>
      </c>
      <c r="E1332" t="str">
        <f ca="1">IF(D1332=0,"",COUNTIF($D$2:D1332,"&gt;0"))</f>
        <v/>
      </c>
      <c r="F1332" s="24" t="str">
        <f t="shared" ca="1" si="80"/>
        <v/>
      </c>
    </row>
    <row r="1333" spans="1:6" ht="16.8">
      <c r="A1333" s="58" t="s">
        <v>1697</v>
      </c>
      <c r="B1333" s="49" t="s">
        <v>671</v>
      </c>
      <c r="C1333" s="50" t="s">
        <v>669</v>
      </c>
      <c r="D1333">
        <f t="shared" ca="1" si="78"/>
        <v>0</v>
      </c>
      <c r="E1333" t="str">
        <f ca="1">IF(D1333=0,"",COUNTIF($D$2:D1333,"&gt;0"))</f>
        <v/>
      </c>
      <c r="F1333" s="24" t="str">
        <f t="shared" ca="1" si="80"/>
        <v/>
      </c>
    </row>
    <row r="1334" spans="1:6" ht="16.8">
      <c r="A1334" s="58" t="s">
        <v>1698</v>
      </c>
      <c r="B1334" s="49" t="s">
        <v>671</v>
      </c>
      <c r="C1334" s="50" t="s">
        <v>584</v>
      </c>
      <c r="D1334">
        <f t="shared" ca="1" si="78"/>
        <v>0</v>
      </c>
      <c r="E1334" t="str">
        <f ca="1">IF(D1334=0,"",COUNTIF($D$2:D1334,"&gt;0"))</f>
        <v/>
      </c>
      <c r="F1334" s="24" t="str">
        <f t="shared" ca="1" si="80"/>
        <v/>
      </c>
    </row>
    <row r="1335" spans="1:6" ht="16.8">
      <c r="A1335" s="62" t="s">
        <v>1699</v>
      </c>
      <c r="B1335" s="49"/>
      <c r="C1335" s="50"/>
      <c r="D1335">
        <f t="shared" ca="1" si="78"/>
        <v>0</v>
      </c>
      <c r="E1335" t="str">
        <f ca="1">IF(D1335=0,"",COUNTIF($D$2:D1335,"&gt;0"))</f>
        <v/>
      </c>
      <c r="F1335" s="24" t="str">
        <f t="shared" ca="1" si="80"/>
        <v/>
      </c>
    </row>
    <row r="1336" spans="1:6" ht="16.8">
      <c r="A1336" s="56" t="s">
        <v>1700</v>
      </c>
      <c r="B1336" s="49"/>
      <c r="C1336" s="50"/>
      <c r="D1336">
        <f t="shared" ca="1" si="78"/>
        <v>0</v>
      </c>
      <c r="E1336" t="str">
        <f ca="1">IF(D1336=0,"",COUNTIF($D$2:D1336,"&gt;0"))</f>
        <v/>
      </c>
      <c r="F1336" s="24" t="str">
        <f t="shared" ca="1" si="80"/>
        <v/>
      </c>
    </row>
    <row r="1337" spans="1:6" ht="16.8">
      <c r="A1337" s="63" t="s">
        <v>1701</v>
      </c>
      <c r="B1337" s="49" t="s">
        <v>562</v>
      </c>
      <c r="C1337" s="50" t="s">
        <v>748</v>
      </c>
      <c r="D1337">
        <f t="shared" ca="1" si="78"/>
        <v>0</v>
      </c>
      <c r="E1337" t="str">
        <f ca="1">IF(D1337=0,"",COUNTIF($D$2:D1337,"&gt;0"))</f>
        <v/>
      </c>
      <c r="F1337" s="24" t="str">
        <f t="shared" ca="1" si="80"/>
        <v/>
      </c>
    </row>
    <row r="1338" spans="1:6" ht="16.8">
      <c r="A1338" s="63" t="s">
        <v>1702</v>
      </c>
      <c r="B1338" s="49" t="s">
        <v>562</v>
      </c>
      <c r="C1338" s="50" t="s">
        <v>726</v>
      </c>
      <c r="D1338">
        <f t="shared" ca="1" si="78"/>
        <v>0</v>
      </c>
      <c r="E1338" t="str">
        <f ca="1">IF(D1338=0,"",COUNTIF($D$2:D1338,"&gt;0"))</f>
        <v/>
      </c>
      <c r="F1338" s="24" t="str">
        <f t="shared" ca="1" si="80"/>
        <v/>
      </c>
    </row>
    <row r="1339" spans="1:6" ht="50.4">
      <c r="A1339" s="58" t="s">
        <v>749</v>
      </c>
      <c r="B1339" s="49"/>
      <c r="C1339" s="50"/>
      <c r="D1339">
        <f t="shared" ca="1" si="78"/>
        <v>0</v>
      </c>
      <c r="E1339" t="str">
        <f ca="1">IF(D1339=0,"",COUNTIF($D$2:D1339,"&gt;0"))</f>
        <v/>
      </c>
      <c r="F1339" s="24" t="str">
        <f t="shared" ca="1" si="80"/>
        <v/>
      </c>
    </row>
    <row r="1340" spans="1:6" ht="50.4">
      <c r="A1340" s="58" t="s">
        <v>1703</v>
      </c>
      <c r="B1340" s="49" t="s">
        <v>562</v>
      </c>
      <c r="C1340" s="50" t="s">
        <v>724</v>
      </c>
      <c r="D1340">
        <f t="shared" ca="1" si="78"/>
        <v>0</v>
      </c>
      <c r="E1340" t="str">
        <f ca="1">IF(D1340=0,"",COUNTIF($D$2:D1340,"&gt;0"))</f>
        <v/>
      </c>
      <c r="F1340" s="24" t="str">
        <f t="shared" ca="1" si="80"/>
        <v/>
      </c>
    </row>
    <row r="1341" spans="1:6" ht="50.4">
      <c r="A1341" s="59" t="s">
        <v>1704</v>
      </c>
      <c r="B1341" s="49" t="s">
        <v>562</v>
      </c>
      <c r="C1341" s="50" t="s">
        <v>625</v>
      </c>
      <c r="D1341">
        <f t="shared" ca="1" si="78"/>
        <v>0</v>
      </c>
      <c r="E1341" t="str">
        <f ca="1">IF(D1341=0,"",COUNTIF($D$2:D1341,"&gt;0"))</f>
        <v/>
      </c>
      <c r="F1341" s="24" t="str">
        <f t="shared" ca="1" si="80"/>
        <v/>
      </c>
    </row>
    <row r="1342" spans="1:6" ht="50.4">
      <c r="A1342" s="58" t="s">
        <v>1705</v>
      </c>
      <c r="B1342" s="49" t="s">
        <v>562</v>
      </c>
      <c r="C1342" s="50" t="s">
        <v>640</v>
      </c>
      <c r="D1342">
        <f t="shared" ca="1" si="78"/>
        <v>0</v>
      </c>
      <c r="E1342" t="str">
        <f ca="1">IF(D1342=0,"",COUNTIF($D$2:D1342,"&gt;0"))</f>
        <v/>
      </c>
      <c r="F1342" s="24" t="str">
        <f t="shared" ca="1" si="80"/>
        <v/>
      </c>
    </row>
    <row r="1343" spans="1:6" ht="33.6">
      <c r="A1343" s="59" t="s">
        <v>750</v>
      </c>
      <c r="B1343" s="49"/>
      <c r="C1343" s="50"/>
      <c r="D1343">
        <f t="shared" ca="1" si="78"/>
        <v>0</v>
      </c>
      <c r="E1343" t="str">
        <f ca="1">IF(D1343=0,"",COUNTIF($D$2:D1343,"&gt;0"))</f>
        <v/>
      </c>
      <c r="F1343" s="24" t="str">
        <f t="shared" ca="1" si="80"/>
        <v/>
      </c>
    </row>
    <row r="1344" spans="1:6" ht="16.8">
      <c r="A1344" s="63" t="s">
        <v>1706</v>
      </c>
      <c r="B1344" s="49" t="s">
        <v>562</v>
      </c>
      <c r="C1344" s="50" t="s">
        <v>614</v>
      </c>
      <c r="D1344">
        <f t="shared" ca="1" si="78"/>
        <v>0</v>
      </c>
      <c r="E1344" t="str">
        <f ca="1">IF(D1344=0,"",COUNTIF($D$2:D1344,"&gt;0"))</f>
        <v/>
      </c>
      <c r="F1344" s="24" t="str">
        <f t="shared" ca="1" si="80"/>
        <v/>
      </c>
    </row>
    <row r="1345" spans="1:6" ht="16.8">
      <c r="A1345" s="56" t="s">
        <v>1707</v>
      </c>
      <c r="B1345" s="49" t="s">
        <v>562</v>
      </c>
      <c r="C1345" s="50" t="s">
        <v>597</v>
      </c>
      <c r="D1345">
        <f t="shared" ca="1" si="78"/>
        <v>0</v>
      </c>
      <c r="E1345" t="str">
        <f ca="1">IF(D1345=0,"",COUNTIF($D$2:D1345,"&gt;0"))</f>
        <v/>
      </c>
      <c r="F1345" s="24" t="str">
        <f t="shared" ca="1" si="80"/>
        <v/>
      </c>
    </row>
    <row r="1346" spans="1:6" ht="16.8">
      <c r="A1346" s="56" t="s">
        <v>1708</v>
      </c>
      <c r="B1346" s="49" t="s">
        <v>562</v>
      </c>
      <c r="C1346" s="50" t="s">
        <v>669</v>
      </c>
      <c r="D1346">
        <f t="shared" ca="1" si="78"/>
        <v>0</v>
      </c>
      <c r="E1346" t="str">
        <f ca="1">IF(D1346=0,"",COUNTIF($D$2:D1346,"&gt;0"))</f>
        <v/>
      </c>
      <c r="F1346" s="24" t="str">
        <f t="shared" ca="1" si="80"/>
        <v/>
      </c>
    </row>
    <row r="1347" spans="1:6" ht="33.6">
      <c r="A1347" s="58" t="s">
        <v>1709</v>
      </c>
      <c r="B1347" s="49"/>
      <c r="C1347" s="50" t="s">
        <v>669</v>
      </c>
      <c r="D1347">
        <f t="shared" ca="1" si="78"/>
        <v>0</v>
      </c>
      <c r="E1347" t="str">
        <f ca="1">IF(D1347=0,"",COUNTIF($D$2:D1347,"&gt;0"))</f>
        <v/>
      </c>
      <c r="F1347" s="24" t="str">
        <f t="shared" ca="1" si="80"/>
        <v/>
      </c>
    </row>
    <row r="1348" spans="1:6" ht="16.8">
      <c r="A1348" s="68" t="s">
        <v>1710</v>
      </c>
      <c r="B1348" s="49"/>
      <c r="C1348" s="50"/>
      <c r="D1348">
        <f t="shared" ca="1" si="78"/>
        <v>0</v>
      </c>
      <c r="E1348" t="str">
        <f ca="1">IF(D1348=0,"",COUNTIF($D$2:D1348,"&gt;0"))</f>
        <v/>
      </c>
      <c r="F1348" s="24" t="str">
        <f t="shared" ca="1" si="80"/>
        <v/>
      </c>
    </row>
    <row r="1349" spans="1:6" ht="16.8">
      <c r="A1349" s="56" t="s">
        <v>1711</v>
      </c>
      <c r="B1349" s="49" t="s">
        <v>592</v>
      </c>
      <c r="C1349" s="50" t="s">
        <v>669</v>
      </c>
      <c r="D1349">
        <f t="shared" ref="D1349:D1361" ca="1" si="81">IFERROR(SEARCH(INDIRECT(CELL("address")),A1349),0)</f>
        <v>0</v>
      </c>
      <c r="E1349" t="str">
        <f ca="1">IF(D1349=0,"",COUNTIF($D$2:D1349,"&gt;0"))</f>
        <v/>
      </c>
      <c r="F1349" s="24" t="str">
        <f t="shared" ca="1" si="80"/>
        <v/>
      </c>
    </row>
    <row r="1350" spans="1:6" ht="16.8">
      <c r="A1350" s="63" t="s">
        <v>1712</v>
      </c>
      <c r="B1350" s="49" t="s">
        <v>562</v>
      </c>
      <c r="C1350" s="50" t="s">
        <v>678</v>
      </c>
      <c r="D1350">
        <f t="shared" ca="1" si="81"/>
        <v>0</v>
      </c>
      <c r="E1350" t="str">
        <f ca="1">IF(D1350=0,"",COUNTIF($D$2:D1350,"&gt;0"))</f>
        <v/>
      </c>
      <c r="F1350" s="24" t="str">
        <f t="shared" ca="1" si="80"/>
        <v/>
      </c>
    </row>
    <row r="1351" spans="1:6" ht="16.8">
      <c r="A1351" s="63" t="s">
        <v>1713</v>
      </c>
      <c r="B1351" s="49" t="s">
        <v>562</v>
      </c>
      <c r="C1351" s="50" t="s">
        <v>584</v>
      </c>
      <c r="D1351">
        <f t="shared" ca="1" si="81"/>
        <v>0</v>
      </c>
      <c r="E1351" t="str">
        <f ca="1">IF(D1351=0,"",COUNTIF($D$2:D1351,"&gt;0"))</f>
        <v/>
      </c>
      <c r="F1351" s="24" t="str">
        <f t="shared" ca="1" si="80"/>
        <v/>
      </c>
    </row>
    <row r="1352" spans="1:6" ht="16.8">
      <c r="A1352" s="61" t="s">
        <v>751</v>
      </c>
      <c r="B1352" s="49"/>
      <c r="C1352" s="50" t="s">
        <v>584</v>
      </c>
      <c r="D1352">
        <f t="shared" ca="1" si="81"/>
        <v>0</v>
      </c>
      <c r="E1352" t="str">
        <f ca="1">IF(D1352=0,"",COUNTIF($D$2:D1352,"&gt;0"))</f>
        <v/>
      </c>
      <c r="F1352" s="24" t="str">
        <f t="shared" ca="1" si="80"/>
        <v/>
      </c>
    </row>
    <row r="1353" spans="1:6" ht="16.8">
      <c r="A1353" s="71" t="s">
        <v>1714</v>
      </c>
      <c r="B1353" s="49"/>
      <c r="C1353" s="50"/>
      <c r="D1353">
        <f t="shared" ca="1" si="81"/>
        <v>0</v>
      </c>
      <c r="E1353" t="str">
        <f ca="1">IF(D1353=0,"",COUNTIF($D$2:D1353,"&gt;0"))</f>
        <v/>
      </c>
      <c r="F1353" s="24" t="str">
        <f t="shared" ca="1" si="80"/>
        <v/>
      </c>
    </row>
    <row r="1354" spans="1:6" ht="16.8">
      <c r="A1354" s="56" t="s">
        <v>1715</v>
      </c>
      <c r="B1354" s="49" t="s">
        <v>592</v>
      </c>
      <c r="C1354" s="50" t="s">
        <v>752</v>
      </c>
      <c r="D1354">
        <f t="shared" ca="1" si="81"/>
        <v>0</v>
      </c>
      <c r="E1354" t="str">
        <f ca="1">IF(D1354=0,"",COUNTIF($D$2:D1354,"&gt;0"))</f>
        <v/>
      </c>
      <c r="F1354" s="24" t="str">
        <f t="shared" ca="1" si="80"/>
        <v/>
      </c>
    </row>
    <row r="1355" spans="1:6" ht="16.8">
      <c r="A1355" s="63" t="s">
        <v>1716</v>
      </c>
      <c r="B1355" s="49" t="s">
        <v>562</v>
      </c>
      <c r="C1355" s="50" t="s">
        <v>748</v>
      </c>
      <c r="D1355">
        <f t="shared" ca="1" si="81"/>
        <v>0</v>
      </c>
      <c r="E1355" t="str">
        <f ca="1">IF(D1355=0,"",COUNTIF($D$2:D1355,"&gt;0"))</f>
        <v/>
      </c>
      <c r="F1355" s="24" t="str">
        <f t="shared" ca="1" si="80"/>
        <v/>
      </c>
    </row>
    <row r="1356" spans="1:6" ht="16.8">
      <c r="A1356" s="58" t="s">
        <v>1717</v>
      </c>
      <c r="B1356" s="49"/>
      <c r="C1356" s="50"/>
      <c r="D1356">
        <f t="shared" ca="1" si="81"/>
        <v>0</v>
      </c>
      <c r="E1356" t="str">
        <f ca="1">IF(D1356=0,"",COUNTIF($D$2:D1356,"&gt;0"))</f>
        <v/>
      </c>
      <c r="F1356" s="24" t="str">
        <f t="shared" ca="1" si="80"/>
        <v/>
      </c>
    </row>
    <row r="1357" spans="1:6" ht="16.8">
      <c r="A1357" s="56" t="s">
        <v>1718</v>
      </c>
      <c r="B1357" s="49" t="s">
        <v>753</v>
      </c>
      <c r="C1357" s="50" t="s">
        <v>584</v>
      </c>
      <c r="D1357">
        <f t="shared" ca="1" si="81"/>
        <v>0</v>
      </c>
      <c r="E1357" t="str">
        <f ca="1">IF(D1357=0,"",COUNTIF($D$2:D1357,"&gt;0"))</f>
        <v/>
      </c>
      <c r="F1357" s="24" t="str">
        <f t="shared" ca="1" si="80"/>
        <v/>
      </c>
    </row>
    <row r="1358" spans="1:6" ht="16.8">
      <c r="A1358" s="56" t="s">
        <v>1719</v>
      </c>
      <c r="B1358" s="49" t="s">
        <v>753</v>
      </c>
      <c r="C1358" s="50" t="s">
        <v>590</v>
      </c>
      <c r="D1358">
        <f t="shared" ca="1" si="81"/>
        <v>0</v>
      </c>
      <c r="E1358" t="str">
        <f ca="1">IF(D1358=0,"",COUNTIF($D$2:D1358,"&gt;0"))</f>
        <v/>
      </c>
      <c r="F1358" s="24" t="str">
        <f t="shared" ca="1" si="80"/>
        <v/>
      </c>
    </row>
    <row r="1359" spans="1:6" ht="16.8">
      <c r="A1359" s="56" t="s">
        <v>1720</v>
      </c>
      <c r="B1359" s="49" t="s">
        <v>753</v>
      </c>
      <c r="C1359" s="50" t="s">
        <v>642</v>
      </c>
      <c r="D1359">
        <f t="shared" ca="1" si="81"/>
        <v>0</v>
      </c>
      <c r="E1359" t="str">
        <f ca="1">IF(D1359=0,"",COUNTIF($D$2:D1359,"&gt;0"))</f>
        <v/>
      </c>
      <c r="F1359" s="24" t="str">
        <f t="shared" ca="1" si="80"/>
        <v/>
      </c>
    </row>
    <row r="1360" spans="1:6" ht="16.8">
      <c r="A1360" s="56" t="s">
        <v>1721</v>
      </c>
      <c r="B1360" s="49" t="s">
        <v>753</v>
      </c>
      <c r="C1360" s="50" t="s">
        <v>754</v>
      </c>
      <c r="D1360">
        <f t="shared" ca="1" si="81"/>
        <v>0</v>
      </c>
      <c r="E1360" t="str">
        <f ca="1">IF(D1360=0,"",COUNTIF($D$2:D1360,"&gt;0"))</f>
        <v/>
      </c>
      <c r="F1360" s="24" t="str">
        <f t="shared" ca="1" si="80"/>
        <v/>
      </c>
    </row>
    <row r="1361" spans="1:6" ht="16.8">
      <c r="A1361" s="56" t="s">
        <v>1722</v>
      </c>
      <c r="B1361" s="49" t="s">
        <v>755</v>
      </c>
      <c r="C1361" s="50" t="s">
        <v>613</v>
      </c>
      <c r="D1361">
        <f t="shared" ca="1" si="81"/>
        <v>0</v>
      </c>
      <c r="E1361" t="str">
        <f ca="1">IF(D1361=0,"",COUNTIF($D$2:D1361,"&gt;0"))</f>
        <v/>
      </c>
      <c r="F1361" s="24" t="str">
        <f t="shared" ca="1" si="80"/>
        <v/>
      </c>
    </row>
  </sheetData>
  <mergeCells count="4">
    <mergeCell ref="A310:C310"/>
    <mergeCell ref="A984:C984"/>
    <mergeCell ref="A1166:C1166"/>
    <mergeCell ref="A1175:C1175"/>
  </mergeCells>
  <phoneticPr fontId="25" type="noConversion"/>
  <pageMargins left="0.7" right="0.7" top="0.75" bottom="0.75" header="0.3" footer="0.3"/>
  <pageSetup paperSize="9" orientation="portrait" horizontalDpi="0" verticalDpi="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354"/>
  <sheetViews>
    <sheetView topLeftCell="A16" workbookViewId="0">
      <selection activeCell="A35" sqref="A35:D35"/>
    </sheetView>
  </sheetViews>
  <sheetFormatPr defaultColWidth="40.5" defaultRowHeight="15" customHeight="1" zeroHeight="1"/>
  <cols>
    <col min="1" max="1" width="4.19921875" style="16" customWidth="1"/>
    <col min="2" max="2" width="22.69921875" style="16" customWidth="1"/>
    <col min="3" max="3" width="5" style="87" customWidth="1"/>
    <col min="4" max="4" width="6.19921875" style="88" customWidth="1"/>
    <col min="5" max="5" width="10.8984375" style="89" customWidth="1"/>
    <col min="6" max="6" width="5.8984375" style="87" customWidth="1"/>
    <col min="7" max="7" width="9.5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53"/>
      <c r="G3" s="102"/>
      <c r="H3" s="103"/>
    </row>
    <row r="4" spans="1:8" s="98" customFormat="1" ht="18" customHeight="1">
      <c r="A4" s="414"/>
      <c r="B4" s="414"/>
      <c r="C4" s="415" t="s">
        <v>1740</v>
      </c>
      <c r="D4" s="416"/>
      <c r="E4" s="416"/>
      <c r="F4" s="416"/>
      <c r="G4" s="416"/>
      <c r="H4" s="416"/>
    </row>
    <row r="5" spans="1:8" s="98" customFormat="1" ht="15.6">
      <c r="A5" s="104"/>
      <c r="B5" s="104"/>
      <c r="C5" s="152"/>
      <c r="D5" s="105"/>
      <c r="E5" s="106"/>
      <c r="F5" s="152"/>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20" t="s">
        <v>1837</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1838</v>
      </c>
      <c r="C13" s="425"/>
      <c r="D13" s="425"/>
      <c r="E13" s="425"/>
      <c r="F13" s="425"/>
      <c r="G13" s="73">
        <f>G14</f>
        <v>44840000</v>
      </c>
      <c r="H13" s="74"/>
    </row>
    <row r="14" spans="1:8" s="131" customFormat="1" ht="191.25" customHeight="1">
      <c r="A14" s="123"/>
      <c r="B14" s="124" t="s">
        <v>2054</v>
      </c>
      <c r="C14" s="125" t="s">
        <v>1753</v>
      </c>
      <c r="D14" s="126">
        <v>7.6</v>
      </c>
      <c r="E14" s="127">
        <v>11800000</v>
      </c>
      <c r="F14" s="188">
        <v>0.5</v>
      </c>
      <c r="G14" s="129">
        <f>D14*E14*F14</f>
        <v>44840000</v>
      </c>
      <c r="H14" s="130"/>
    </row>
    <row r="15" spans="1:8" ht="27" customHeight="1">
      <c r="A15" s="75" t="s">
        <v>18</v>
      </c>
      <c r="B15" s="426" t="s">
        <v>1725</v>
      </c>
      <c r="C15" s="426"/>
      <c r="D15" s="426"/>
      <c r="E15" s="426"/>
      <c r="F15" s="426"/>
      <c r="G15" s="76">
        <f>SUM(G17:G19)</f>
        <v>5094809.5860000001</v>
      </c>
      <c r="H15" s="11"/>
    </row>
    <row r="16" spans="1:8" ht="60" customHeight="1">
      <c r="A16" s="75"/>
      <c r="B16" s="433" t="s">
        <v>2039</v>
      </c>
      <c r="C16" s="434"/>
      <c r="D16" s="434"/>
      <c r="E16" s="434"/>
      <c r="F16" s="435"/>
      <c r="G16" s="76"/>
      <c r="H16" s="11"/>
    </row>
    <row r="17" spans="1:8" ht="31.2">
      <c r="A17" s="77">
        <v>1</v>
      </c>
      <c r="B17" s="78" t="s">
        <v>1839</v>
      </c>
      <c r="C17" s="14" t="s">
        <v>1754</v>
      </c>
      <c r="D17" s="132">
        <f>2.45*0.6*0.15</f>
        <v>0.2205</v>
      </c>
      <c r="E17" s="15">
        <v>1081965</v>
      </c>
      <c r="F17" s="187">
        <v>0.8</v>
      </c>
      <c r="G17" s="79">
        <f t="shared" ref="G17:G19" si="0">D17*E17*F17</f>
        <v>190858.62600000002</v>
      </c>
      <c r="H17" s="15"/>
    </row>
    <row r="18" spans="1:8" ht="15.6">
      <c r="A18" s="77">
        <v>2</v>
      </c>
      <c r="B18" s="78" t="s">
        <v>1840</v>
      </c>
      <c r="C18" s="14" t="s">
        <v>1754</v>
      </c>
      <c r="D18" s="132">
        <f>4*4.5*0.1</f>
        <v>1.8</v>
      </c>
      <c r="E18" s="15">
        <v>1629758</v>
      </c>
      <c r="F18" s="187">
        <v>0.8</v>
      </c>
      <c r="G18" s="79">
        <f>D18*E18*F18</f>
        <v>2346851.52</v>
      </c>
      <c r="H18" s="15"/>
    </row>
    <row r="19" spans="1:8" ht="31.2">
      <c r="A19" s="77">
        <v>3</v>
      </c>
      <c r="B19" s="78" t="s">
        <v>1841</v>
      </c>
      <c r="C19" s="14" t="s">
        <v>66</v>
      </c>
      <c r="D19" s="132">
        <f>1.4*4.5</f>
        <v>6.3</v>
      </c>
      <c r="E19" s="15">
        <v>507361</v>
      </c>
      <c r="F19" s="187">
        <v>0.8</v>
      </c>
      <c r="G19" s="79">
        <f t="shared" si="0"/>
        <v>2557099.44</v>
      </c>
      <c r="H19" s="15"/>
    </row>
    <row r="20" spans="1:8" ht="24" customHeight="1">
      <c r="A20" s="75" t="s">
        <v>19</v>
      </c>
      <c r="B20" s="426" t="s">
        <v>1727</v>
      </c>
      <c r="C20" s="426"/>
      <c r="D20" s="426"/>
      <c r="E20" s="426"/>
      <c r="F20" s="426"/>
      <c r="G20" s="76">
        <f>SUM(G21:G21)</f>
        <v>0</v>
      </c>
      <c r="H20" s="11"/>
    </row>
    <row r="21" spans="1:8" ht="30.6" customHeight="1">
      <c r="A21" s="77"/>
      <c r="B21" s="78" t="s">
        <v>1728</v>
      </c>
      <c r="C21" s="13"/>
      <c r="D21" s="13"/>
      <c r="E21" s="13"/>
      <c r="F21" s="13"/>
      <c r="G21" s="79"/>
      <c r="H21" s="15"/>
    </row>
    <row r="22" spans="1:8" ht="15.6">
      <c r="A22" s="80"/>
      <c r="B22" s="427" t="s">
        <v>62</v>
      </c>
      <c r="C22" s="428"/>
      <c r="D22" s="428"/>
      <c r="E22" s="428"/>
      <c r="F22" s="429"/>
      <c r="G22" s="81">
        <f>G13+G15+G20</f>
        <v>49934809.586000003</v>
      </c>
      <c r="H22" s="82"/>
    </row>
    <row r="23" spans="1:8" ht="15.6">
      <c r="A23" s="80"/>
      <c r="B23" s="427" t="s">
        <v>1726</v>
      </c>
      <c r="C23" s="428"/>
      <c r="D23" s="428"/>
      <c r="E23" s="428"/>
      <c r="F23" s="429"/>
      <c r="G23" s="81">
        <f>ROUND(G22,-3)</f>
        <v>49935000</v>
      </c>
      <c r="H23" s="82"/>
    </row>
    <row r="24" spans="1:8" ht="15.6">
      <c r="A24" s="430" t="e" cm="1">
        <f t="array" aca="1" ref="A24" ca="1">[22]!vnd(G23)</f>
        <v>#NAME?</v>
      </c>
      <c r="B24" s="431"/>
      <c r="C24" s="431"/>
      <c r="D24" s="431"/>
      <c r="E24" s="431"/>
      <c r="F24" s="431"/>
      <c r="G24" s="431"/>
      <c r="H24" s="432"/>
    </row>
    <row r="25" spans="1:8">
      <c r="A25" s="17"/>
      <c r="B25" s="17"/>
      <c r="C25" s="97"/>
      <c r="D25" s="20"/>
      <c r="E25" s="19"/>
      <c r="F25" s="97"/>
      <c r="G25" s="19"/>
      <c r="H25" s="17"/>
    </row>
    <row r="26" spans="1:8" s="109" customFormat="1" ht="16.5" customHeight="1">
      <c r="A26" s="108"/>
      <c r="B26" s="108"/>
      <c r="C26" s="424" t="s">
        <v>1742</v>
      </c>
      <c r="D26" s="424"/>
      <c r="E26" s="424"/>
      <c r="F26" s="424"/>
      <c r="G26" s="424"/>
      <c r="H26" s="424"/>
    </row>
    <row r="27" spans="1:8" s="109" customFormat="1" ht="16.5" customHeight="1">
      <c r="A27" s="423" t="s">
        <v>63</v>
      </c>
      <c r="B27" s="423"/>
      <c r="C27" s="424" t="s">
        <v>1743</v>
      </c>
      <c r="D27" s="424"/>
      <c r="E27" s="424"/>
      <c r="F27" s="424" t="s">
        <v>1744</v>
      </c>
      <c r="G27" s="424"/>
      <c r="H27" s="424"/>
    </row>
    <row r="28" spans="1:8" s="109" customFormat="1" ht="15.6">
      <c r="A28" s="108"/>
      <c r="B28" s="108"/>
      <c r="C28" s="108"/>
      <c r="D28" s="110"/>
      <c r="E28" s="111"/>
      <c r="F28" s="112"/>
      <c r="G28" s="111"/>
      <c r="H28" s="113"/>
    </row>
    <row r="29" spans="1:8" s="109" customFormat="1" ht="15.6">
      <c r="A29" s="108"/>
      <c r="B29" s="108"/>
      <c r="C29" s="108"/>
      <c r="D29" s="110"/>
      <c r="E29" s="111"/>
      <c r="F29" s="112"/>
      <c r="G29" s="114"/>
      <c r="H29" s="113"/>
    </row>
    <row r="30" spans="1:8" s="109" customFormat="1" ht="15.6">
      <c r="A30" s="108"/>
      <c r="B30" s="108"/>
      <c r="C30" s="108"/>
      <c r="D30" s="110"/>
      <c r="E30" s="111"/>
      <c r="F30" s="112"/>
      <c r="G30" s="111"/>
      <c r="H30" s="113"/>
    </row>
    <row r="31" spans="1:8" s="109" customFormat="1" ht="15.6">
      <c r="A31" s="108"/>
      <c r="B31" s="108"/>
      <c r="C31" s="108"/>
      <c r="D31" s="110"/>
      <c r="E31" s="111"/>
      <c r="F31" s="112"/>
      <c r="G31" s="111"/>
      <c r="H31" s="113"/>
    </row>
    <row r="32" spans="1:8" s="109" customFormat="1" ht="15.6">
      <c r="A32" s="108"/>
      <c r="B32" s="108"/>
      <c r="C32" s="108"/>
      <c r="D32" s="110"/>
      <c r="E32" s="111"/>
      <c r="F32" s="112"/>
      <c r="G32" s="111"/>
      <c r="H32" s="113"/>
    </row>
    <row r="33" spans="1:8" s="109" customFormat="1" ht="16.5" customHeight="1">
      <c r="A33" s="108"/>
      <c r="B33" s="150" t="s">
        <v>64</v>
      </c>
      <c r="C33" s="424"/>
      <c r="D33" s="424"/>
      <c r="E33" s="424"/>
      <c r="F33" s="424" t="s">
        <v>1745</v>
      </c>
      <c r="G33" s="424"/>
      <c r="H33" s="424"/>
    </row>
    <row r="34" spans="1:8" s="109" customFormat="1" ht="15.6">
      <c r="A34" s="108"/>
      <c r="B34" s="150"/>
      <c r="C34" s="151"/>
      <c r="D34" s="151"/>
      <c r="E34" s="151"/>
      <c r="F34" s="151"/>
      <c r="G34" s="151"/>
      <c r="H34" s="151"/>
    </row>
    <row r="35" spans="1:8" s="109" customFormat="1" ht="15" customHeight="1">
      <c r="A35" s="424" t="s">
        <v>1746</v>
      </c>
      <c r="B35" s="424"/>
      <c r="C35" s="424"/>
      <c r="D35" s="424"/>
      <c r="E35" s="424" t="s">
        <v>1747</v>
      </c>
      <c r="F35" s="424"/>
      <c r="G35" s="424"/>
      <c r="H35" s="424"/>
    </row>
    <row r="36" spans="1:8" s="109" customFormat="1" ht="33.6" customHeight="1">
      <c r="A36" s="424" t="s">
        <v>1748</v>
      </c>
      <c r="B36" s="424"/>
      <c r="C36" s="424"/>
      <c r="D36" s="424"/>
      <c r="E36" s="424" t="s">
        <v>65</v>
      </c>
      <c r="F36" s="424"/>
      <c r="G36" s="424"/>
      <c r="H36" s="424"/>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ustomHeight="1">
      <c r="A42" s="108"/>
      <c r="B42" s="108"/>
      <c r="C42" s="108"/>
      <c r="D42" s="115"/>
      <c r="E42" s="439" t="s">
        <v>1749</v>
      </c>
      <c r="F42" s="439"/>
      <c r="G42" s="439"/>
      <c r="H42" s="439"/>
    </row>
    <row r="43" spans="1:8" s="109" customFormat="1" ht="16.5" customHeight="1">
      <c r="A43" s="424" t="s">
        <v>1751</v>
      </c>
      <c r="B43" s="424"/>
      <c r="C43" s="424"/>
      <c r="D43" s="424"/>
      <c r="E43" s="424" t="s">
        <v>1750</v>
      </c>
      <c r="F43" s="424"/>
      <c r="G43" s="424"/>
      <c r="H43" s="424"/>
    </row>
    <row r="44" spans="1:8" s="118" customFormat="1" ht="16.2" customHeight="1">
      <c r="A44" s="440"/>
      <c r="B44" s="440"/>
      <c r="C44" s="116"/>
      <c r="D44" s="117"/>
      <c r="E44" s="440"/>
      <c r="F44" s="440"/>
      <c r="G44" s="440"/>
      <c r="H44" s="440"/>
    </row>
    <row r="45" spans="1:8" s="118" customFormat="1" ht="15.75" customHeight="1">
      <c r="A45" s="440"/>
      <c r="B45" s="440"/>
      <c r="C45" s="440"/>
      <c r="D45" s="440"/>
      <c r="E45" s="440"/>
      <c r="F45" s="440"/>
      <c r="G45" s="440"/>
      <c r="H45" s="440"/>
    </row>
    <row r="46" spans="1:8" s="98" customFormat="1" ht="16.2" customHeight="1">
      <c r="A46" s="436"/>
      <c r="B46" s="436"/>
      <c r="C46" s="436"/>
      <c r="D46" s="436"/>
      <c r="E46" s="119"/>
      <c r="F46" s="120"/>
      <c r="G46" s="119"/>
      <c r="H46" s="121"/>
    </row>
    <row r="47" spans="1:8" s="98" customFormat="1" ht="16.2" customHeight="1">
      <c r="A47" s="436"/>
      <c r="B47" s="436"/>
      <c r="C47" s="436"/>
      <c r="D47" s="436"/>
      <c r="E47" s="119"/>
      <c r="F47" s="120"/>
      <c r="G47" s="119"/>
      <c r="H47" s="121"/>
    </row>
    <row r="48" spans="1:8" s="98" customFormat="1" ht="16.2" customHeight="1">
      <c r="A48" s="121"/>
      <c r="B48" s="121"/>
      <c r="C48" s="121"/>
      <c r="D48" s="122"/>
      <c r="E48" s="119"/>
      <c r="F48" s="120"/>
      <c r="G48" s="119"/>
      <c r="H48" s="121"/>
    </row>
    <row r="49" spans="1:8" ht="16.2" customHeight="1">
      <c r="A49" s="83"/>
      <c r="B49" s="83"/>
      <c r="C49" s="83"/>
      <c r="D49" s="84"/>
      <c r="E49" s="85"/>
      <c r="F49" s="86"/>
      <c r="G49" s="85"/>
      <c r="H49" s="83"/>
    </row>
    <row r="50" spans="1:8" ht="16.2" customHeight="1">
      <c r="A50" s="83"/>
      <c r="B50" s="83"/>
      <c r="C50" s="83"/>
      <c r="D50" s="84"/>
      <c r="E50" s="85"/>
      <c r="F50" s="86"/>
      <c r="G50" s="85"/>
      <c r="H50" s="83"/>
    </row>
    <row r="51" spans="1:8" ht="16.2" customHeight="1">
      <c r="A51" s="83"/>
      <c r="B51" s="83"/>
      <c r="C51" s="83"/>
      <c r="D51" s="84"/>
      <c r="E51" s="85"/>
      <c r="F51" s="86"/>
      <c r="G51" s="85"/>
      <c r="H51" s="83"/>
    </row>
    <row r="52" spans="1:8" ht="16.2" customHeight="1">
      <c r="A52" s="83"/>
      <c r="B52" s="83"/>
      <c r="C52" s="83"/>
      <c r="D52" s="84"/>
      <c r="E52" s="437"/>
      <c r="F52" s="437"/>
      <c r="G52" s="437"/>
      <c r="H52" s="437"/>
    </row>
    <row r="53" spans="1:8" ht="20.25" customHeight="1">
      <c r="A53" s="438"/>
      <c r="B53" s="438"/>
      <c r="C53" s="438"/>
      <c r="D53" s="438"/>
      <c r="E53" s="438"/>
      <c r="F53" s="438"/>
      <c r="G53" s="438"/>
      <c r="H53" s="438"/>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ht="16.2" customHeight="1"/>
    <row r="83" spans="3:7" ht="16.2" customHeight="1"/>
    <row r="84" spans="3:7" ht="16.2" customHeight="1"/>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row r="229"/>
    <row r="230"/>
    <row r="231"/>
    <row r="232"/>
    <row r="233"/>
    <row r="234"/>
    <row r="235"/>
    <row r="236"/>
    <row r="237"/>
    <row r="238"/>
    <row r="239"/>
    <row r="240"/>
    <row r="241"/>
    <row r="242"/>
    <row r="243"/>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sheetData>
  <mergeCells count="41">
    <mergeCell ref="A4:B4"/>
    <mergeCell ref="C4:H4"/>
    <mergeCell ref="A1:B1"/>
    <mergeCell ref="C1:H1"/>
    <mergeCell ref="A2:B2"/>
    <mergeCell ref="C2:H2"/>
    <mergeCell ref="A3:B3"/>
    <mergeCell ref="A24:H24"/>
    <mergeCell ref="A6:H6"/>
    <mergeCell ref="A7:H7"/>
    <mergeCell ref="A8:H8"/>
    <mergeCell ref="A9:H9"/>
    <mergeCell ref="A10:H10"/>
    <mergeCell ref="A11:H11"/>
    <mergeCell ref="B13:F13"/>
    <mergeCell ref="B15:F15"/>
    <mergeCell ref="B20:F20"/>
    <mergeCell ref="B22:F22"/>
    <mergeCell ref="B23:F23"/>
    <mergeCell ref="B16:F16"/>
    <mergeCell ref="A43:D43"/>
    <mergeCell ref="E43:H43"/>
    <mergeCell ref="C26:H26"/>
    <mergeCell ref="A27:B27"/>
    <mergeCell ref="C27:E27"/>
    <mergeCell ref="F27:H27"/>
    <mergeCell ref="C33:E33"/>
    <mergeCell ref="F33:H33"/>
    <mergeCell ref="A35:D35"/>
    <mergeCell ref="E35:H35"/>
    <mergeCell ref="A36:D36"/>
    <mergeCell ref="E36:H36"/>
    <mergeCell ref="E42:H42"/>
    <mergeCell ref="E52:H52"/>
    <mergeCell ref="A53:H53"/>
    <mergeCell ref="A44:B44"/>
    <mergeCell ref="E44:H44"/>
    <mergeCell ref="A45:D45"/>
    <mergeCell ref="E45:H45"/>
    <mergeCell ref="A46:D46"/>
    <mergeCell ref="A47:D47"/>
  </mergeCells>
  <dataValidations count="1">
    <dataValidation type="list" allowBlank="1" showInputMessage="1" showErrorMessage="1" sqref="WVJ983045:WVJ983062 B983045:B983062 IX983045:IX983062 ST983045:ST983062 ACP983045:ACP983062 AML983045:AML983062 AWH983045:AWH983062 BGD983045:BGD983062 BPZ983045:BPZ983062 BZV983045:BZV983062 CJR983045:CJR983062 CTN983045:CTN983062 DDJ983045:DDJ983062 DNF983045:DNF983062 DXB983045:DXB983062 EGX983045:EGX983062 EQT983045:EQT983062 FAP983045:FAP983062 FKL983045:FKL983062 FUH983045:FUH983062 GED983045:GED983062 GNZ983045:GNZ983062 GXV983045:GXV983062 HHR983045:HHR983062 HRN983045:HRN983062 IBJ983045:IBJ983062 ILF983045:ILF983062 IVB983045:IVB983062 JEX983045:JEX983062 JOT983045:JOT983062 JYP983045:JYP983062 KIL983045:KIL983062 KSH983045:KSH983062 LCD983045:LCD983062 LLZ983045:LLZ983062 LVV983045:LVV983062 MFR983045:MFR983062 MPN983045:MPN983062 MZJ983045:MZJ983062 NJF983045:NJF983062 NTB983045:NTB983062 OCX983045:OCX983062 OMT983045:OMT983062 OWP983045:OWP983062 PGL983045:PGL983062 PQH983045:PQH983062 QAD983045:QAD983062 QJZ983045:QJZ983062 QTV983045:QTV983062 RDR983045:RDR983062 RNN983045:RNN983062 RXJ983045:RXJ983062 SHF983045:SHF983062 SRB983045:SRB983062 TAX983045:TAX983062 TKT983045:TKT983062 TUP983045:TUP983062 UEL983045:UEL983062 UOH983045:UOH983062 UYD983045:UYD983062 VHZ983045:VHZ983062 VRV983045:VRV983062 WBR983045:WBR983062 WLN983045:WLN983062 B65541:B65558 IX65541:IX65558 ST65541:ST65558 ACP65541:ACP65558 AML65541:AML65558 AWH65541:AWH65558 BGD65541:BGD65558 BPZ65541:BPZ65558 BZV65541:BZV65558 CJR65541:CJR65558 CTN65541:CTN65558 DDJ65541:DDJ65558 DNF65541:DNF65558 DXB65541:DXB65558 EGX65541:EGX65558 EQT65541:EQT65558 FAP65541:FAP65558 FKL65541:FKL65558 FUH65541:FUH65558 GED65541:GED65558 GNZ65541:GNZ65558 GXV65541:GXV65558 HHR65541:HHR65558 HRN65541:HRN65558 IBJ65541:IBJ65558 ILF65541:ILF65558 IVB65541:IVB65558 JEX65541:JEX65558 JOT65541:JOT65558 JYP65541:JYP65558 KIL65541:KIL65558 KSH65541:KSH65558 LCD65541:LCD65558 LLZ65541:LLZ65558 LVV65541:LVV65558 MFR65541:MFR65558 MPN65541:MPN65558 MZJ65541:MZJ65558 NJF65541:NJF65558 NTB65541:NTB65558 OCX65541:OCX65558 OMT65541:OMT65558 OWP65541:OWP65558 PGL65541:PGL65558 PQH65541:PQH65558 QAD65541:QAD65558 QJZ65541:QJZ65558 QTV65541:QTV65558 RDR65541:RDR65558 RNN65541:RNN65558 RXJ65541:RXJ65558 SHF65541:SHF65558 SRB65541:SRB65558 TAX65541:TAX65558 TKT65541:TKT65558 TUP65541:TUP65558 UEL65541:UEL65558 UOH65541:UOH65558 UYD65541:UYD65558 VHZ65541:VHZ65558 VRV65541:VRV65558 WBR65541:WBR65558 WLN65541:WLN65558 WVJ65541:WVJ65558 B131077:B131094 IX131077:IX131094 ST131077:ST131094 ACP131077:ACP131094 AML131077:AML131094 AWH131077:AWH131094 BGD131077:BGD131094 BPZ131077:BPZ131094 BZV131077:BZV131094 CJR131077:CJR131094 CTN131077:CTN131094 DDJ131077:DDJ131094 DNF131077:DNF131094 DXB131077:DXB131094 EGX131077:EGX131094 EQT131077:EQT131094 FAP131077:FAP131094 FKL131077:FKL131094 FUH131077:FUH131094 GED131077:GED131094 GNZ131077:GNZ131094 GXV131077:GXV131094 HHR131077:HHR131094 HRN131077:HRN131094 IBJ131077:IBJ131094 ILF131077:ILF131094 IVB131077:IVB131094 JEX131077:JEX131094 JOT131077:JOT131094 JYP131077:JYP131094 KIL131077:KIL131094 KSH131077:KSH131094 LCD131077:LCD131094 LLZ131077:LLZ131094 LVV131077:LVV131094 MFR131077:MFR131094 MPN131077:MPN131094 MZJ131077:MZJ131094 NJF131077:NJF131094 NTB131077:NTB131094 OCX131077:OCX131094 OMT131077:OMT131094 OWP131077:OWP131094 PGL131077:PGL131094 PQH131077:PQH131094 QAD131077:QAD131094 QJZ131077:QJZ131094 QTV131077:QTV131094 RDR131077:RDR131094 RNN131077:RNN131094 RXJ131077:RXJ131094 SHF131077:SHF131094 SRB131077:SRB131094 TAX131077:TAX131094 TKT131077:TKT131094 TUP131077:TUP131094 UEL131077:UEL131094 UOH131077:UOH131094 UYD131077:UYD131094 VHZ131077:VHZ131094 VRV131077:VRV131094 WBR131077:WBR131094 WLN131077:WLN131094 WVJ131077:WVJ131094 B196613:B196630 IX196613:IX196630 ST196613:ST196630 ACP196613:ACP196630 AML196613:AML196630 AWH196613:AWH196630 BGD196613:BGD196630 BPZ196613:BPZ196630 BZV196613:BZV196630 CJR196613:CJR196630 CTN196613:CTN196630 DDJ196613:DDJ196630 DNF196613:DNF196630 DXB196613:DXB196630 EGX196613:EGX196630 EQT196613:EQT196630 FAP196613:FAP196630 FKL196613:FKL196630 FUH196613:FUH196630 GED196613:GED196630 GNZ196613:GNZ196630 GXV196613:GXV196630 HHR196613:HHR196630 HRN196613:HRN196630 IBJ196613:IBJ196630 ILF196613:ILF196630 IVB196613:IVB196630 JEX196613:JEX196630 JOT196613:JOT196630 JYP196613:JYP196630 KIL196613:KIL196630 KSH196613:KSH196630 LCD196613:LCD196630 LLZ196613:LLZ196630 LVV196613:LVV196630 MFR196613:MFR196630 MPN196613:MPN196630 MZJ196613:MZJ196630 NJF196613:NJF196630 NTB196613:NTB196630 OCX196613:OCX196630 OMT196613:OMT196630 OWP196613:OWP196630 PGL196613:PGL196630 PQH196613:PQH196630 QAD196613:QAD196630 QJZ196613:QJZ196630 QTV196613:QTV196630 RDR196613:RDR196630 RNN196613:RNN196630 RXJ196613:RXJ196630 SHF196613:SHF196630 SRB196613:SRB196630 TAX196613:TAX196630 TKT196613:TKT196630 TUP196613:TUP196630 UEL196613:UEL196630 UOH196613:UOH196630 UYD196613:UYD196630 VHZ196613:VHZ196630 VRV196613:VRV196630 WBR196613:WBR196630 WLN196613:WLN196630 WVJ196613:WVJ196630 B262149:B262166 IX262149:IX262166 ST262149:ST262166 ACP262149:ACP262166 AML262149:AML262166 AWH262149:AWH262166 BGD262149:BGD262166 BPZ262149:BPZ262166 BZV262149:BZV262166 CJR262149:CJR262166 CTN262149:CTN262166 DDJ262149:DDJ262166 DNF262149:DNF262166 DXB262149:DXB262166 EGX262149:EGX262166 EQT262149:EQT262166 FAP262149:FAP262166 FKL262149:FKL262166 FUH262149:FUH262166 GED262149:GED262166 GNZ262149:GNZ262166 GXV262149:GXV262166 HHR262149:HHR262166 HRN262149:HRN262166 IBJ262149:IBJ262166 ILF262149:ILF262166 IVB262149:IVB262166 JEX262149:JEX262166 JOT262149:JOT262166 JYP262149:JYP262166 KIL262149:KIL262166 KSH262149:KSH262166 LCD262149:LCD262166 LLZ262149:LLZ262166 LVV262149:LVV262166 MFR262149:MFR262166 MPN262149:MPN262166 MZJ262149:MZJ262166 NJF262149:NJF262166 NTB262149:NTB262166 OCX262149:OCX262166 OMT262149:OMT262166 OWP262149:OWP262166 PGL262149:PGL262166 PQH262149:PQH262166 QAD262149:QAD262166 QJZ262149:QJZ262166 QTV262149:QTV262166 RDR262149:RDR262166 RNN262149:RNN262166 RXJ262149:RXJ262166 SHF262149:SHF262166 SRB262149:SRB262166 TAX262149:TAX262166 TKT262149:TKT262166 TUP262149:TUP262166 UEL262149:UEL262166 UOH262149:UOH262166 UYD262149:UYD262166 VHZ262149:VHZ262166 VRV262149:VRV262166 WBR262149:WBR262166 WLN262149:WLN262166 WVJ262149:WVJ262166 B327685:B327702 IX327685:IX327702 ST327685:ST327702 ACP327685:ACP327702 AML327685:AML327702 AWH327685:AWH327702 BGD327685:BGD327702 BPZ327685:BPZ327702 BZV327685:BZV327702 CJR327685:CJR327702 CTN327685:CTN327702 DDJ327685:DDJ327702 DNF327685:DNF327702 DXB327685:DXB327702 EGX327685:EGX327702 EQT327685:EQT327702 FAP327685:FAP327702 FKL327685:FKL327702 FUH327685:FUH327702 GED327685:GED327702 GNZ327685:GNZ327702 GXV327685:GXV327702 HHR327685:HHR327702 HRN327685:HRN327702 IBJ327685:IBJ327702 ILF327685:ILF327702 IVB327685:IVB327702 JEX327685:JEX327702 JOT327685:JOT327702 JYP327685:JYP327702 KIL327685:KIL327702 KSH327685:KSH327702 LCD327685:LCD327702 LLZ327685:LLZ327702 LVV327685:LVV327702 MFR327685:MFR327702 MPN327685:MPN327702 MZJ327685:MZJ327702 NJF327685:NJF327702 NTB327685:NTB327702 OCX327685:OCX327702 OMT327685:OMT327702 OWP327685:OWP327702 PGL327685:PGL327702 PQH327685:PQH327702 QAD327685:QAD327702 QJZ327685:QJZ327702 QTV327685:QTV327702 RDR327685:RDR327702 RNN327685:RNN327702 RXJ327685:RXJ327702 SHF327685:SHF327702 SRB327685:SRB327702 TAX327685:TAX327702 TKT327685:TKT327702 TUP327685:TUP327702 UEL327685:UEL327702 UOH327685:UOH327702 UYD327685:UYD327702 VHZ327685:VHZ327702 VRV327685:VRV327702 WBR327685:WBR327702 WLN327685:WLN327702 WVJ327685:WVJ327702 B393221:B393238 IX393221:IX393238 ST393221:ST393238 ACP393221:ACP393238 AML393221:AML393238 AWH393221:AWH393238 BGD393221:BGD393238 BPZ393221:BPZ393238 BZV393221:BZV393238 CJR393221:CJR393238 CTN393221:CTN393238 DDJ393221:DDJ393238 DNF393221:DNF393238 DXB393221:DXB393238 EGX393221:EGX393238 EQT393221:EQT393238 FAP393221:FAP393238 FKL393221:FKL393238 FUH393221:FUH393238 GED393221:GED393238 GNZ393221:GNZ393238 GXV393221:GXV393238 HHR393221:HHR393238 HRN393221:HRN393238 IBJ393221:IBJ393238 ILF393221:ILF393238 IVB393221:IVB393238 JEX393221:JEX393238 JOT393221:JOT393238 JYP393221:JYP393238 KIL393221:KIL393238 KSH393221:KSH393238 LCD393221:LCD393238 LLZ393221:LLZ393238 LVV393221:LVV393238 MFR393221:MFR393238 MPN393221:MPN393238 MZJ393221:MZJ393238 NJF393221:NJF393238 NTB393221:NTB393238 OCX393221:OCX393238 OMT393221:OMT393238 OWP393221:OWP393238 PGL393221:PGL393238 PQH393221:PQH393238 QAD393221:QAD393238 QJZ393221:QJZ393238 QTV393221:QTV393238 RDR393221:RDR393238 RNN393221:RNN393238 RXJ393221:RXJ393238 SHF393221:SHF393238 SRB393221:SRB393238 TAX393221:TAX393238 TKT393221:TKT393238 TUP393221:TUP393238 UEL393221:UEL393238 UOH393221:UOH393238 UYD393221:UYD393238 VHZ393221:VHZ393238 VRV393221:VRV393238 WBR393221:WBR393238 WLN393221:WLN393238 WVJ393221:WVJ393238 B458757:B458774 IX458757:IX458774 ST458757:ST458774 ACP458757:ACP458774 AML458757:AML458774 AWH458757:AWH458774 BGD458757:BGD458774 BPZ458757:BPZ458774 BZV458757:BZV458774 CJR458757:CJR458774 CTN458757:CTN458774 DDJ458757:DDJ458774 DNF458757:DNF458774 DXB458757:DXB458774 EGX458757:EGX458774 EQT458757:EQT458774 FAP458757:FAP458774 FKL458757:FKL458774 FUH458757:FUH458774 GED458757:GED458774 GNZ458757:GNZ458774 GXV458757:GXV458774 HHR458757:HHR458774 HRN458757:HRN458774 IBJ458757:IBJ458774 ILF458757:ILF458774 IVB458757:IVB458774 JEX458757:JEX458774 JOT458757:JOT458774 JYP458757:JYP458774 KIL458757:KIL458774 KSH458757:KSH458774 LCD458757:LCD458774 LLZ458757:LLZ458774 LVV458757:LVV458774 MFR458757:MFR458774 MPN458757:MPN458774 MZJ458757:MZJ458774 NJF458757:NJF458774 NTB458757:NTB458774 OCX458757:OCX458774 OMT458757:OMT458774 OWP458757:OWP458774 PGL458757:PGL458774 PQH458757:PQH458774 QAD458757:QAD458774 QJZ458757:QJZ458774 QTV458757:QTV458774 RDR458757:RDR458774 RNN458757:RNN458774 RXJ458757:RXJ458774 SHF458757:SHF458774 SRB458757:SRB458774 TAX458757:TAX458774 TKT458757:TKT458774 TUP458757:TUP458774 UEL458757:UEL458774 UOH458757:UOH458774 UYD458757:UYD458774 VHZ458757:VHZ458774 VRV458757:VRV458774 WBR458757:WBR458774 WLN458757:WLN458774 WVJ458757:WVJ458774 B524293:B524310 IX524293:IX524310 ST524293:ST524310 ACP524293:ACP524310 AML524293:AML524310 AWH524293:AWH524310 BGD524293:BGD524310 BPZ524293:BPZ524310 BZV524293:BZV524310 CJR524293:CJR524310 CTN524293:CTN524310 DDJ524293:DDJ524310 DNF524293:DNF524310 DXB524293:DXB524310 EGX524293:EGX524310 EQT524293:EQT524310 FAP524293:FAP524310 FKL524293:FKL524310 FUH524293:FUH524310 GED524293:GED524310 GNZ524293:GNZ524310 GXV524293:GXV524310 HHR524293:HHR524310 HRN524293:HRN524310 IBJ524293:IBJ524310 ILF524293:ILF524310 IVB524293:IVB524310 JEX524293:JEX524310 JOT524293:JOT524310 JYP524293:JYP524310 KIL524293:KIL524310 KSH524293:KSH524310 LCD524293:LCD524310 LLZ524293:LLZ524310 LVV524293:LVV524310 MFR524293:MFR524310 MPN524293:MPN524310 MZJ524293:MZJ524310 NJF524293:NJF524310 NTB524293:NTB524310 OCX524293:OCX524310 OMT524293:OMT524310 OWP524293:OWP524310 PGL524293:PGL524310 PQH524293:PQH524310 QAD524293:QAD524310 QJZ524293:QJZ524310 QTV524293:QTV524310 RDR524293:RDR524310 RNN524293:RNN524310 RXJ524293:RXJ524310 SHF524293:SHF524310 SRB524293:SRB524310 TAX524293:TAX524310 TKT524293:TKT524310 TUP524293:TUP524310 UEL524293:UEL524310 UOH524293:UOH524310 UYD524293:UYD524310 VHZ524293:VHZ524310 VRV524293:VRV524310 WBR524293:WBR524310 WLN524293:WLN524310 WVJ524293:WVJ524310 B589829:B589846 IX589829:IX589846 ST589829:ST589846 ACP589829:ACP589846 AML589829:AML589846 AWH589829:AWH589846 BGD589829:BGD589846 BPZ589829:BPZ589846 BZV589829:BZV589846 CJR589829:CJR589846 CTN589829:CTN589846 DDJ589829:DDJ589846 DNF589829:DNF589846 DXB589829:DXB589846 EGX589829:EGX589846 EQT589829:EQT589846 FAP589829:FAP589846 FKL589829:FKL589846 FUH589829:FUH589846 GED589829:GED589846 GNZ589829:GNZ589846 GXV589829:GXV589846 HHR589829:HHR589846 HRN589829:HRN589846 IBJ589829:IBJ589846 ILF589829:ILF589846 IVB589829:IVB589846 JEX589829:JEX589846 JOT589829:JOT589846 JYP589829:JYP589846 KIL589829:KIL589846 KSH589829:KSH589846 LCD589829:LCD589846 LLZ589829:LLZ589846 LVV589829:LVV589846 MFR589829:MFR589846 MPN589829:MPN589846 MZJ589829:MZJ589846 NJF589829:NJF589846 NTB589829:NTB589846 OCX589829:OCX589846 OMT589829:OMT589846 OWP589829:OWP589846 PGL589829:PGL589846 PQH589829:PQH589846 QAD589829:QAD589846 QJZ589829:QJZ589846 QTV589829:QTV589846 RDR589829:RDR589846 RNN589829:RNN589846 RXJ589829:RXJ589846 SHF589829:SHF589846 SRB589829:SRB589846 TAX589829:TAX589846 TKT589829:TKT589846 TUP589829:TUP589846 UEL589829:UEL589846 UOH589829:UOH589846 UYD589829:UYD589846 VHZ589829:VHZ589846 VRV589829:VRV589846 WBR589829:WBR589846 WLN589829:WLN589846 WVJ589829:WVJ589846 B655365:B655382 IX655365:IX655382 ST655365:ST655382 ACP655365:ACP655382 AML655365:AML655382 AWH655365:AWH655382 BGD655365:BGD655382 BPZ655365:BPZ655382 BZV655365:BZV655382 CJR655365:CJR655382 CTN655365:CTN655382 DDJ655365:DDJ655382 DNF655365:DNF655382 DXB655365:DXB655382 EGX655365:EGX655382 EQT655365:EQT655382 FAP655365:FAP655382 FKL655365:FKL655382 FUH655365:FUH655382 GED655365:GED655382 GNZ655365:GNZ655382 GXV655365:GXV655382 HHR655365:HHR655382 HRN655365:HRN655382 IBJ655365:IBJ655382 ILF655365:ILF655382 IVB655365:IVB655382 JEX655365:JEX655382 JOT655365:JOT655382 JYP655365:JYP655382 KIL655365:KIL655382 KSH655365:KSH655382 LCD655365:LCD655382 LLZ655365:LLZ655382 LVV655365:LVV655382 MFR655365:MFR655382 MPN655365:MPN655382 MZJ655365:MZJ655382 NJF655365:NJF655382 NTB655365:NTB655382 OCX655365:OCX655382 OMT655365:OMT655382 OWP655365:OWP655382 PGL655365:PGL655382 PQH655365:PQH655382 QAD655365:QAD655382 QJZ655365:QJZ655382 QTV655365:QTV655382 RDR655365:RDR655382 RNN655365:RNN655382 RXJ655365:RXJ655382 SHF655365:SHF655382 SRB655365:SRB655382 TAX655365:TAX655382 TKT655365:TKT655382 TUP655365:TUP655382 UEL655365:UEL655382 UOH655365:UOH655382 UYD655365:UYD655382 VHZ655365:VHZ655382 VRV655365:VRV655382 WBR655365:WBR655382 WLN655365:WLN655382 WVJ655365:WVJ655382 B720901:B720918 IX720901:IX720918 ST720901:ST720918 ACP720901:ACP720918 AML720901:AML720918 AWH720901:AWH720918 BGD720901:BGD720918 BPZ720901:BPZ720918 BZV720901:BZV720918 CJR720901:CJR720918 CTN720901:CTN720918 DDJ720901:DDJ720918 DNF720901:DNF720918 DXB720901:DXB720918 EGX720901:EGX720918 EQT720901:EQT720918 FAP720901:FAP720918 FKL720901:FKL720918 FUH720901:FUH720918 GED720901:GED720918 GNZ720901:GNZ720918 GXV720901:GXV720918 HHR720901:HHR720918 HRN720901:HRN720918 IBJ720901:IBJ720918 ILF720901:ILF720918 IVB720901:IVB720918 JEX720901:JEX720918 JOT720901:JOT720918 JYP720901:JYP720918 KIL720901:KIL720918 KSH720901:KSH720918 LCD720901:LCD720918 LLZ720901:LLZ720918 LVV720901:LVV720918 MFR720901:MFR720918 MPN720901:MPN720918 MZJ720901:MZJ720918 NJF720901:NJF720918 NTB720901:NTB720918 OCX720901:OCX720918 OMT720901:OMT720918 OWP720901:OWP720918 PGL720901:PGL720918 PQH720901:PQH720918 QAD720901:QAD720918 QJZ720901:QJZ720918 QTV720901:QTV720918 RDR720901:RDR720918 RNN720901:RNN720918 RXJ720901:RXJ720918 SHF720901:SHF720918 SRB720901:SRB720918 TAX720901:TAX720918 TKT720901:TKT720918 TUP720901:TUP720918 UEL720901:UEL720918 UOH720901:UOH720918 UYD720901:UYD720918 VHZ720901:VHZ720918 VRV720901:VRV720918 WBR720901:WBR720918 WLN720901:WLN720918 WVJ720901:WVJ720918 B786437:B786454 IX786437:IX786454 ST786437:ST786454 ACP786437:ACP786454 AML786437:AML786454 AWH786437:AWH786454 BGD786437:BGD786454 BPZ786437:BPZ786454 BZV786437:BZV786454 CJR786437:CJR786454 CTN786437:CTN786454 DDJ786437:DDJ786454 DNF786437:DNF786454 DXB786437:DXB786454 EGX786437:EGX786454 EQT786437:EQT786454 FAP786437:FAP786454 FKL786437:FKL786454 FUH786437:FUH786454 GED786437:GED786454 GNZ786437:GNZ786454 GXV786437:GXV786454 HHR786437:HHR786454 HRN786437:HRN786454 IBJ786437:IBJ786454 ILF786437:ILF786454 IVB786437:IVB786454 JEX786437:JEX786454 JOT786437:JOT786454 JYP786437:JYP786454 KIL786437:KIL786454 KSH786437:KSH786454 LCD786437:LCD786454 LLZ786437:LLZ786454 LVV786437:LVV786454 MFR786437:MFR786454 MPN786437:MPN786454 MZJ786437:MZJ786454 NJF786437:NJF786454 NTB786437:NTB786454 OCX786437:OCX786454 OMT786437:OMT786454 OWP786437:OWP786454 PGL786437:PGL786454 PQH786437:PQH786454 QAD786437:QAD786454 QJZ786437:QJZ786454 QTV786437:QTV786454 RDR786437:RDR786454 RNN786437:RNN786454 RXJ786437:RXJ786454 SHF786437:SHF786454 SRB786437:SRB786454 TAX786437:TAX786454 TKT786437:TKT786454 TUP786437:TUP786454 UEL786437:UEL786454 UOH786437:UOH786454 UYD786437:UYD786454 VHZ786437:VHZ786454 VRV786437:VRV786454 WBR786437:WBR786454 WLN786437:WLN786454 WVJ786437:WVJ786454 B851973:B851990 IX851973:IX851990 ST851973:ST851990 ACP851973:ACP851990 AML851973:AML851990 AWH851973:AWH851990 BGD851973:BGD851990 BPZ851973:BPZ851990 BZV851973:BZV851990 CJR851973:CJR851990 CTN851973:CTN851990 DDJ851973:DDJ851990 DNF851973:DNF851990 DXB851973:DXB851990 EGX851973:EGX851990 EQT851973:EQT851990 FAP851973:FAP851990 FKL851973:FKL851990 FUH851973:FUH851990 GED851973:GED851990 GNZ851973:GNZ851990 GXV851973:GXV851990 HHR851973:HHR851990 HRN851973:HRN851990 IBJ851973:IBJ851990 ILF851973:ILF851990 IVB851973:IVB851990 JEX851973:JEX851990 JOT851973:JOT851990 JYP851973:JYP851990 KIL851973:KIL851990 KSH851973:KSH851990 LCD851973:LCD851990 LLZ851973:LLZ851990 LVV851973:LVV851990 MFR851973:MFR851990 MPN851973:MPN851990 MZJ851973:MZJ851990 NJF851973:NJF851990 NTB851973:NTB851990 OCX851973:OCX851990 OMT851973:OMT851990 OWP851973:OWP851990 PGL851973:PGL851990 PQH851973:PQH851990 QAD851973:QAD851990 QJZ851973:QJZ851990 QTV851973:QTV851990 RDR851973:RDR851990 RNN851973:RNN851990 RXJ851973:RXJ851990 SHF851973:SHF851990 SRB851973:SRB851990 TAX851973:TAX851990 TKT851973:TKT851990 TUP851973:TUP851990 UEL851973:UEL851990 UOH851973:UOH851990 UYD851973:UYD851990 VHZ851973:VHZ851990 VRV851973:VRV851990 WBR851973:WBR851990 WLN851973:WLN851990 WVJ851973:WVJ851990 B917509:B917526 IX917509:IX917526 ST917509:ST917526 ACP917509:ACP917526 AML917509:AML917526 AWH917509:AWH917526 BGD917509:BGD917526 BPZ917509:BPZ917526 BZV917509:BZV917526 CJR917509:CJR917526 CTN917509:CTN917526 DDJ917509:DDJ917526 DNF917509:DNF917526 DXB917509:DXB917526 EGX917509:EGX917526 EQT917509:EQT917526 FAP917509:FAP917526 FKL917509:FKL917526 FUH917509:FUH917526 GED917509:GED917526 GNZ917509:GNZ917526 GXV917509:GXV917526 HHR917509:HHR917526 HRN917509:HRN917526 IBJ917509:IBJ917526 ILF917509:ILF917526 IVB917509:IVB917526 JEX917509:JEX917526 JOT917509:JOT917526 JYP917509:JYP917526 KIL917509:KIL917526 KSH917509:KSH917526 LCD917509:LCD917526 LLZ917509:LLZ917526 LVV917509:LVV917526 MFR917509:MFR917526 MPN917509:MPN917526 MZJ917509:MZJ917526 NJF917509:NJF917526 NTB917509:NTB917526 OCX917509:OCX917526 OMT917509:OMT917526 OWP917509:OWP917526 PGL917509:PGL917526 PQH917509:PQH917526 QAD917509:QAD917526 QJZ917509:QJZ917526 QTV917509:QTV917526 RDR917509:RDR917526 RNN917509:RNN917526 RXJ917509:RXJ917526 SHF917509:SHF917526 SRB917509:SRB917526 TAX917509:TAX917526 TKT917509:TKT917526 TUP917509:TUP917526 UEL917509:UEL917526 UOH917509:UOH917526 UYD917509:UYD917526 VHZ917509:VHZ917526 VRV917509:VRV917526 WBR917509:WBR917526 WLN917509:WLN917526 WVJ917509:WVJ917526" xr:uid="{00000000-0002-0000-2700-000000000000}">
      <formula1>trung</formula1>
    </dataValidation>
  </dataValidations>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327"/>
  <sheetViews>
    <sheetView topLeftCell="A33" workbookViewId="0">
      <selection activeCell="C35" sqref="C35"/>
    </sheetView>
  </sheetViews>
  <sheetFormatPr defaultColWidth="40.5" defaultRowHeight="15" customHeight="1" zeroHeight="1"/>
  <cols>
    <col min="1" max="1" width="4.19921875" style="16" customWidth="1"/>
    <col min="2" max="2" width="23" style="16" customWidth="1"/>
    <col min="3" max="3" width="5" style="87" customWidth="1"/>
    <col min="4" max="4" width="6.19921875" style="88" customWidth="1"/>
    <col min="5" max="5" width="10.8984375" style="89" customWidth="1"/>
    <col min="6" max="6" width="5.8984375" style="87" customWidth="1"/>
    <col min="7" max="7" width="11"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2100</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161.25" customHeight="1">
      <c r="A13" s="96" t="s">
        <v>17</v>
      </c>
      <c r="B13" s="425" t="s">
        <v>2101</v>
      </c>
      <c r="C13" s="425"/>
      <c r="D13" s="425"/>
      <c r="E13" s="425"/>
      <c r="F13" s="425"/>
      <c r="G13" s="73">
        <f>G14+G24</f>
        <v>233355300</v>
      </c>
      <c r="H13" s="74"/>
    </row>
    <row r="14" spans="1:8" s="12" customFormat="1" ht="21.75" customHeight="1">
      <c r="A14" s="212">
        <v>1</v>
      </c>
      <c r="B14" s="452" t="s">
        <v>2102</v>
      </c>
      <c r="C14" s="452"/>
      <c r="D14" s="452"/>
      <c r="E14" s="213"/>
      <c r="F14" s="214"/>
      <c r="G14" s="215">
        <f>SUM(G16:G23)</f>
        <v>59631000.000000015</v>
      </c>
      <c r="H14" s="216"/>
    </row>
    <row r="15" spans="1:8" s="12" customFormat="1" ht="21.75" customHeight="1">
      <c r="A15" s="212" t="s">
        <v>2103</v>
      </c>
      <c r="B15" s="217" t="s">
        <v>2104</v>
      </c>
      <c r="C15" s="218"/>
      <c r="D15" s="218"/>
      <c r="E15" s="213"/>
      <c r="F15" s="214"/>
      <c r="G15" s="215"/>
      <c r="H15" s="216"/>
    </row>
    <row r="16" spans="1:8" s="131" customFormat="1" ht="46.8">
      <c r="A16" s="123"/>
      <c r="B16" s="124" t="s">
        <v>2105</v>
      </c>
      <c r="C16" s="125" t="s">
        <v>1753</v>
      </c>
      <c r="D16" s="126">
        <v>65.8</v>
      </c>
      <c r="E16" s="127">
        <v>75000</v>
      </c>
      <c r="F16" s="128">
        <v>1</v>
      </c>
      <c r="G16" s="129">
        <f>D16*E16*F16</f>
        <v>4935000</v>
      </c>
      <c r="H16" s="130"/>
    </row>
    <row r="17" spans="1:9" s="131" customFormat="1" ht="15.6">
      <c r="A17" s="123" t="s">
        <v>2106</v>
      </c>
      <c r="B17" s="217" t="s">
        <v>2107</v>
      </c>
      <c r="C17" s="125"/>
      <c r="D17" s="126"/>
      <c r="E17" s="127"/>
      <c r="F17" s="128"/>
      <c r="G17" s="129"/>
      <c r="H17" s="130"/>
    </row>
    <row r="18" spans="1:9" s="131" customFormat="1" ht="46.8">
      <c r="A18" s="123"/>
      <c r="B18" s="124" t="s">
        <v>2108</v>
      </c>
      <c r="C18" s="125" t="s">
        <v>1753</v>
      </c>
      <c r="D18" s="126">
        <v>37.299999999999997</v>
      </c>
      <c r="E18" s="127">
        <v>80000</v>
      </c>
      <c r="F18" s="128">
        <v>1</v>
      </c>
      <c r="G18" s="129">
        <f>D18*E18*F18</f>
        <v>2984000</v>
      </c>
      <c r="H18" s="130"/>
    </row>
    <row r="19" spans="1:9" s="131" customFormat="1" ht="15.6">
      <c r="A19" s="123" t="s">
        <v>2109</v>
      </c>
      <c r="B19" s="217" t="s">
        <v>2110</v>
      </c>
      <c r="C19" s="125"/>
      <c r="D19" s="126"/>
      <c r="E19" s="127"/>
      <c r="F19" s="128"/>
      <c r="G19" s="129"/>
      <c r="H19" s="130"/>
    </row>
    <row r="20" spans="1:9" s="131" customFormat="1" ht="46.8">
      <c r="A20" s="123"/>
      <c r="B20" s="124" t="s">
        <v>2108</v>
      </c>
      <c r="C20" s="125" t="s">
        <v>1753</v>
      </c>
      <c r="D20" s="126">
        <v>236.5</v>
      </c>
      <c r="E20" s="127">
        <v>80000</v>
      </c>
      <c r="F20" s="128">
        <v>1</v>
      </c>
      <c r="G20" s="129">
        <f>D20*E20*F20</f>
        <v>18920000</v>
      </c>
      <c r="H20" s="130"/>
    </row>
    <row r="21" spans="1:9" s="131" customFormat="1" ht="15.6">
      <c r="A21" s="123" t="s">
        <v>2111</v>
      </c>
      <c r="B21" s="217" t="s">
        <v>2112</v>
      </c>
      <c r="C21" s="125"/>
      <c r="D21" s="126"/>
      <c r="E21" s="127"/>
      <c r="F21" s="128"/>
      <c r="G21" s="129"/>
      <c r="H21" s="130"/>
    </row>
    <row r="22" spans="1:9" s="131" customFormat="1" ht="46.8">
      <c r="A22" s="123" t="s">
        <v>2113</v>
      </c>
      <c r="B22" s="124" t="s">
        <v>2108</v>
      </c>
      <c r="C22" s="125" t="s">
        <v>1753</v>
      </c>
      <c r="D22" s="126">
        <v>55.9</v>
      </c>
      <c r="E22" s="127">
        <v>80000</v>
      </c>
      <c r="F22" s="128">
        <v>1</v>
      </c>
      <c r="G22" s="129">
        <f>D22*E22*F22</f>
        <v>4472000</v>
      </c>
      <c r="H22" s="130"/>
    </row>
    <row r="23" spans="1:9" s="131" customFormat="1" ht="171.6">
      <c r="A23" s="123" t="s">
        <v>2114</v>
      </c>
      <c r="B23" s="124" t="s">
        <v>2115</v>
      </c>
      <c r="C23" s="125" t="s">
        <v>1753</v>
      </c>
      <c r="D23" s="126">
        <f>67.9-D22</f>
        <v>12.000000000000007</v>
      </c>
      <c r="E23" s="127">
        <v>11800000</v>
      </c>
      <c r="F23" s="188">
        <v>0.2</v>
      </c>
      <c r="G23" s="129">
        <f>D23*E23*F23</f>
        <v>28320000.000000019</v>
      </c>
      <c r="H23" s="130"/>
    </row>
    <row r="24" spans="1:9" s="12" customFormat="1" ht="21.75" customHeight="1">
      <c r="A24" s="212">
        <v>2</v>
      </c>
      <c r="B24" s="219" t="s">
        <v>2116</v>
      </c>
      <c r="C24" s="220"/>
      <c r="D24" s="221"/>
      <c r="E24" s="222"/>
      <c r="F24" s="223"/>
      <c r="G24" s="224">
        <f>G25+G29+G30</f>
        <v>173724300</v>
      </c>
      <c r="H24" s="216"/>
    </row>
    <row r="25" spans="1:9" s="12" customFormat="1" ht="25.5" customHeight="1">
      <c r="A25" s="212" t="s">
        <v>2117</v>
      </c>
      <c r="B25" s="453" t="s">
        <v>2118</v>
      </c>
      <c r="C25" s="453"/>
      <c r="D25" s="453"/>
      <c r="E25" s="453"/>
      <c r="F25" s="453"/>
      <c r="G25" s="225">
        <f>SUM(G26:G27)</f>
        <v>156555000</v>
      </c>
      <c r="H25" s="96"/>
    </row>
    <row r="26" spans="1:9" s="12" customFormat="1" ht="31.2">
      <c r="A26" s="212" t="s">
        <v>2113</v>
      </c>
      <c r="B26" s="226" t="s">
        <v>2119</v>
      </c>
      <c r="C26" s="220" t="s">
        <v>2120</v>
      </c>
      <c r="D26" s="221">
        <f>D16</f>
        <v>65.8</v>
      </c>
      <c r="E26" s="222">
        <v>75000</v>
      </c>
      <c r="F26" s="223">
        <v>5</v>
      </c>
      <c r="G26" s="225">
        <f>D26*E26*F26</f>
        <v>24675000</v>
      </c>
      <c r="H26" s="216"/>
    </row>
    <row r="27" spans="1:9" s="12" customFormat="1" ht="31.2">
      <c r="A27" s="212" t="s">
        <v>2114</v>
      </c>
      <c r="B27" s="226" t="s">
        <v>2121</v>
      </c>
      <c r="C27" s="220" t="s">
        <v>2120</v>
      </c>
      <c r="D27" s="221">
        <f>D18+D20+D22</f>
        <v>329.7</v>
      </c>
      <c r="E27" s="222">
        <v>80000</v>
      </c>
      <c r="F27" s="223">
        <v>5</v>
      </c>
      <c r="G27" s="225">
        <f>D27*E27*F27</f>
        <v>131880000</v>
      </c>
      <c r="H27" s="216"/>
    </row>
    <row r="28" spans="1:9" s="229" customFormat="1" ht="204" customHeight="1">
      <c r="A28" s="454" t="s">
        <v>2122</v>
      </c>
      <c r="B28" s="456" t="s">
        <v>2123</v>
      </c>
      <c r="C28" s="227" t="s">
        <v>2124</v>
      </c>
      <c r="D28" s="227" t="s">
        <v>2125</v>
      </c>
      <c r="E28" s="228" t="s">
        <v>2126</v>
      </c>
      <c r="F28" s="227" t="s">
        <v>2127</v>
      </c>
      <c r="G28" s="227" t="s">
        <v>2128</v>
      </c>
      <c r="H28" s="227" t="s">
        <v>2129</v>
      </c>
    </row>
    <row r="29" spans="1:9" s="236" customFormat="1" ht="53.25" customHeight="1">
      <c r="A29" s="455"/>
      <c r="B29" s="457"/>
      <c r="C29" s="230">
        <v>6</v>
      </c>
      <c r="D29" s="231">
        <f>IF(H29&lt;30%,3,IF(H29&lt;70%,6,IF(H29&gt;70%,12,0)))</f>
        <v>3</v>
      </c>
      <c r="E29" s="232">
        <v>14400</v>
      </c>
      <c r="F29" s="233">
        <f>IF(H29&lt;30%,30,IF(H29&gt;30%,30))</f>
        <v>30</v>
      </c>
      <c r="G29" s="234">
        <f>C29*D29*E29*F29</f>
        <v>7776000</v>
      </c>
      <c r="H29" s="235">
        <f>(D26+D27)/(535+959+1536+1273)</f>
        <v>9.1912619102951426E-2</v>
      </c>
    </row>
    <row r="30" spans="1:9" s="229" customFormat="1" ht="96.6">
      <c r="A30" s="237" t="s">
        <v>2130</v>
      </c>
      <c r="B30" s="238" t="s">
        <v>2131</v>
      </c>
      <c r="C30" s="239"/>
      <c r="D30" s="240"/>
      <c r="E30" s="241"/>
      <c r="F30" s="242"/>
      <c r="G30" s="243">
        <f>SUM(G31:G32)</f>
        <v>9393300</v>
      </c>
      <c r="H30" s="244"/>
      <c r="I30" s="245"/>
    </row>
    <row r="31" spans="1:9" s="229" customFormat="1" ht="31.2">
      <c r="A31" s="237" t="s">
        <v>2113</v>
      </c>
      <c r="B31" s="226" t="s">
        <v>2119</v>
      </c>
      <c r="C31" s="125" t="s">
        <v>1753</v>
      </c>
      <c r="D31" s="240">
        <f>D26</f>
        <v>65.8</v>
      </c>
      <c r="E31" s="241">
        <v>75000</v>
      </c>
      <c r="F31" s="242">
        <f>30%</f>
        <v>0.3</v>
      </c>
      <c r="G31" s="246">
        <f>D31*E31*F31</f>
        <v>1480500</v>
      </c>
      <c r="H31" s="244"/>
      <c r="I31" s="245"/>
    </row>
    <row r="32" spans="1:9" s="229" customFormat="1" ht="31.2">
      <c r="A32" s="237" t="s">
        <v>2114</v>
      </c>
      <c r="B32" s="226" t="s">
        <v>2121</v>
      </c>
      <c r="C32" s="125" t="s">
        <v>1753</v>
      </c>
      <c r="D32" s="240">
        <f>D27</f>
        <v>329.7</v>
      </c>
      <c r="E32" s="241">
        <v>80000</v>
      </c>
      <c r="F32" s="242">
        <f>30%</f>
        <v>0.3</v>
      </c>
      <c r="G32" s="246">
        <f>D32*E32*F32</f>
        <v>7912800</v>
      </c>
      <c r="H32" s="244"/>
      <c r="I32" s="245"/>
    </row>
    <row r="33" spans="1:8" ht="27" customHeight="1">
      <c r="A33" s="75" t="s">
        <v>18</v>
      </c>
      <c r="B33" s="426" t="s">
        <v>1725</v>
      </c>
      <c r="C33" s="426"/>
      <c r="D33" s="426"/>
      <c r="E33" s="426"/>
      <c r="F33" s="426"/>
      <c r="G33" s="76">
        <f>SUM(G34:G55)</f>
        <v>208735244.27403334</v>
      </c>
      <c r="H33" s="11"/>
    </row>
    <row r="34" spans="1:8" ht="27" customHeight="1">
      <c r="A34" s="75"/>
      <c r="B34" s="201" t="s">
        <v>2132</v>
      </c>
      <c r="C34" s="201"/>
      <c r="D34" s="201"/>
      <c r="E34" s="201"/>
      <c r="F34" s="201"/>
      <c r="G34" s="76"/>
      <c r="H34" s="11"/>
    </row>
    <row r="35" spans="1:8" ht="30.6" customHeight="1">
      <c r="A35" s="77">
        <v>1</v>
      </c>
      <c r="B35" s="78" t="s">
        <v>2133</v>
      </c>
      <c r="C35" s="14" t="s">
        <v>1754</v>
      </c>
      <c r="D35" s="132">
        <f>7*1.5*0.22</f>
        <v>2.31</v>
      </c>
      <c r="E35" s="15">
        <v>1919493</v>
      </c>
      <c r="F35" s="14">
        <v>1</v>
      </c>
      <c r="G35" s="79">
        <f>D35*E35*F35</f>
        <v>4434028.83</v>
      </c>
      <c r="H35" s="15"/>
    </row>
    <row r="36" spans="1:8" ht="30.6" customHeight="1">
      <c r="A36" s="77"/>
      <c r="B36" s="78" t="s">
        <v>2134</v>
      </c>
      <c r="C36" s="14" t="s">
        <v>66</v>
      </c>
      <c r="D36" s="132">
        <f>7*1.5</f>
        <v>10.5</v>
      </c>
      <c r="E36" s="15">
        <v>141099</v>
      </c>
      <c r="F36" s="14">
        <v>1</v>
      </c>
      <c r="G36" s="79">
        <f t="shared" ref="G36:G43" si="0">D36*E36*F36</f>
        <v>1481539.5</v>
      </c>
      <c r="H36" s="15"/>
    </row>
    <row r="37" spans="1:8" ht="30.6" customHeight="1">
      <c r="A37" s="77">
        <v>2</v>
      </c>
      <c r="B37" s="78" t="s">
        <v>2135</v>
      </c>
      <c r="C37" s="14" t="s">
        <v>66</v>
      </c>
      <c r="D37" s="132">
        <f>7*0.7</f>
        <v>4.8999999999999995</v>
      </c>
      <c r="E37" s="15">
        <v>550000</v>
      </c>
      <c r="F37" s="14">
        <v>1</v>
      </c>
      <c r="G37" s="79">
        <f t="shared" si="0"/>
        <v>2694999.9999999995</v>
      </c>
      <c r="H37" s="15"/>
    </row>
    <row r="38" spans="1:8" ht="30.6" customHeight="1">
      <c r="A38" s="77">
        <v>3</v>
      </c>
      <c r="B38" s="78" t="s">
        <v>2136</v>
      </c>
      <c r="C38" s="14" t="s">
        <v>1754</v>
      </c>
      <c r="D38" s="132">
        <f>2.6*10.8*0.2</f>
        <v>5.6160000000000005</v>
      </c>
      <c r="E38" s="15">
        <v>1629758</v>
      </c>
      <c r="F38" s="187">
        <v>0.2</v>
      </c>
      <c r="G38" s="79">
        <f t="shared" si="0"/>
        <v>1830544.1856000004</v>
      </c>
      <c r="H38" s="15"/>
    </row>
    <row r="39" spans="1:8" ht="62.4">
      <c r="A39" s="77">
        <v>4</v>
      </c>
      <c r="B39" s="78" t="s">
        <v>2137</v>
      </c>
      <c r="C39" s="14" t="s">
        <v>66</v>
      </c>
      <c r="D39" s="132">
        <f>2.4*3.5</f>
        <v>8.4</v>
      </c>
      <c r="E39" s="15">
        <v>1816290</v>
      </c>
      <c r="F39" s="14">
        <v>1</v>
      </c>
      <c r="G39" s="79">
        <f t="shared" si="0"/>
        <v>15256836</v>
      </c>
      <c r="H39" s="15"/>
    </row>
    <row r="40" spans="1:8" ht="30.6" customHeight="1">
      <c r="A40" s="77">
        <v>5</v>
      </c>
      <c r="B40" s="78" t="s">
        <v>2138</v>
      </c>
      <c r="C40" s="14" t="s">
        <v>1754</v>
      </c>
      <c r="D40" s="132">
        <f>16*1.2*0.33</f>
        <v>6.3360000000000003</v>
      </c>
      <c r="E40" s="15">
        <v>1081965</v>
      </c>
      <c r="F40" s="187">
        <v>0.2</v>
      </c>
      <c r="G40" s="79">
        <f t="shared" si="0"/>
        <v>1371066.0480000002</v>
      </c>
      <c r="H40" s="15"/>
    </row>
    <row r="41" spans="1:8" ht="30.6" customHeight="1">
      <c r="A41" s="77">
        <v>6</v>
      </c>
      <c r="B41" s="78" t="s">
        <v>2139</v>
      </c>
      <c r="C41" s="14" t="s">
        <v>1754</v>
      </c>
      <c r="D41" s="132">
        <f>10*2.2*0.11</f>
        <v>2.42</v>
      </c>
      <c r="E41" s="15">
        <v>1081965</v>
      </c>
      <c r="F41" s="187">
        <v>0.2</v>
      </c>
      <c r="G41" s="79">
        <f t="shared" si="0"/>
        <v>523671.06</v>
      </c>
      <c r="H41" s="15"/>
    </row>
    <row r="42" spans="1:8" ht="30.6" customHeight="1">
      <c r="A42" s="77">
        <v>7</v>
      </c>
      <c r="B42" s="78" t="s">
        <v>2140</v>
      </c>
      <c r="C42" s="14" t="s">
        <v>1754</v>
      </c>
      <c r="D42" s="132">
        <f>0.15*0.15*4</f>
        <v>0.09</v>
      </c>
      <c r="E42" s="15">
        <v>7050138</v>
      </c>
      <c r="F42" s="187">
        <v>1</v>
      </c>
      <c r="G42" s="79">
        <f t="shared" si="0"/>
        <v>634512.41999999993</v>
      </c>
      <c r="H42" s="15"/>
    </row>
    <row r="43" spans="1:8" ht="30.6" customHeight="1">
      <c r="A43" s="77">
        <v>8</v>
      </c>
      <c r="B43" s="78" t="s">
        <v>2141</v>
      </c>
      <c r="C43" s="14" t="s">
        <v>1754</v>
      </c>
      <c r="D43" s="132">
        <f>0.4*0.4*0.05</f>
        <v>8.0000000000000019E-3</v>
      </c>
      <c r="E43" s="15">
        <v>5710896</v>
      </c>
      <c r="F43" s="187">
        <v>0.2</v>
      </c>
      <c r="G43" s="79">
        <f t="shared" si="0"/>
        <v>9137.4336000000021</v>
      </c>
      <c r="H43" s="15"/>
    </row>
    <row r="44" spans="1:8" ht="27" customHeight="1">
      <c r="A44" s="75"/>
      <c r="B44" s="201" t="s">
        <v>2142</v>
      </c>
      <c r="C44" s="247"/>
      <c r="D44" s="248"/>
      <c r="E44" s="11"/>
      <c r="F44" s="201"/>
      <c r="G44" s="76"/>
      <c r="H44" s="11"/>
    </row>
    <row r="45" spans="1:8" ht="30.6" customHeight="1">
      <c r="A45" s="77">
        <v>1</v>
      </c>
      <c r="B45" s="78" t="s">
        <v>2143</v>
      </c>
      <c r="C45" s="14" t="s">
        <v>1754</v>
      </c>
      <c r="D45" s="132">
        <f>((13*1.5)+(6*1.5)+(40*1.5))*0.11</f>
        <v>9.7349999999999994</v>
      </c>
      <c r="E45" s="15">
        <v>1081965</v>
      </c>
      <c r="F45" s="14">
        <v>1</v>
      </c>
      <c r="G45" s="79">
        <f>D45*E45*F45</f>
        <v>10532929.274999999</v>
      </c>
      <c r="H45" s="15"/>
    </row>
    <row r="46" spans="1:8" ht="30.6" customHeight="1">
      <c r="A46" s="77">
        <v>2</v>
      </c>
      <c r="B46" s="78" t="s">
        <v>2144</v>
      </c>
      <c r="C46" s="14" t="s">
        <v>1754</v>
      </c>
      <c r="D46" s="132">
        <f>50*1.5*0.11</f>
        <v>8.25</v>
      </c>
      <c r="E46" s="15">
        <v>2126713</v>
      </c>
      <c r="F46" s="14">
        <v>1</v>
      </c>
      <c r="G46" s="79">
        <f>D46*E46*F46</f>
        <v>17545382.25</v>
      </c>
      <c r="H46" s="15"/>
    </row>
    <row r="47" spans="1:8" ht="30.6" customHeight="1">
      <c r="A47" s="77">
        <v>3</v>
      </c>
      <c r="B47" s="78" t="s">
        <v>2145</v>
      </c>
      <c r="C47" s="14" t="s">
        <v>1754</v>
      </c>
      <c r="D47" s="132">
        <f>0.5*0.9*103</f>
        <v>46.35</v>
      </c>
      <c r="E47" s="15">
        <v>1081965</v>
      </c>
      <c r="F47" s="14">
        <v>1</v>
      </c>
      <c r="G47" s="79">
        <f>D47*E47*F47</f>
        <v>50149077.75</v>
      </c>
      <c r="H47" s="15"/>
    </row>
    <row r="48" spans="1:8" ht="33.6">
      <c r="A48" s="75"/>
      <c r="B48" s="201" t="s">
        <v>2146</v>
      </c>
      <c r="C48" s="247"/>
      <c r="D48" s="248"/>
      <c r="E48" s="11"/>
      <c r="F48" s="201"/>
      <c r="G48" s="76"/>
      <c r="H48" s="11"/>
    </row>
    <row r="49" spans="1:8" ht="30.6" customHeight="1">
      <c r="A49" s="77">
        <v>1</v>
      </c>
      <c r="B49" s="78" t="s">
        <v>2147</v>
      </c>
      <c r="C49" s="14" t="s">
        <v>1754</v>
      </c>
      <c r="D49" s="132">
        <f>0.15*0.15*1.2*4</f>
        <v>0.108</v>
      </c>
      <c r="E49" s="15">
        <v>7050138</v>
      </c>
      <c r="F49" s="14">
        <v>1</v>
      </c>
      <c r="G49" s="79">
        <f t="shared" ref="G49:G55" si="1">D49*E49*F49</f>
        <v>761414.90399999998</v>
      </c>
      <c r="H49" s="15"/>
    </row>
    <row r="50" spans="1:8" ht="30.6" customHeight="1">
      <c r="A50" s="77">
        <v>2</v>
      </c>
      <c r="B50" s="78" t="s">
        <v>2148</v>
      </c>
      <c r="C50" s="14" t="s">
        <v>1754</v>
      </c>
      <c r="D50" s="132">
        <f>50*1.7*0.11</f>
        <v>9.35</v>
      </c>
      <c r="E50" s="15">
        <v>1081965</v>
      </c>
      <c r="F50" s="14">
        <v>1</v>
      </c>
      <c r="G50" s="79">
        <f t="shared" si="1"/>
        <v>10116372.75</v>
      </c>
      <c r="H50" s="15"/>
    </row>
    <row r="51" spans="1:8" ht="30.6" customHeight="1">
      <c r="A51" s="77">
        <v>3</v>
      </c>
      <c r="B51" s="78" t="s">
        <v>2149</v>
      </c>
      <c r="C51" s="14" t="s">
        <v>1754</v>
      </c>
      <c r="D51" s="132">
        <f>0.5*0.9*50</f>
        <v>22.5</v>
      </c>
      <c r="E51" s="15">
        <v>1081965</v>
      </c>
      <c r="F51" s="14">
        <v>1</v>
      </c>
      <c r="G51" s="79">
        <f t="shared" si="1"/>
        <v>24344212.5</v>
      </c>
      <c r="H51" s="15"/>
    </row>
    <row r="52" spans="1:8" ht="30.6" customHeight="1">
      <c r="A52" s="77"/>
      <c r="B52" s="78" t="s">
        <v>2150</v>
      </c>
      <c r="C52" s="14" t="s">
        <v>1754</v>
      </c>
      <c r="D52" s="132">
        <f>0.3*0.5*50</f>
        <v>7.5</v>
      </c>
      <c r="E52" s="15">
        <v>8244016</v>
      </c>
      <c r="F52" s="14">
        <v>1</v>
      </c>
      <c r="G52" s="79">
        <f t="shared" si="1"/>
        <v>61830120</v>
      </c>
      <c r="H52" s="15"/>
    </row>
    <row r="53" spans="1:8" ht="30.6" customHeight="1">
      <c r="A53" s="77">
        <v>4</v>
      </c>
      <c r="B53" s="78" t="s">
        <v>2151</v>
      </c>
      <c r="C53" s="14" t="s">
        <v>1754</v>
      </c>
      <c r="D53" s="132">
        <f>0.15*0.15*1.7*17</f>
        <v>0.65024999999999999</v>
      </c>
      <c r="E53" s="15">
        <v>7050138</v>
      </c>
      <c r="F53" s="14">
        <v>1</v>
      </c>
      <c r="G53" s="79">
        <f t="shared" si="1"/>
        <v>4584352.2345000003</v>
      </c>
      <c r="H53" s="15"/>
    </row>
    <row r="54" spans="1:8" ht="30.6" customHeight="1">
      <c r="A54" s="77">
        <v>5</v>
      </c>
      <c r="B54" s="78" t="s">
        <v>2152</v>
      </c>
      <c r="C54" s="14" t="s">
        <v>66</v>
      </c>
      <c r="D54" s="132">
        <f>2*0.9</f>
        <v>1.8</v>
      </c>
      <c r="E54" s="15">
        <v>321701</v>
      </c>
      <c r="F54" s="14">
        <v>1</v>
      </c>
      <c r="G54" s="79">
        <f t="shared" si="1"/>
        <v>579061.80000000005</v>
      </c>
      <c r="H54" s="15"/>
    </row>
    <row r="55" spans="1:8" ht="46.8">
      <c r="A55" s="77">
        <v>6</v>
      </c>
      <c r="B55" s="78" t="s">
        <v>2153</v>
      </c>
      <c r="C55" s="14" t="s">
        <v>1755</v>
      </c>
      <c r="D55" s="132">
        <f>(8.44/6)*2</f>
        <v>2.813333333333333</v>
      </c>
      <c r="E55" s="15">
        <v>19900</v>
      </c>
      <c r="F55" s="14">
        <v>1</v>
      </c>
      <c r="G55" s="79">
        <f t="shared" si="1"/>
        <v>55985.333333333328</v>
      </c>
      <c r="H55" s="15"/>
    </row>
    <row r="56" spans="1:8" ht="24" customHeight="1">
      <c r="A56" s="75" t="s">
        <v>19</v>
      </c>
      <c r="B56" s="426" t="s">
        <v>1727</v>
      </c>
      <c r="C56" s="426"/>
      <c r="D56" s="426"/>
      <c r="E56" s="426"/>
      <c r="F56" s="426"/>
      <c r="G56" s="76">
        <f>SUM(G58:G95)</f>
        <v>111894500</v>
      </c>
      <c r="H56" s="11"/>
    </row>
    <row r="57" spans="1:8" ht="24" customHeight="1">
      <c r="A57" s="75"/>
      <c r="B57" s="201" t="s">
        <v>2154</v>
      </c>
      <c r="C57" s="201"/>
      <c r="D57" s="201"/>
      <c r="E57" s="201"/>
      <c r="F57" s="201"/>
      <c r="G57" s="76"/>
      <c r="H57" s="11"/>
    </row>
    <row r="58" spans="1:8" s="12" customFormat="1" ht="34.200000000000003" customHeight="1">
      <c r="A58" s="94">
        <v>1</v>
      </c>
      <c r="B58" s="47" t="s">
        <v>1721</v>
      </c>
      <c r="C58" s="14" t="s">
        <v>2155</v>
      </c>
      <c r="D58" s="14">
        <v>3</v>
      </c>
      <c r="E58" s="79" t="str">
        <f>VLOOKUP(B58,'[20]Đơn giá cây cối'!$A$2:$C$1361,3,0)</f>
        <v>200.000</v>
      </c>
      <c r="F58" s="14">
        <v>1</v>
      </c>
      <c r="G58" s="79">
        <f t="shared" ref="G58:G95" si="2">D58*E58*F58</f>
        <v>600000</v>
      </c>
      <c r="H58" s="95"/>
    </row>
    <row r="59" spans="1:8" s="12" customFormat="1" ht="34.200000000000003" customHeight="1">
      <c r="A59" s="94">
        <v>2</v>
      </c>
      <c r="B59" s="13" t="s">
        <v>375</v>
      </c>
      <c r="C59" s="14" t="s">
        <v>1724</v>
      </c>
      <c r="D59" s="14">
        <v>1</v>
      </c>
      <c r="E59" s="79" t="str">
        <f>VLOOKUP(B59,'[20]Đơn giá cây cối'!$A$2:$C$1361,3,0)</f>
        <v>3.733.000</v>
      </c>
      <c r="F59" s="14">
        <v>1</v>
      </c>
      <c r="G59" s="79">
        <f t="shared" si="2"/>
        <v>3733000</v>
      </c>
      <c r="H59" s="95"/>
    </row>
    <row r="60" spans="1:8" s="12" customFormat="1" ht="34.200000000000003" customHeight="1">
      <c r="A60" s="94">
        <v>3</v>
      </c>
      <c r="B60" s="13" t="s">
        <v>369</v>
      </c>
      <c r="C60" s="14" t="s">
        <v>1724</v>
      </c>
      <c r="D60" s="14">
        <v>7</v>
      </c>
      <c r="E60" s="79" t="str">
        <f>VLOOKUP(B60,'[20]Đơn giá cây cối'!$A$2:$C$1361,3,0)</f>
        <v>1.493.000</v>
      </c>
      <c r="F60" s="14">
        <v>1</v>
      </c>
      <c r="G60" s="79">
        <f t="shared" si="2"/>
        <v>10451000</v>
      </c>
      <c r="H60" s="95"/>
    </row>
    <row r="61" spans="1:8" s="12" customFormat="1" ht="34.200000000000003" customHeight="1">
      <c r="A61" s="94">
        <v>4</v>
      </c>
      <c r="B61" s="13" t="s">
        <v>805</v>
      </c>
      <c r="C61" s="14" t="s">
        <v>1724</v>
      </c>
      <c r="D61" s="14">
        <v>7</v>
      </c>
      <c r="E61" s="79" t="str">
        <f>VLOOKUP(B61,'[20]Đơn giá cây cối'!$A$2:$C$1361,3,0)</f>
        <v>311.000</v>
      </c>
      <c r="F61" s="14">
        <v>1</v>
      </c>
      <c r="G61" s="79">
        <f t="shared" si="2"/>
        <v>2177000</v>
      </c>
      <c r="H61" s="95"/>
    </row>
    <row r="62" spans="1:8" s="12" customFormat="1" ht="34.200000000000003" customHeight="1">
      <c r="A62" s="94">
        <v>5</v>
      </c>
      <c r="B62" s="13" t="s">
        <v>804</v>
      </c>
      <c r="C62" s="14" t="s">
        <v>1724</v>
      </c>
      <c r="D62" s="14">
        <v>3</v>
      </c>
      <c r="E62" s="79" t="str">
        <f>VLOOKUP(B62,'[20]Đơn giá cây cối'!$A$2:$C$1361,3,0)</f>
        <v>149.000</v>
      </c>
      <c r="F62" s="14">
        <v>1</v>
      </c>
      <c r="G62" s="79">
        <f t="shared" si="2"/>
        <v>447000</v>
      </c>
      <c r="H62" s="95"/>
    </row>
    <row r="63" spans="1:8" s="12" customFormat="1" ht="34.200000000000003" customHeight="1">
      <c r="A63" s="94">
        <v>6</v>
      </c>
      <c r="B63" s="13" t="s">
        <v>26</v>
      </c>
      <c r="C63" s="14" t="s">
        <v>66</v>
      </c>
      <c r="D63" s="14">
        <v>10</v>
      </c>
      <c r="E63" s="79">
        <f>VLOOKUP(B63,'[20]Đơn giá cây cối'!$A$2:$C$1361,3,0)</f>
        <v>11000</v>
      </c>
      <c r="F63" s="14">
        <v>1</v>
      </c>
      <c r="G63" s="79">
        <f t="shared" si="2"/>
        <v>110000</v>
      </c>
      <c r="H63" s="95"/>
    </row>
    <row r="64" spans="1:8" s="12" customFormat="1" ht="46.8">
      <c r="A64" s="94">
        <v>7</v>
      </c>
      <c r="B64" s="42" t="s">
        <v>1534</v>
      </c>
      <c r="C64" s="14" t="s">
        <v>1724</v>
      </c>
      <c r="D64" s="14">
        <v>1</v>
      </c>
      <c r="E64" s="79" t="str">
        <f>VLOOKUP(B64,'[20]Đơn giá cây cối'!$A$2:$C$1361,3,0)</f>
        <v>70.000</v>
      </c>
      <c r="F64" s="14">
        <v>1</v>
      </c>
      <c r="G64" s="79">
        <f t="shared" si="2"/>
        <v>70000</v>
      </c>
      <c r="H64" s="95"/>
    </row>
    <row r="65" spans="1:8" ht="24" customHeight="1">
      <c r="A65" s="75"/>
      <c r="B65" s="249" t="s">
        <v>2156</v>
      </c>
      <c r="C65" s="14"/>
      <c r="D65" s="201"/>
      <c r="E65" s="79"/>
      <c r="F65" s="201"/>
      <c r="G65" s="79"/>
      <c r="H65" s="11"/>
    </row>
    <row r="66" spans="1:8" s="12" customFormat="1" ht="31.2">
      <c r="A66" s="94">
        <v>1</v>
      </c>
      <c r="B66" s="42" t="s">
        <v>819</v>
      </c>
      <c r="C66" s="14" t="s">
        <v>1724</v>
      </c>
      <c r="D66" s="14">
        <v>3</v>
      </c>
      <c r="E66" s="79" t="str">
        <f>VLOOKUP(B66,'[20]Đơn giá cây cối'!$A$2:$C$1361,3,0)</f>
        <v>933.000</v>
      </c>
      <c r="F66" s="14">
        <v>1</v>
      </c>
      <c r="G66" s="79">
        <f t="shared" si="2"/>
        <v>2799000</v>
      </c>
      <c r="H66" s="95"/>
    </row>
    <row r="67" spans="1:8" s="12" customFormat="1" ht="31.2">
      <c r="A67" s="94">
        <v>2</v>
      </c>
      <c r="B67" s="42" t="s">
        <v>820</v>
      </c>
      <c r="C67" s="14" t="s">
        <v>1724</v>
      </c>
      <c r="D67" s="14">
        <v>4</v>
      </c>
      <c r="E67" s="79" t="str">
        <f>VLOOKUP(B67,'[20]Đơn giá cây cối'!$A$2:$C$1361,3,0)</f>
        <v>1.555.000</v>
      </c>
      <c r="F67" s="14">
        <v>1</v>
      </c>
      <c r="G67" s="79">
        <f t="shared" si="2"/>
        <v>6220000</v>
      </c>
      <c r="H67" s="95"/>
    </row>
    <row r="68" spans="1:8" s="12" customFormat="1" ht="31.2">
      <c r="A68" s="94">
        <v>3</v>
      </c>
      <c r="B68" s="42" t="s">
        <v>816</v>
      </c>
      <c r="C68" s="14" t="s">
        <v>1724</v>
      </c>
      <c r="D68" s="14">
        <v>4</v>
      </c>
      <c r="E68" s="79" t="str">
        <f>VLOOKUP(B68,'[20]Đơn giá cây cối'!$A$2:$C$1361,3,0)</f>
        <v>2.737.000</v>
      </c>
      <c r="F68" s="14">
        <v>1</v>
      </c>
      <c r="G68" s="79">
        <f t="shared" si="2"/>
        <v>10948000</v>
      </c>
      <c r="H68" s="95"/>
    </row>
    <row r="69" spans="1:8" s="12" customFormat="1" ht="18.600000000000001">
      <c r="A69" s="94">
        <v>4</v>
      </c>
      <c r="B69" s="250" t="s">
        <v>2157</v>
      </c>
      <c r="C69" s="14" t="s">
        <v>66</v>
      </c>
      <c r="D69" s="14">
        <v>30</v>
      </c>
      <c r="E69" s="79" t="str">
        <f>VLOOKUP(B69,'[20]Đơn giá cây cối'!$A$2:$C$1361,3,0)</f>
        <v>20.000</v>
      </c>
      <c r="F69" s="14">
        <v>1</v>
      </c>
      <c r="G69" s="79">
        <f t="shared" si="2"/>
        <v>600000</v>
      </c>
      <c r="H69" s="95"/>
    </row>
    <row r="70" spans="1:8" s="12" customFormat="1" ht="31.2">
      <c r="A70" s="94">
        <v>5</v>
      </c>
      <c r="B70" s="42" t="s">
        <v>368</v>
      </c>
      <c r="C70" s="14" t="s">
        <v>1724</v>
      </c>
      <c r="D70" s="14">
        <v>10</v>
      </c>
      <c r="E70" s="79" t="str">
        <f>VLOOKUP(B70,'[20]Đơn giá cây cối'!$A$2:$C$1361,3,0)</f>
        <v>398.000</v>
      </c>
      <c r="F70" s="14">
        <v>1</v>
      </c>
      <c r="G70" s="79">
        <f t="shared" si="2"/>
        <v>3980000</v>
      </c>
      <c r="H70" s="95"/>
    </row>
    <row r="71" spans="1:8" s="12" customFormat="1" ht="31.2">
      <c r="A71" s="94">
        <v>6</v>
      </c>
      <c r="B71" s="42" t="s">
        <v>805</v>
      </c>
      <c r="C71" s="14" t="s">
        <v>1724</v>
      </c>
      <c r="D71" s="14">
        <v>2</v>
      </c>
      <c r="E71" s="79" t="str">
        <f>VLOOKUP(B71,'[20]Đơn giá cây cối'!$A$2:$C$1361,3,0)</f>
        <v>311.000</v>
      </c>
      <c r="F71" s="14">
        <v>1</v>
      </c>
      <c r="G71" s="79">
        <f t="shared" si="2"/>
        <v>622000</v>
      </c>
      <c r="H71" s="95"/>
    </row>
    <row r="72" spans="1:8" s="12" customFormat="1" ht="31.2">
      <c r="A72" s="94">
        <v>7</v>
      </c>
      <c r="B72" s="42" t="s">
        <v>369</v>
      </c>
      <c r="C72" s="14" t="s">
        <v>1724</v>
      </c>
      <c r="D72" s="14">
        <v>2</v>
      </c>
      <c r="E72" s="79" t="str">
        <f>VLOOKUP(B72,'[20]Đơn giá cây cối'!$A$2:$C$1361,3,0)</f>
        <v>1.493.000</v>
      </c>
      <c r="F72" s="14">
        <v>1</v>
      </c>
      <c r="G72" s="79">
        <f t="shared" si="2"/>
        <v>2986000</v>
      </c>
      <c r="H72" s="95"/>
    </row>
    <row r="73" spans="1:8" s="12" customFormat="1" ht="46.8">
      <c r="A73" s="94">
        <v>8</v>
      </c>
      <c r="B73" s="42" t="s">
        <v>1111</v>
      </c>
      <c r="C73" s="14" t="s">
        <v>1724</v>
      </c>
      <c r="D73" s="14">
        <v>1</v>
      </c>
      <c r="E73" s="79" t="str">
        <f>VLOOKUP(B73,'[20]Đơn giá cây cối'!$A$2:$C$1361,3,0)</f>
        <v>150.000</v>
      </c>
      <c r="F73" s="14">
        <v>1</v>
      </c>
      <c r="G73" s="79">
        <f t="shared" si="2"/>
        <v>150000</v>
      </c>
      <c r="H73" s="95"/>
    </row>
    <row r="74" spans="1:8" s="12" customFormat="1" ht="15.6">
      <c r="A74" s="94">
        <v>9</v>
      </c>
      <c r="B74" s="42" t="s">
        <v>847</v>
      </c>
      <c r="C74" s="14" t="s">
        <v>1724</v>
      </c>
      <c r="D74" s="14">
        <v>1</v>
      </c>
      <c r="E74" s="79" t="str">
        <f>VLOOKUP(B74,'[20]Đơn giá cây cối'!$A$2:$C$1361,3,0)</f>
        <v>3.981.000</v>
      </c>
      <c r="F74" s="14">
        <v>1</v>
      </c>
      <c r="G74" s="79">
        <f t="shared" si="2"/>
        <v>3981000</v>
      </c>
      <c r="H74" s="95"/>
    </row>
    <row r="75" spans="1:8" s="12" customFormat="1" ht="15.6">
      <c r="A75" s="94">
        <v>10</v>
      </c>
      <c r="B75" s="42" t="s">
        <v>804</v>
      </c>
      <c r="C75" s="14" t="s">
        <v>1724</v>
      </c>
      <c r="D75" s="14">
        <v>3</v>
      </c>
      <c r="E75" s="79" t="str">
        <f>VLOOKUP(B75,'[20]Đơn giá cây cối'!$A$2:$C$1361,3,0)</f>
        <v>149.000</v>
      </c>
      <c r="F75" s="14">
        <v>1</v>
      </c>
      <c r="G75" s="79">
        <f t="shared" si="2"/>
        <v>447000</v>
      </c>
      <c r="H75" s="95"/>
    </row>
    <row r="76" spans="1:8" s="12" customFormat="1" ht="31.2">
      <c r="A76" s="94">
        <v>11</v>
      </c>
      <c r="B76" s="42" t="s">
        <v>806</v>
      </c>
      <c r="C76" s="14" t="s">
        <v>1724</v>
      </c>
      <c r="D76" s="14">
        <v>4</v>
      </c>
      <c r="E76" s="79" t="str">
        <f>VLOOKUP(B76,'[20]Đơn giá cây cối'!$A$2:$C$1361,3,0)</f>
        <v>473.000</v>
      </c>
      <c r="F76" s="14">
        <v>1</v>
      </c>
      <c r="G76" s="79">
        <f t="shared" si="2"/>
        <v>1892000</v>
      </c>
      <c r="H76" s="95"/>
    </row>
    <row r="77" spans="1:8" s="12" customFormat="1" ht="31.2">
      <c r="A77" s="94">
        <v>12</v>
      </c>
      <c r="B77" s="42" t="s">
        <v>373</v>
      </c>
      <c r="C77" s="14" t="s">
        <v>1724</v>
      </c>
      <c r="D77" s="14">
        <v>3</v>
      </c>
      <c r="E77" s="79" t="str">
        <f>VLOOKUP(B77,'[20]Đơn giá cây cối'!$A$2:$C$1361,3,0)</f>
        <v>3.484.000</v>
      </c>
      <c r="F77" s="14">
        <v>1</v>
      </c>
      <c r="G77" s="79">
        <f t="shared" si="2"/>
        <v>10452000</v>
      </c>
      <c r="H77" s="95"/>
    </row>
    <row r="78" spans="1:8" s="12" customFormat="1" ht="15.6">
      <c r="A78" s="94">
        <v>13</v>
      </c>
      <c r="B78" s="42" t="s">
        <v>26</v>
      </c>
      <c r="C78" s="14" t="s">
        <v>66</v>
      </c>
      <c r="D78" s="14">
        <v>50</v>
      </c>
      <c r="E78" s="79">
        <f>VLOOKUP(B78,'[20]Đơn giá cây cối'!$A$2:$C$1361,3,0)</f>
        <v>11000</v>
      </c>
      <c r="F78" s="14">
        <v>1</v>
      </c>
      <c r="G78" s="79">
        <f t="shared" si="2"/>
        <v>550000</v>
      </c>
      <c r="H78" s="95"/>
    </row>
    <row r="79" spans="1:8" s="12" customFormat="1" ht="31.2">
      <c r="A79" s="94">
        <v>14</v>
      </c>
      <c r="B79" s="42" t="s">
        <v>262</v>
      </c>
      <c r="C79" s="14" t="s">
        <v>1724</v>
      </c>
      <c r="D79" s="14">
        <v>4</v>
      </c>
      <c r="E79" s="79">
        <f>VLOOKUP(B79,'[20]Đơn giá cây cối'!$A$2:$C$1361,3,0)</f>
        <v>100000</v>
      </c>
      <c r="F79" s="14">
        <v>1</v>
      </c>
      <c r="G79" s="79">
        <f t="shared" si="2"/>
        <v>400000</v>
      </c>
      <c r="H79" s="95"/>
    </row>
    <row r="80" spans="1:8" ht="24" customHeight="1">
      <c r="A80" s="75"/>
      <c r="B80" s="249" t="s">
        <v>2158</v>
      </c>
      <c r="C80" s="14"/>
      <c r="D80" s="201"/>
      <c r="E80" s="79"/>
      <c r="F80" s="201"/>
      <c r="G80" s="79"/>
      <c r="H80" s="11"/>
    </row>
    <row r="81" spans="1:8" s="12" customFormat="1" ht="31.2">
      <c r="A81" s="94">
        <v>1</v>
      </c>
      <c r="B81" s="42" t="s">
        <v>867</v>
      </c>
      <c r="C81" s="14" t="s">
        <v>1724</v>
      </c>
      <c r="D81" s="14">
        <v>3</v>
      </c>
      <c r="E81" s="79" t="str">
        <f>VLOOKUP(B81,'[20]Đơn giá cây cối'!$A$2:$C$1361,3,0)</f>
        <v>871.000</v>
      </c>
      <c r="F81" s="14">
        <v>1</v>
      </c>
      <c r="G81" s="79">
        <f t="shared" si="2"/>
        <v>2613000</v>
      </c>
      <c r="H81" s="95"/>
    </row>
    <row r="82" spans="1:8" s="12" customFormat="1" ht="31.2">
      <c r="A82" s="94">
        <v>2</v>
      </c>
      <c r="B82" s="42" t="s">
        <v>300</v>
      </c>
      <c r="C82" s="14" t="s">
        <v>1724</v>
      </c>
      <c r="D82" s="14">
        <v>10</v>
      </c>
      <c r="E82" s="79">
        <f>VLOOKUP(B82,'[20]Đơn giá cây cối'!$A$2:$C$1361,3,0)</f>
        <v>70000</v>
      </c>
      <c r="F82" s="14">
        <v>1</v>
      </c>
      <c r="G82" s="79">
        <f t="shared" si="2"/>
        <v>700000</v>
      </c>
      <c r="H82" s="95"/>
    </row>
    <row r="83" spans="1:8" s="12" customFormat="1" ht="31.2">
      <c r="A83" s="94">
        <v>3</v>
      </c>
      <c r="B83" s="42" t="s">
        <v>819</v>
      </c>
      <c r="C83" s="14" t="s">
        <v>1724</v>
      </c>
      <c r="D83" s="14">
        <v>1</v>
      </c>
      <c r="E83" s="79" t="str">
        <f>VLOOKUP(B83,'[20]Đơn giá cây cối'!$A$2:$C$1361,3,0)</f>
        <v>933.000</v>
      </c>
      <c r="F83" s="14">
        <v>1</v>
      </c>
      <c r="G83" s="79">
        <f t="shared" si="2"/>
        <v>933000</v>
      </c>
      <c r="H83" s="95"/>
    </row>
    <row r="84" spans="1:8" s="12" customFormat="1" ht="15.6">
      <c r="A84" s="94">
        <v>4</v>
      </c>
      <c r="B84" s="42" t="s">
        <v>301</v>
      </c>
      <c r="C84" s="14" t="s">
        <v>1724</v>
      </c>
      <c r="D84" s="14">
        <v>5</v>
      </c>
      <c r="E84" s="79">
        <f>VLOOKUP(B84,'[20]Đơn giá cây cối'!$A$2:$C$1361,3,0)</f>
        <v>200000</v>
      </c>
      <c r="F84" s="14">
        <v>1</v>
      </c>
      <c r="G84" s="79">
        <f t="shared" si="2"/>
        <v>1000000</v>
      </c>
      <c r="H84" s="95"/>
    </row>
    <row r="85" spans="1:8" s="12" customFormat="1" ht="31.2">
      <c r="A85" s="94">
        <v>5</v>
      </c>
      <c r="B85" s="42" t="s">
        <v>820</v>
      </c>
      <c r="C85" s="14" t="s">
        <v>1724</v>
      </c>
      <c r="D85" s="14">
        <v>1</v>
      </c>
      <c r="E85" s="79" t="str">
        <f>VLOOKUP(B85,'[20]Đơn giá cây cối'!$A$2:$C$1361,3,0)</f>
        <v>1.555.000</v>
      </c>
      <c r="F85" s="14">
        <v>1</v>
      </c>
      <c r="G85" s="79">
        <f t="shared" si="2"/>
        <v>1555000</v>
      </c>
      <c r="H85" s="95"/>
    </row>
    <row r="86" spans="1:8" s="12" customFormat="1" ht="18.600000000000001">
      <c r="A86" s="94">
        <v>6</v>
      </c>
      <c r="B86" s="250" t="s">
        <v>2157</v>
      </c>
      <c r="C86" s="14" t="s">
        <v>66</v>
      </c>
      <c r="D86" s="14">
        <v>20</v>
      </c>
      <c r="E86" s="79" t="str">
        <f>VLOOKUP(B86,'[20]Đơn giá cây cối'!$A$2:$C$1361,3,0)</f>
        <v>20.000</v>
      </c>
      <c r="F86" s="14">
        <v>1</v>
      </c>
      <c r="G86" s="79">
        <f t="shared" si="2"/>
        <v>400000</v>
      </c>
      <c r="H86" s="95"/>
    </row>
    <row r="87" spans="1:8" s="12" customFormat="1" ht="31.2">
      <c r="A87" s="94">
        <v>7</v>
      </c>
      <c r="B87" s="42" t="s">
        <v>373</v>
      </c>
      <c r="C87" s="14" t="s">
        <v>1724</v>
      </c>
      <c r="D87" s="14">
        <v>10</v>
      </c>
      <c r="E87" s="79" t="str">
        <f>VLOOKUP(B87,'[20]Đơn giá cây cối'!$A$2:$C$1361,3,0)</f>
        <v>3.484.000</v>
      </c>
      <c r="F87" s="14">
        <v>1</v>
      </c>
      <c r="G87" s="79">
        <f t="shared" si="2"/>
        <v>34840000</v>
      </c>
      <c r="H87" s="95"/>
    </row>
    <row r="88" spans="1:8" s="12" customFormat="1" ht="31.2">
      <c r="A88" s="94">
        <v>8</v>
      </c>
      <c r="B88" s="42" t="s">
        <v>806</v>
      </c>
      <c r="C88" s="14" t="s">
        <v>1724</v>
      </c>
      <c r="D88" s="14">
        <v>5</v>
      </c>
      <c r="E88" s="79" t="str">
        <f>VLOOKUP(B88,'[20]Đơn giá cây cối'!$A$2:$C$1361,3,0)</f>
        <v>473.000</v>
      </c>
      <c r="F88" s="14">
        <v>1</v>
      </c>
      <c r="G88" s="79">
        <f t="shared" si="2"/>
        <v>2365000</v>
      </c>
      <c r="H88" s="95"/>
    </row>
    <row r="89" spans="1:8" s="12" customFormat="1" ht="31.2">
      <c r="A89" s="94">
        <v>9</v>
      </c>
      <c r="B89" s="42" t="s">
        <v>819</v>
      </c>
      <c r="C89" s="14" t="s">
        <v>1724</v>
      </c>
      <c r="D89" s="14">
        <v>2</v>
      </c>
      <c r="E89" s="79" t="str">
        <f>VLOOKUP(B89,'[20]Đơn giá cây cối'!$A$2:$C$1361,3,0)</f>
        <v>933.000</v>
      </c>
      <c r="F89" s="14">
        <v>1</v>
      </c>
      <c r="G89" s="79">
        <f t="shared" si="2"/>
        <v>1866000</v>
      </c>
      <c r="H89" s="95"/>
    </row>
    <row r="90" spans="1:8" s="12" customFormat="1" ht="18.600000000000001">
      <c r="A90" s="94">
        <v>10</v>
      </c>
      <c r="B90" s="250" t="s">
        <v>2157</v>
      </c>
      <c r="C90" s="14" t="s">
        <v>66</v>
      </c>
      <c r="D90" s="14">
        <v>15</v>
      </c>
      <c r="E90" s="79" t="str">
        <f>VLOOKUP(B90,'[20]Đơn giá cây cối'!$A$2:$C$1361,3,0)</f>
        <v>20.000</v>
      </c>
      <c r="F90" s="14">
        <v>1</v>
      </c>
      <c r="G90" s="79">
        <f t="shared" si="2"/>
        <v>300000</v>
      </c>
      <c r="H90" s="95"/>
    </row>
    <row r="91" spans="1:8" s="12" customFormat="1" ht="15.6">
      <c r="A91" s="94">
        <v>11</v>
      </c>
      <c r="B91" s="250" t="s">
        <v>168</v>
      </c>
      <c r="C91" s="14" t="s">
        <v>66</v>
      </c>
      <c r="D91" s="14">
        <v>5</v>
      </c>
      <c r="E91" s="79">
        <f>VLOOKUP(B91,'[20]Đơn giá cây cối'!$A$2:$C$1361,3,0)</f>
        <v>16800</v>
      </c>
      <c r="F91" s="14">
        <v>1</v>
      </c>
      <c r="G91" s="79">
        <f t="shared" si="2"/>
        <v>84000</v>
      </c>
      <c r="H91" s="95"/>
    </row>
    <row r="92" spans="1:8" s="12" customFormat="1" ht="15.6">
      <c r="A92" s="94">
        <v>12</v>
      </c>
      <c r="B92" s="250" t="s">
        <v>33</v>
      </c>
      <c r="C92" s="14" t="s">
        <v>66</v>
      </c>
      <c r="D92" s="14">
        <v>5</v>
      </c>
      <c r="E92" s="79">
        <f>VLOOKUP(B92,'[20]Đơn giá cây cối'!$A$2:$C$1361,3,0)</f>
        <v>16300</v>
      </c>
      <c r="F92" s="14">
        <v>1</v>
      </c>
      <c r="G92" s="79">
        <f t="shared" si="2"/>
        <v>81500</v>
      </c>
      <c r="H92" s="95"/>
    </row>
    <row r="93" spans="1:8" s="12" customFormat="1" ht="31.2">
      <c r="A93" s="94">
        <v>13</v>
      </c>
      <c r="B93" s="251" t="s">
        <v>261</v>
      </c>
      <c r="C93" s="14" t="s">
        <v>1724</v>
      </c>
      <c r="D93" s="14">
        <v>5</v>
      </c>
      <c r="E93" s="79">
        <f>VLOOKUP(B93,'[20]Đơn giá cây cối'!$A$2:$C$1361,3,0)</f>
        <v>70000</v>
      </c>
      <c r="F93" s="14">
        <v>1</v>
      </c>
      <c r="G93" s="79">
        <f t="shared" si="2"/>
        <v>350000</v>
      </c>
      <c r="H93" s="95"/>
    </row>
    <row r="94" spans="1:8" s="12" customFormat="1" ht="15.6">
      <c r="A94" s="94">
        <v>14</v>
      </c>
      <c r="B94" s="250" t="s">
        <v>804</v>
      </c>
      <c r="C94" s="14" t="s">
        <v>1724</v>
      </c>
      <c r="D94" s="14">
        <v>7</v>
      </c>
      <c r="E94" s="79" t="str">
        <f>VLOOKUP(B94,'[20]Đơn giá cây cối'!$A$2:$C$1361,3,0)</f>
        <v>149.000</v>
      </c>
      <c r="F94" s="14">
        <v>1</v>
      </c>
      <c r="G94" s="79">
        <f t="shared" si="2"/>
        <v>1043000</v>
      </c>
      <c r="H94" s="95"/>
    </row>
    <row r="95" spans="1:8" s="12" customFormat="1" ht="15.6">
      <c r="A95" s="94">
        <v>15</v>
      </c>
      <c r="B95" s="250" t="s">
        <v>864</v>
      </c>
      <c r="C95" s="14" t="s">
        <v>1724</v>
      </c>
      <c r="D95" s="14">
        <v>1</v>
      </c>
      <c r="E95" s="79" t="str">
        <f>VLOOKUP(B95,'[20]Đơn giá cây cối'!$A$2:$C$1361,3,0)</f>
        <v>149.000</v>
      </c>
      <c r="F95" s="14">
        <v>1</v>
      </c>
      <c r="G95" s="79">
        <f t="shared" si="2"/>
        <v>149000</v>
      </c>
      <c r="H95" s="95"/>
    </row>
    <row r="96" spans="1:8" ht="15.6">
      <c r="A96" s="80"/>
      <c r="B96" s="427" t="s">
        <v>62</v>
      </c>
      <c r="C96" s="428"/>
      <c r="D96" s="428"/>
      <c r="E96" s="428"/>
      <c r="F96" s="429"/>
      <c r="G96" s="81">
        <f>G13+G33+G56</f>
        <v>553985044.27403331</v>
      </c>
      <c r="H96" s="82"/>
    </row>
    <row r="97" spans="1:8" ht="15.6">
      <c r="A97" s="80"/>
      <c r="B97" s="427" t="s">
        <v>1726</v>
      </c>
      <c r="C97" s="428"/>
      <c r="D97" s="428"/>
      <c r="E97" s="428"/>
      <c r="F97" s="429"/>
      <c r="G97" s="81">
        <f>ROUND(G96,-3)</f>
        <v>553985000</v>
      </c>
      <c r="H97" s="82"/>
    </row>
    <row r="98" spans="1:8" ht="15.6">
      <c r="A98" s="430" t="e" cm="1">
        <f t="array" aca="1" ref="A98" ca="1">[22]!vnd(G97)</f>
        <v>#NAME?</v>
      </c>
      <c r="B98" s="431"/>
      <c r="C98" s="431"/>
      <c r="D98" s="431"/>
      <c r="E98" s="431"/>
      <c r="F98" s="431"/>
      <c r="G98" s="431"/>
      <c r="H98" s="432"/>
    </row>
    <row r="99" spans="1:8" ht="15.6">
      <c r="A99" s="252"/>
      <c r="B99" s="253"/>
      <c r="C99" s="253"/>
      <c r="D99" s="253"/>
      <c r="E99" s="253"/>
      <c r="F99" s="253"/>
      <c r="G99" s="253"/>
      <c r="H99" s="253"/>
    </row>
    <row r="100" spans="1:8" ht="15.6">
      <c r="A100" s="252"/>
      <c r="B100" s="253"/>
      <c r="C100" s="253"/>
      <c r="D100" s="253"/>
      <c r="E100" s="253"/>
      <c r="F100" s="253"/>
      <c r="G100" s="253"/>
      <c r="H100" s="253"/>
    </row>
    <row r="101" spans="1:8" ht="15.6">
      <c r="A101" s="252"/>
      <c r="B101" s="253"/>
      <c r="C101" s="253"/>
      <c r="D101" s="253"/>
      <c r="E101" s="253"/>
      <c r="F101" s="253"/>
      <c r="G101" s="253"/>
      <c r="H101" s="253"/>
    </row>
    <row r="102" spans="1:8" ht="15.6">
      <c r="A102" s="252"/>
      <c r="B102" s="253"/>
      <c r="C102" s="253"/>
      <c r="D102" s="253"/>
      <c r="E102" s="253"/>
      <c r="F102" s="253"/>
      <c r="G102" s="253"/>
      <c r="H102" s="253"/>
    </row>
    <row r="103" spans="1:8" ht="15.6">
      <c r="A103" s="252"/>
      <c r="B103" s="253"/>
      <c r="C103" s="253"/>
      <c r="D103" s="253"/>
      <c r="E103" s="253"/>
      <c r="F103" s="253"/>
      <c r="G103" s="253"/>
      <c r="H103" s="253"/>
    </row>
    <row r="104" spans="1:8" ht="15.6">
      <c r="A104" s="252"/>
      <c r="B104" s="253"/>
      <c r="C104" s="253"/>
      <c r="D104" s="253"/>
      <c r="E104" s="253"/>
      <c r="F104" s="253"/>
      <c r="G104" s="253"/>
      <c r="H104" s="253"/>
    </row>
    <row r="105" spans="1:8" ht="15.6">
      <c r="A105" s="252"/>
      <c r="B105" s="253"/>
      <c r="C105" s="253"/>
      <c r="D105" s="253"/>
      <c r="E105" s="253"/>
      <c r="F105" s="253"/>
      <c r="G105" s="253"/>
      <c r="H105" s="253"/>
    </row>
    <row r="106" spans="1:8" ht="15.6">
      <c r="A106" s="252"/>
      <c r="B106" s="253"/>
      <c r="C106" s="253"/>
      <c r="D106" s="253"/>
      <c r="E106" s="253"/>
      <c r="F106" s="253"/>
      <c r="G106" s="253"/>
      <c r="H106" s="253"/>
    </row>
    <row r="107" spans="1:8">
      <c r="A107" s="17"/>
      <c r="B107" s="17"/>
      <c r="C107" s="97"/>
      <c r="D107" s="20"/>
      <c r="E107" s="19"/>
      <c r="F107" s="97"/>
      <c r="G107" s="19"/>
      <c r="H107" s="17"/>
    </row>
    <row r="108" spans="1:8" s="109" customFormat="1" ht="16.5" customHeight="1">
      <c r="A108" s="108"/>
      <c r="B108" s="108"/>
      <c r="C108" s="424" t="s">
        <v>1742</v>
      </c>
      <c r="D108" s="424"/>
      <c r="E108" s="424"/>
      <c r="F108" s="424"/>
      <c r="G108" s="424"/>
      <c r="H108" s="424"/>
    </row>
    <row r="109" spans="1:8" s="109" customFormat="1" ht="16.5" customHeight="1">
      <c r="A109" s="423" t="s">
        <v>63</v>
      </c>
      <c r="B109" s="423"/>
      <c r="C109" s="424" t="s">
        <v>1743</v>
      </c>
      <c r="D109" s="424"/>
      <c r="E109" s="424"/>
      <c r="F109" s="424" t="s">
        <v>1744</v>
      </c>
      <c r="G109" s="424"/>
      <c r="H109" s="424"/>
    </row>
    <row r="110" spans="1:8" s="109" customFormat="1" ht="15.6">
      <c r="A110" s="108"/>
      <c r="B110" s="108"/>
      <c r="C110" s="108"/>
      <c r="D110" s="110"/>
      <c r="E110" s="111"/>
      <c r="F110" s="112"/>
      <c r="G110" s="111"/>
      <c r="H110" s="113"/>
    </row>
    <row r="111" spans="1:8" s="109" customFormat="1" ht="15.6">
      <c r="A111" s="108"/>
      <c r="B111" s="108"/>
      <c r="C111" s="108"/>
      <c r="D111" s="110"/>
      <c r="E111" s="111"/>
      <c r="F111" s="112"/>
      <c r="G111" s="114"/>
      <c r="H111" s="113"/>
    </row>
    <row r="112" spans="1:8" s="109" customFormat="1" ht="15.6">
      <c r="A112" s="108"/>
      <c r="B112" s="108"/>
      <c r="C112" s="108"/>
      <c r="D112" s="110"/>
      <c r="E112" s="111"/>
      <c r="F112" s="112"/>
      <c r="G112" s="111"/>
      <c r="H112" s="113"/>
    </row>
    <row r="113" spans="1:8" s="109" customFormat="1" ht="15.6">
      <c r="A113" s="108"/>
      <c r="B113" s="108"/>
      <c r="C113" s="108"/>
      <c r="D113" s="110"/>
      <c r="E113" s="111"/>
      <c r="F113" s="112"/>
      <c r="G113" s="111"/>
      <c r="H113" s="113"/>
    </row>
    <row r="114" spans="1:8" s="109" customFormat="1" ht="15.6">
      <c r="A114" s="108"/>
      <c r="B114" s="108"/>
      <c r="C114" s="108"/>
      <c r="D114" s="110"/>
      <c r="E114" s="111"/>
      <c r="F114" s="112"/>
      <c r="G114" s="111"/>
      <c r="H114" s="113"/>
    </row>
    <row r="115" spans="1:8" s="109" customFormat="1" ht="16.5" customHeight="1">
      <c r="A115" s="108"/>
      <c r="B115" s="198" t="s">
        <v>64</v>
      </c>
      <c r="C115" s="424"/>
      <c r="D115" s="424"/>
      <c r="E115" s="424"/>
      <c r="F115" s="424" t="s">
        <v>1745</v>
      </c>
      <c r="G115" s="424"/>
      <c r="H115" s="424"/>
    </row>
    <row r="116" spans="1:8" s="109" customFormat="1" ht="15.6">
      <c r="A116" s="108"/>
      <c r="B116" s="198"/>
      <c r="C116" s="199"/>
      <c r="D116" s="199"/>
      <c r="E116" s="199"/>
      <c r="F116" s="199"/>
      <c r="G116" s="199"/>
      <c r="H116" s="199"/>
    </row>
    <row r="117" spans="1:8" s="109" customFormat="1" ht="15" customHeight="1">
      <c r="A117" s="424" t="s">
        <v>1746</v>
      </c>
      <c r="B117" s="424"/>
      <c r="C117" s="424"/>
      <c r="D117" s="424"/>
      <c r="E117" s="424" t="s">
        <v>1747</v>
      </c>
      <c r="F117" s="424"/>
      <c r="G117" s="424"/>
      <c r="H117" s="424"/>
    </row>
    <row r="118" spans="1:8" s="109" customFormat="1" ht="33.6" customHeight="1">
      <c r="A118" s="424" t="s">
        <v>1748</v>
      </c>
      <c r="B118" s="424"/>
      <c r="C118" s="424"/>
      <c r="D118" s="424"/>
      <c r="E118" s="424" t="s">
        <v>65</v>
      </c>
      <c r="F118" s="424"/>
      <c r="G118" s="424"/>
      <c r="H118" s="424"/>
    </row>
    <row r="119" spans="1:8" s="109" customFormat="1" ht="15.6">
      <c r="A119" s="108"/>
      <c r="B119" s="108"/>
      <c r="C119" s="108"/>
      <c r="D119" s="110"/>
      <c r="E119" s="111"/>
      <c r="F119" s="112"/>
      <c r="G119" s="111"/>
      <c r="H119" s="113"/>
    </row>
    <row r="120" spans="1:8" s="109" customFormat="1" ht="15.6">
      <c r="A120" s="108"/>
      <c r="B120" s="108"/>
      <c r="C120" s="108"/>
      <c r="D120" s="110"/>
      <c r="E120" s="111"/>
      <c r="F120" s="112"/>
      <c r="G120" s="111"/>
      <c r="H120" s="113"/>
    </row>
    <row r="121" spans="1:8" s="109" customFormat="1" ht="15.6">
      <c r="A121" s="108"/>
      <c r="B121" s="108"/>
      <c r="C121" s="108"/>
      <c r="D121" s="110"/>
      <c r="E121" s="111"/>
      <c r="F121" s="112"/>
      <c r="G121" s="111"/>
      <c r="H121" s="113"/>
    </row>
    <row r="122" spans="1:8" s="109" customFormat="1" ht="15.6">
      <c r="A122" s="108"/>
      <c r="B122" s="108"/>
      <c r="C122" s="108"/>
      <c r="D122" s="110"/>
      <c r="E122" s="111"/>
      <c r="F122" s="112"/>
      <c r="G122" s="111"/>
      <c r="H122" s="113"/>
    </row>
    <row r="123" spans="1:8" s="109" customFormat="1" ht="15.6">
      <c r="A123" s="108"/>
      <c r="B123" s="108"/>
      <c r="C123" s="108"/>
      <c r="D123" s="110"/>
      <c r="E123" s="111"/>
      <c r="F123" s="112"/>
      <c r="G123" s="111"/>
      <c r="H123" s="113"/>
    </row>
    <row r="124" spans="1:8" s="109" customFormat="1" ht="15.6" customHeight="1">
      <c r="A124" s="108"/>
      <c r="B124" s="108"/>
      <c r="C124" s="108"/>
      <c r="D124" s="115"/>
      <c r="E124" s="439" t="s">
        <v>1749</v>
      </c>
      <c r="F124" s="439"/>
      <c r="G124" s="439"/>
      <c r="H124" s="439"/>
    </row>
    <row r="125" spans="1:8" s="109" customFormat="1" ht="16.5" customHeight="1">
      <c r="A125" s="424" t="s">
        <v>1751</v>
      </c>
      <c r="B125" s="424"/>
      <c r="C125" s="424"/>
      <c r="D125" s="424"/>
      <c r="E125" s="424" t="s">
        <v>1750</v>
      </c>
      <c r="F125" s="424"/>
      <c r="G125" s="424"/>
      <c r="H125" s="424"/>
    </row>
    <row r="126" spans="1:8" s="118" customFormat="1" ht="16.2" customHeight="1">
      <c r="A126" s="440"/>
      <c r="B126" s="440"/>
      <c r="C126" s="116"/>
      <c r="D126" s="117"/>
      <c r="E126" s="440"/>
      <c r="F126" s="440"/>
      <c r="G126" s="440"/>
      <c r="H126" s="440"/>
    </row>
    <row r="127" spans="1:8" s="118" customFormat="1" ht="15.75" customHeight="1">
      <c r="A127" s="440"/>
      <c r="B127" s="440"/>
      <c r="C127" s="440"/>
      <c r="D127" s="440"/>
      <c r="E127" s="440"/>
      <c r="F127" s="440"/>
      <c r="G127" s="440"/>
      <c r="H127" s="440"/>
    </row>
    <row r="128" spans="1:8" s="98" customFormat="1" ht="16.2" customHeight="1">
      <c r="A128" s="436"/>
      <c r="B128" s="436"/>
      <c r="C128" s="436"/>
      <c r="D128" s="436"/>
      <c r="E128" s="119"/>
      <c r="F128" s="120"/>
      <c r="G128" s="119"/>
      <c r="H128" s="121"/>
    </row>
    <row r="129" spans="1:8" s="98" customFormat="1" ht="16.2" customHeight="1">
      <c r="A129" s="436"/>
      <c r="B129" s="436"/>
      <c r="C129" s="436"/>
      <c r="D129" s="436"/>
      <c r="E129" s="119"/>
      <c r="F129" s="120"/>
      <c r="G129" s="119"/>
      <c r="H129" s="121"/>
    </row>
    <row r="130" spans="1:8" s="98" customFormat="1" ht="16.2" customHeight="1">
      <c r="A130" s="121"/>
      <c r="B130" s="121"/>
      <c r="C130" s="121"/>
      <c r="D130" s="122"/>
      <c r="E130" s="119"/>
      <c r="F130" s="120"/>
      <c r="G130" s="119"/>
      <c r="H130" s="121"/>
    </row>
    <row r="131" spans="1:8" ht="16.2" customHeight="1">
      <c r="A131" s="83"/>
      <c r="B131" s="83"/>
      <c r="C131" s="83"/>
      <c r="D131" s="84"/>
      <c r="E131" s="85"/>
      <c r="F131" s="86"/>
      <c r="G131" s="85"/>
      <c r="H131" s="83"/>
    </row>
    <row r="132" spans="1:8" ht="16.2" customHeight="1">
      <c r="A132" s="83"/>
      <c r="B132" s="83"/>
      <c r="C132" s="83"/>
      <c r="D132" s="84"/>
      <c r="E132" s="85"/>
      <c r="F132" s="86"/>
      <c r="G132" s="85"/>
      <c r="H132" s="83"/>
    </row>
    <row r="133" spans="1:8" ht="16.2" customHeight="1">
      <c r="A133" s="83"/>
      <c r="B133" s="83"/>
      <c r="C133" s="83"/>
      <c r="D133" s="84"/>
      <c r="E133" s="85"/>
      <c r="F133" s="86"/>
      <c r="G133" s="85"/>
      <c r="H133" s="83"/>
    </row>
    <row r="134" spans="1:8" ht="16.2" customHeight="1">
      <c r="A134" s="83"/>
      <c r="B134" s="83"/>
      <c r="C134" s="83"/>
      <c r="D134" s="84"/>
      <c r="E134" s="437"/>
      <c r="F134" s="437"/>
      <c r="G134" s="437"/>
      <c r="H134" s="437"/>
    </row>
    <row r="135" spans="1:8" ht="20.25" customHeight="1">
      <c r="A135" s="438"/>
      <c r="B135" s="438"/>
      <c r="C135" s="438"/>
      <c r="D135" s="438"/>
      <c r="E135" s="438"/>
      <c r="F135" s="438"/>
      <c r="G135" s="438"/>
      <c r="H135" s="438"/>
    </row>
    <row r="136" spans="1:8" s="17" customFormat="1" ht="16.2" customHeight="1">
      <c r="D136" s="18"/>
      <c r="E136" s="19"/>
      <c r="F136" s="97"/>
      <c r="G136" s="19"/>
    </row>
    <row r="137" spans="1:8" s="17" customFormat="1" ht="16.2" customHeight="1">
      <c r="D137" s="18"/>
      <c r="E137" s="19"/>
      <c r="F137" s="97"/>
      <c r="G137" s="19"/>
    </row>
    <row r="138" spans="1:8" s="17" customFormat="1" ht="16.2" customHeight="1">
      <c r="D138" s="18"/>
      <c r="E138" s="19"/>
      <c r="F138" s="97"/>
      <c r="G138" s="19"/>
    </row>
    <row r="139" spans="1:8" s="17" customFormat="1" ht="16.2" customHeight="1">
      <c r="D139" s="18"/>
      <c r="E139" s="19"/>
      <c r="F139" s="97"/>
      <c r="G139" s="19"/>
    </row>
    <row r="140" spans="1:8" s="17" customFormat="1" ht="16.2" customHeight="1">
      <c r="D140" s="18"/>
      <c r="E140" s="19"/>
      <c r="F140" s="97"/>
      <c r="G140" s="19"/>
    </row>
    <row r="141" spans="1:8" s="17" customFormat="1" ht="16.2" customHeight="1">
      <c r="D141" s="18"/>
      <c r="E141" s="19"/>
      <c r="F141" s="97"/>
      <c r="G141" s="19"/>
    </row>
    <row r="142" spans="1:8" s="17" customFormat="1" ht="16.2" customHeight="1">
      <c r="D142" s="18"/>
      <c r="E142" s="19"/>
      <c r="F142" s="97"/>
      <c r="G142" s="19"/>
    </row>
    <row r="143" spans="1:8" s="17" customFormat="1" ht="16.2" customHeight="1">
      <c r="D143" s="18"/>
      <c r="E143" s="19"/>
      <c r="F143" s="97"/>
      <c r="G143" s="19"/>
    </row>
    <row r="144" spans="1:8" s="17" customFormat="1" ht="16.2" customHeight="1">
      <c r="D144" s="18"/>
      <c r="E144" s="19"/>
      <c r="F144" s="97"/>
      <c r="G144" s="19"/>
    </row>
    <row r="145" spans="3:7" s="17" customFormat="1" ht="16.2" customHeight="1">
      <c r="D145" s="18"/>
      <c r="E145" s="19"/>
      <c r="F145" s="97"/>
      <c r="G145" s="19"/>
    </row>
    <row r="146" spans="3:7" s="17" customFormat="1" ht="16.2" customHeight="1">
      <c r="D146" s="18"/>
      <c r="E146" s="19"/>
      <c r="F146" s="97"/>
      <c r="G146" s="19"/>
    </row>
    <row r="147" spans="3:7" s="17" customFormat="1" ht="16.2" customHeight="1">
      <c r="D147" s="18"/>
      <c r="E147" s="19"/>
      <c r="F147" s="97"/>
      <c r="G147" s="19"/>
    </row>
    <row r="148" spans="3:7" s="17" customFormat="1" ht="16.2" customHeight="1">
      <c r="D148" s="18"/>
      <c r="E148" s="19"/>
      <c r="F148" s="97"/>
      <c r="G148" s="19"/>
    </row>
    <row r="149" spans="3:7" s="17" customFormat="1" ht="16.2" customHeight="1">
      <c r="D149" s="18"/>
      <c r="E149" s="19"/>
      <c r="F149" s="97"/>
      <c r="G149" s="19"/>
    </row>
    <row r="150" spans="3:7" s="17" customFormat="1" ht="16.2" customHeight="1">
      <c r="D150" s="18"/>
      <c r="E150" s="19"/>
      <c r="F150" s="97"/>
      <c r="G150" s="19"/>
    </row>
    <row r="151" spans="3:7" s="17" customFormat="1" ht="16.2" customHeight="1">
      <c r="D151" s="18"/>
      <c r="E151" s="19"/>
      <c r="F151" s="97"/>
      <c r="G151" s="19"/>
    </row>
    <row r="152" spans="3:7" s="17" customFormat="1" ht="16.2" customHeight="1">
      <c r="C152" s="97"/>
      <c r="D152" s="20"/>
      <c r="E152" s="19"/>
      <c r="F152" s="97"/>
      <c r="G152" s="19"/>
    </row>
    <row r="153" spans="3:7" s="17" customFormat="1" ht="16.2" customHeight="1">
      <c r="C153" s="97"/>
      <c r="D153" s="20"/>
      <c r="E153" s="19"/>
      <c r="F153" s="97"/>
      <c r="G153" s="19"/>
    </row>
    <row r="154" spans="3:7" s="17" customFormat="1" ht="16.2" customHeight="1">
      <c r="C154" s="97"/>
      <c r="D154" s="20"/>
      <c r="E154" s="19"/>
      <c r="F154" s="97"/>
      <c r="G154" s="19"/>
    </row>
    <row r="155" spans="3:7" s="17" customFormat="1" ht="16.2" customHeight="1">
      <c r="C155" s="97"/>
      <c r="D155" s="20"/>
      <c r="E155" s="19"/>
      <c r="F155" s="97"/>
      <c r="G155" s="19"/>
    </row>
    <row r="156" spans="3:7" s="17" customFormat="1" ht="16.2" customHeight="1">
      <c r="C156" s="97"/>
      <c r="D156" s="20"/>
      <c r="E156" s="19"/>
      <c r="F156" s="97"/>
      <c r="G156" s="19"/>
    </row>
    <row r="157" spans="3:7" s="17" customFormat="1" ht="16.2" customHeight="1">
      <c r="C157" s="97"/>
      <c r="D157" s="20"/>
      <c r="E157" s="19"/>
      <c r="F157" s="97"/>
      <c r="G157" s="19"/>
    </row>
    <row r="158" spans="3:7" s="17" customFormat="1" ht="16.2" customHeight="1">
      <c r="C158" s="97"/>
      <c r="D158" s="20"/>
      <c r="E158" s="19"/>
      <c r="F158" s="97"/>
      <c r="G158" s="19"/>
    </row>
    <row r="159" spans="3:7" s="17" customFormat="1" ht="16.2" customHeight="1">
      <c r="C159" s="97"/>
      <c r="D159" s="20"/>
      <c r="E159" s="19"/>
      <c r="F159" s="97"/>
      <c r="G159" s="19"/>
    </row>
    <row r="160" spans="3:7" s="17" customFormat="1" ht="16.2" customHeight="1">
      <c r="C160" s="97"/>
      <c r="D160" s="20"/>
      <c r="E160" s="19"/>
      <c r="F160" s="97"/>
      <c r="G160" s="19"/>
    </row>
    <row r="161" spans="3:7" s="17" customFormat="1" ht="16.2" customHeight="1">
      <c r="C161" s="97"/>
      <c r="D161" s="20"/>
      <c r="E161" s="19"/>
      <c r="F161" s="97"/>
      <c r="G161" s="19"/>
    </row>
    <row r="162" spans="3:7" s="17" customFormat="1" ht="16.2" customHeight="1">
      <c r="C162" s="97"/>
      <c r="D162" s="20"/>
      <c r="E162" s="19"/>
      <c r="F162" s="97"/>
      <c r="G162" s="19"/>
    </row>
    <row r="163" spans="3:7" s="17" customFormat="1" ht="16.2" customHeight="1">
      <c r="C163" s="97"/>
      <c r="D163" s="20"/>
      <c r="E163" s="19"/>
      <c r="F163" s="97"/>
      <c r="G163" s="19"/>
    </row>
    <row r="164" spans="3:7" ht="16.2" customHeight="1"/>
    <row r="165" spans="3:7" ht="16.2" customHeight="1"/>
    <row r="166" spans="3:7" ht="16.2" customHeight="1"/>
    <row r="167" spans="3:7" ht="16.2" customHeight="1"/>
    <row r="168" spans="3:7" ht="16.2" customHeight="1"/>
    <row r="169" spans="3:7" ht="16.2" customHeight="1"/>
    <row r="170" spans="3:7" ht="16.2" customHeight="1"/>
    <row r="171" spans="3:7" ht="16.2" customHeight="1"/>
    <row r="172" spans="3:7" ht="16.2" customHeight="1"/>
    <row r="173" spans="3:7" ht="16.2" customHeight="1"/>
    <row r="174" spans="3:7" ht="16.2" customHeight="1"/>
    <row r="175" spans="3:7" ht="16.2" customHeight="1"/>
    <row r="176" spans="3:7"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ht="16.2" customHeight="1"/>
    <row r="235" ht="16.2" customHeight="1"/>
    <row r="236" ht="16.2" customHeight="1"/>
    <row r="237" ht="16.2" customHeight="1"/>
    <row r="238" ht="16.2" customHeight="1"/>
    <row r="239" ht="16.2" customHeight="1"/>
    <row r="240" ht="16.2" customHeight="1"/>
    <row r="241" ht="16.2" customHeight="1"/>
    <row r="242" ht="16.2" customHeight="1"/>
    <row r="243" ht="16.2" customHeight="1"/>
    <row r="244" ht="16.2" customHeight="1"/>
    <row r="245" ht="16.2" customHeight="1"/>
    <row r="246" ht="16.2" customHeight="1"/>
    <row r="247" ht="16.2" customHeight="1"/>
    <row r="248" ht="16.2" customHeight="1"/>
    <row r="249" ht="16.2" customHeight="1"/>
    <row r="250" ht="16.2" customHeight="1"/>
    <row r="251" ht="16.2" customHeight="1"/>
    <row r="252" ht="16.2" customHeight="1"/>
    <row r="253" ht="16.2" customHeight="1"/>
    <row r="254" ht="16.2" customHeight="1"/>
    <row r="255" ht="16.2" customHeight="1"/>
    <row r="256" ht="16.2" customHeight="1"/>
    <row r="257" ht="16.2" customHeight="1"/>
    <row r="258" ht="16.2" customHeight="1"/>
    <row r="259" ht="16.2" customHeight="1"/>
    <row r="260" ht="16.2" customHeight="1"/>
    <row r="261" ht="16.2" customHeight="1"/>
    <row r="262" ht="16.2" customHeight="1"/>
    <row r="263" ht="16.2" customHeight="1"/>
    <row r="264" ht="16.2" customHeight="1"/>
    <row r="265" ht="16.2" customHeight="1"/>
    <row r="266" ht="16.2" customHeight="1"/>
    <row r="267" ht="16.2" customHeight="1"/>
    <row r="268" ht="16.2" customHeight="1"/>
    <row r="269" ht="16.2" customHeight="1"/>
    <row r="270" ht="16.2" customHeight="1"/>
    <row r="271" ht="16.2" customHeight="1"/>
    <row r="272" ht="16.2" customHeight="1"/>
    <row r="273" ht="16.2" customHeight="1"/>
    <row r="274" ht="16.2" customHeight="1"/>
    <row r="275" ht="16.2" customHeight="1"/>
    <row r="276" ht="16.2" customHeight="1"/>
    <row r="277" ht="16.2" customHeight="1"/>
    <row r="278" ht="16.2" customHeight="1"/>
    <row r="279" ht="16.2" customHeight="1"/>
    <row r="280" ht="16.2" customHeight="1"/>
    <row r="281" ht="16.2" customHeight="1"/>
    <row r="282" ht="16.2" customHeight="1"/>
    <row r="283" ht="16.2" customHeight="1"/>
    <row r="284" ht="16.2" customHeight="1"/>
    <row r="285" ht="16.2" customHeight="1"/>
    <row r="286" ht="16.2" customHeight="1"/>
    <row r="287" ht="16.2" customHeight="1"/>
    <row r="288" ht="16.2" customHeight="1"/>
    <row r="289" ht="16.2" customHeight="1"/>
    <row r="290" ht="16.2" customHeight="1"/>
    <row r="291" ht="16.2" customHeight="1"/>
    <row r="292" ht="16.2" customHeight="1"/>
    <row r="293" ht="16.2" customHeight="1"/>
    <row r="294" ht="16.2" customHeight="1"/>
    <row r="295" ht="16.2" customHeight="1"/>
    <row r="296" ht="16.2" customHeight="1"/>
    <row r="297" ht="16.2" customHeight="1"/>
    <row r="298" ht="16.2" customHeight="1"/>
    <row r="299" ht="16.2" customHeight="1"/>
    <row r="300" ht="16.2" customHeight="1"/>
    <row r="301" ht="16.2" customHeight="1"/>
    <row r="302" ht="16.2" customHeight="1"/>
    <row r="303" ht="16.2" customHeight="1"/>
    <row r="304" ht="16.2" customHeight="1"/>
    <row r="305" ht="16.2" customHeight="1"/>
    <row r="306" ht="16.2" customHeight="1"/>
    <row r="307" ht="16.2" customHeight="1"/>
    <row r="308" ht="16.2" customHeight="1"/>
    <row r="309" ht="16.2" customHeight="1"/>
    <row r="310"/>
    <row r="311"/>
    <row r="312"/>
    <row r="313"/>
    <row r="314"/>
    <row r="315"/>
    <row r="316"/>
    <row r="317"/>
    <row r="318"/>
    <row r="319"/>
    <row r="320"/>
    <row r="321"/>
    <row r="322"/>
    <row r="323"/>
    <row r="324"/>
    <row r="325"/>
    <row r="326"/>
    <row r="327"/>
  </sheetData>
  <mergeCells count="44">
    <mergeCell ref="A11:H11"/>
    <mergeCell ref="A1:B1"/>
    <mergeCell ref="C1:H1"/>
    <mergeCell ref="A2:B2"/>
    <mergeCell ref="C2:H2"/>
    <mergeCell ref="A3:B3"/>
    <mergeCell ref="A4:B4"/>
    <mergeCell ref="C4:H4"/>
    <mergeCell ref="A6:H6"/>
    <mergeCell ref="A7:H7"/>
    <mergeCell ref="A8:H8"/>
    <mergeCell ref="A9:H9"/>
    <mergeCell ref="A10:H10"/>
    <mergeCell ref="A109:B109"/>
    <mergeCell ref="C109:E109"/>
    <mergeCell ref="F109:H109"/>
    <mergeCell ref="B13:F13"/>
    <mergeCell ref="B14:D14"/>
    <mergeCell ref="B25:F25"/>
    <mergeCell ref="A28:A29"/>
    <mergeCell ref="B28:B29"/>
    <mergeCell ref="B33:F33"/>
    <mergeCell ref="B56:F56"/>
    <mergeCell ref="B96:F96"/>
    <mergeCell ref="B97:F97"/>
    <mergeCell ref="A98:H98"/>
    <mergeCell ref="C108:H108"/>
    <mergeCell ref="C115:E115"/>
    <mergeCell ref="F115:H115"/>
    <mergeCell ref="A117:D117"/>
    <mergeCell ref="E117:H117"/>
    <mergeCell ref="A118:D118"/>
    <mergeCell ref="E118:H118"/>
    <mergeCell ref="A128:D128"/>
    <mergeCell ref="A129:D129"/>
    <mergeCell ref="E134:H134"/>
    <mergeCell ref="A135:H135"/>
    <mergeCell ref="E124:H124"/>
    <mergeCell ref="A125:D125"/>
    <mergeCell ref="E125:H125"/>
    <mergeCell ref="A126:B126"/>
    <mergeCell ref="E126:H126"/>
    <mergeCell ref="A127:D127"/>
    <mergeCell ref="E127:H127"/>
  </mergeCells>
  <dataValidations count="2">
    <dataValidation type="list" allowBlank="1" showInputMessage="1" showErrorMessage="1" sqref="B58:B64 B66:B79 B81:B95" xr:uid="{00000000-0002-0000-2800-000000000000}">
      <formula1>bichphuong</formula1>
    </dataValidation>
    <dataValidation type="list" allowBlank="1" showInputMessage="1" showErrorMessage="1" sqref="WVJ983127:WVJ983144 B983127:B983144 IX983127:IX983144 ST983127:ST983144 ACP983127:ACP983144 AML983127:AML983144 AWH983127:AWH983144 BGD983127:BGD983144 BPZ983127:BPZ983144 BZV983127:BZV983144 CJR983127:CJR983144 CTN983127:CTN983144 DDJ983127:DDJ983144 DNF983127:DNF983144 DXB983127:DXB983144 EGX983127:EGX983144 EQT983127:EQT983144 FAP983127:FAP983144 FKL983127:FKL983144 FUH983127:FUH983144 GED983127:GED983144 GNZ983127:GNZ983144 GXV983127:GXV983144 HHR983127:HHR983144 HRN983127:HRN983144 IBJ983127:IBJ983144 ILF983127:ILF983144 IVB983127:IVB983144 JEX983127:JEX983144 JOT983127:JOT983144 JYP983127:JYP983144 KIL983127:KIL983144 KSH983127:KSH983144 LCD983127:LCD983144 LLZ983127:LLZ983144 LVV983127:LVV983144 MFR983127:MFR983144 MPN983127:MPN983144 MZJ983127:MZJ983144 NJF983127:NJF983144 NTB983127:NTB983144 OCX983127:OCX983144 OMT983127:OMT983144 OWP983127:OWP983144 PGL983127:PGL983144 PQH983127:PQH983144 QAD983127:QAD983144 QJZ983127:QJZ983144 QTV983127:QTV983144 RDR983127:RDR983144 RNN983127:RNN983144 RXJ983127:RXJ983144 SHF983127:SHF983144 SRB983127:SRB983144 TAX983127:TAX983144 TKT983127:TKT983144 TUP983127:TUP983144 UEL983127:UEL983144 UOH983127:UOH983144 UYD983127:UYD983144 VHZ983127:VHZ983144 VRV983127:VRV983144 WBR983127:WBR983144 WLN983127:WLN983144 B65623:B65640 IX65623:IX65640 ST65623:ST65640 ACP65623:ACP65640 AML65623:AML65640 AWH65623:AWH65640 BGD65623:BGD65640 BPZ65623:BPZ65640 BZV65623:BZV65640 CJR65623:CJR65640 CTN65623:CTN65640 DDJ65623:DDJ65640 DNF65623:DNF65640 DXB65623:DXB65640 EGX65623:EGX65640 EQT65623:EQT65640 FAP65623:FAP65640 FKL65623:FKL65640 FUH65623:FUH65640 GED65623:GED65640 GNZ65623:GNZ65640 GXV65623:GXV65640 HHR65623:HHR65640 HRN65623:HRN65640 IBJ65623:IBJ65640 ILF65623:ILF65640 IVB65623:IVB65640 JEX65623:JEX65640 JOT65623:JOT65640 JYP65623:JYP65640 KIL65623:KIL65640 KSH65623:KSH65640 LCD65623:LCD65640 LLZ65623:LLZ65640 LVV65623:LVV65640 MFR65623:MFR65640 MPN65623:MPN65640 MZJ65623:MZJ65640 NJF65623:NJF65640 NTB65623:NTB65640 OCX65623:OCX65640 OMT65623:OMT65640 OWP65623:OWP65640 PGL65623:PGL65640 PQH65623:PQH65640 QAD65623:QAD65640 QJZ65623:QJZ65640 QTV65623:QTV65640 RDR65623:RDR65640 RNN65623:RNN65640 RXJ65623:RXJ65640 SHF65623:SHF65640 SRB65623:SRB65640 TAX65623:TAX65640 TKT65623:TKT65640 TUP65623:TUP65640 UEL65623:UEL65640 UOH65623:UOH65640 UYD65623:UYD65640 VHZ65623:VHZ65640 VRV65623:VRV65640 WBR65623:WBR65640 WLN65623:WLN65640 WVJ65623:WVJ65640 B131159:B131176 IX131159:IX131176 ST131159:ST131176 ACP131159:ACP131176 AML131159:AML131176 AWH131159:AWH131176 BGD131159:BGD131176 BPZ131159:BPZ131176 BZV131159:BZV131176 CJR131159:CJR131176 CTN131159:CTN131176 DDJ131159:DDJ131176 DNF131159:DNF131176 DXB131159:DXB131176 EGX131159:EGX131176 EQT131159:EQT131176 FAP131159:FAP131176 FKL131159:FKL131176 FUH131159:FUH131176 GED131159:GED131176 GNZ131159:GNZ131176 GXV131159:GXV131176 HHR131159:HHR131176 HRN131159:HRN131176 IBJ131159:IBJ131176 ILF131159:ILF131176 IVB131159:IVB131176 JEX131159:JEX131176 JOT131159:JOT131176 JYP131159:JYP131176 KIL131159:KIL131176 KSH131159:KSH131176 LCD131159:LCD131176 LLZ131159:LLZ131176 LVV131159:LVV131176 MFR131159:MFR131176 MPN131159:MPN131176 MZJ131159:MZJ131176 NJF131159:NJF131176 NTB131159:NTB131176 OCX131159:OCX131176 OMT131159:OMT131176 OWP131159:OWP131176 PGL131159:PGL131176 PQH131159:PQH131176 QAD131159:QAD131176 QJZ131159:QJZ131176 QTV131159:QTV131176 RDR131159:RDR131176 RNN131159:RNN131176 RXJ131159:RXJ131176 SHF131159:SHF131176 SRB131159:SRB131176 TAX131159:TAX131176 TKT131159:TKT131176 TUP131159:TUP131176 UEL131159:UEL131176 UOH131159:UOH131176 UYD131159:UYD131176 VHZ131159:VHZ131176 VRV131159:VRV131176 WBR131159:WBR131176 WLN131159:WLN131176 WVJ131159:WVJ131176 B196695:B196712 IX196695:IX196712 ST196695:ST196712 ACP196695:ACP196712 AML196695:AML196712 AWH196695:AWH196712 BGD196695:BGD196712 BPZ196695:BPZ196712 BZV196695:BZV196712 CJR196695:CJR196712 CTN196695:CTN196712 DDJ196695:DDJ196712 DNF196695:DNF196712 DXB196695:DXB196712 EGX196695:EGX196712 EQT196695:EQT196712 FAP196695:FAP196712 FKL196695:FKL196712 FUH196695:FUH196712 GED196695:GED196712 GNZ196695:GNZ196712 GXV196695:GXV196712 HHR196695:HHR196712 HRN196695:HRN196712 IBJ196695:IBJ196712 ILF196695:ILF196712 IVB196695:IVB196712 JEX196695:JEX196712 JOT196695:JOT196712 JYP196695:JYP196712 KIL196695:KIL196712 KSH196695:KSH196712 LCD196695:LCD196712 LLZ196695:LLZ196712 LVV196695:LVV196712 MFR196695:MFR196712 MPN196695:MPN196712 MZJ196695:MZJ196712 NJF196695:NJF196712 NTB196695:NTB196712 OCX196695:OCX196712 OMT196695:OMT196712 OWP196695:OWP196712 PGL196695:PGL196712 PQH196695:PQH196712 QAD196695:QAD196712 QJZ196695:QJZ196712 QTV196695:QTV196712 RDR196695:RDR196712 RNN196695:RNN196712 RXJ196695:RXJ196712 SHF196695:SHF196712 SRB196695:SRB196712 TAX196695:TAX196712 TKT196695:TKT196712 TUP196695:TUP196712 UEL196695:UEL196712 UOH196695:UOH196712 UYD196695:UYD196712 VHZ196695:VHZ196712 VRV196695:VRV196712 WBR196695:WBR196712 WLN196695:WLN196712 WVJ196695:WVJ196712 B262231:B262248 IX262231:IX262248 ST262231:ST262248 ACP262231:ACP262248 AML262231:AML262248 AWH262231:AWH262248 BGD262231:BGD262248 BPZ262231:BPZ262248 BZV262231:BZV262248 CJR262231:CJR262248 CTN262231:CTN262248 DDJ262231:DDJ262248 DNF262231:DNF262248 DXB262231:DXB262248 EGX262231:EGX262248 EQT262231:EQT262248 FAP262231:FAP262248 FKL262231:FKL262248 FUH262231:FUH262248 GED262231:GED262248 GNZ262231:GNZ262248 GXV262231:GXV262248 HHR262231:HHR262248 HRN262231:HRN262248 IBJ262231:IBJ262248 ILF262231:ILF262248 IVB262231:IVB262248 JEX262231:JEX262248 JOT262231:JOT262248 JYP262231:JYP262248 KIL262231:KIL262248 KSH262231:KSH262248 LCD262231:LCD262248 LLZ262231:LLZ262248 LVV262231:LVV262248 MFR262231:MFR262248 MPN262231:MPN262248 MZJ262231:MZJ262248 NJF262231:NJF262248 NTB262231:NTB262248 OCX262231:OCX262248 OMT262231:OMT262248 OWP262231:OWP262248 PGL262231:PGL262248 PQH262231:PQH262248 QAD262231:QAD262248 QJZ262231:QJZ262248 QTV262231:QTV262248 RDR262231:RDR262248 RNN262231:RNN262248 RXJ262231:RXJ262248 SHF262231:SHF262248 SRB262231:SRB262248 TAX262231:TAX262248 TKT262231:TKT262248 TUP262231:TUP262248 UEL262231:UEL262248 UOH262231:UOH262248 UYD262231:UYD262248 VHZ262231:VHZ262248 VRV262231:VRV262248 WBR262231:WBR262248 WLN262231:WLN262248 WVJ262231:WVJ262248 B327767:B327784 IX327767:IX327784 ST327767:ST327784 ACP327767:ACP327784 AML327767:AML327784 AWH327767:AWH327784 BGD327767:BGD327784 BPZ327767:BPZ327784 BZV327767:BZV327784 CJR327767:CJR327784 CTN327767:CTN327784 DDJ327767:DDJ327784 DNF327767:DNF327784 DXB327767:DXB327784 EGX327767:EGX327784 EQT327767:EQT327784 FAP327767:FAP327784 FKL327767:FKL327784 FUH327767:FUH327784 GED327767:GED327784 GNZ327767:GNZ327784 GXV327767:GXV327784 HHR327767:HHR327784 HRN327767:HRN327784 IBJ327767:IBJ327784 ILF327767:ILF327784 IVB327767:IVB327784 JEX327767:JEX327784 JOT327767:JOT327784 JYP327767:JYP327784 KIL327767:KIL327784 KSH327767:KSH327784 LCD327767:LCD327784 LLZ327767:LLZ327784 LVV327767:LVV327784 MFR327767:MFR327784 MPN327767:MPN327784 MZJ327767:MZJ327784 NJF327767:NJF327784 NTB327767:NTB327784 OCX327767:OCX327784 OMT327767:OMT327784 OWP327767:OWP327784 PGL327767:PGL327784 PQH327767:PQH327784 QAD327767:QAD327784 QJZ327767:QJZ327784 QTV327767:QTV327784 RDR327767:RDR327784 RNN327767:RNN327784 RXJ327767:RXJ327784 SHF327767:SHF327784 SRB327767:SRB327784 TAX327767:TAX327784 TKT327767:TKT327784 TUP327767:TUP327784 UEL327767:UEL327784 UOH327767:UOH327784 UYD327767:UYD327784 VHZ327767:VHZ327784 VRV327767:VRV327784 WBR327767:WBR327784 WLN327767:WLN327784 WVJ327767:WVJ327784 B393303:B393320 IX393303:IX393320 ST393303:ST393320 ACP393303:ACP393320 AML393303:AML393320 AWH393303:AWH393320 BGD393303:BGD393320 BPZ393303:BPZ393320 BZV393303:BZV393320 CJR393303:CJR393320 CTN393303:CTN393320 DDJ393303:DDJ393320 DNF393303:DNF393320 DXB393303:DXB393320 EGX393303:EGX393320 EQT393303:EQT393320 FAP393303:FAP393320 FKL393303:FKL393320 FUH393303:FUH393320 GED393303:GED393320 GNZ393303:GNZ393320 GXV393303:GXV393320 HHR393303:HHR393320 HRN393303:HRN393320 IBJ393303:IBJ393320 ILF393303:ILF393320 IVB393303:IVB393320 JEX393303:JEX393320 JOT393303:JOT393320 JYP393303:JYP393320 KIL393303:KIL393320 KSH393303:KSH393320 LCD393303:LCD393320 LLZ393303:LLZ393320 LVV393303:LVV393320 MFR393303:MFR393320 MPN393303:MPN393320 MZJ393303:MZJ393320 NJF393303:NJF393320 NTB393303:NTB393320 OCX393303:OCX393320 OMT393303:OMT393320 OWP393303:OWP393320 PGL393303:PGL393320 PQH393303:PQH393320 QAD393303:QAD393320 QJZ393303:QJZ393320 QTV393303:QTV393320 RDR393303:RDR393320 RNN393303:RNN393320 RXJ393303:RXJ393320 SHF393303:SHF393320 SRB393303:SRB393320 TAX393303:TAX393320 TKT393303:TKT393320 TUP393303:TUP393320 UEL393303:UEL393320 UOH393303:UOH393320 UYD393303:UYD393320 VHZ393303:VHZ393320 VRV393303:VRV393320 WBR393303:WBR393320 WLN393303:WLN393320 WVJ393303:WVJ393320 B458839:B458856 IX458839:IX458856 ST458839:ST458856 ACP458839:ACP458856 AML458839:AML458856 AWH458839:AWH458856 BGD458839:BGD458856 BPZ458839:BPZ458856 BZV458839:BZV458856 CJR458839:CJR458856 CTN458839:CTN458856 DDJ458839:DDJ458856 DNF458839:DNF458856 DXB458839:DXB458856 EGX458839:EGX458856 EQT458839:EQT458856 FAP458839:FAP458856 FKL458839:FKL458856 FUH458839:FUH458856 GED458839:GED458856 GNZ458839:GNZ458856 GXV458839:GXV458856 HHR458839:HHR458856 HRN458839:HRN458856 IBJ458839:IBJ458856 ILF458839:ILF458856 IVB458839:IVB458856 JEX458839:JEX458856 JOT458839:JOT458856 JYP458839:JYP458856 KIL458839:KIL458856 KSH458839:KSH458856 LCD458839:LCD458856 LLZ458839:LLZ458856 LVV458839:LVV458856 MFR458839:MFR458856 MPN458839:MPN458856 MZJ458839:MZJ458856 NJF458839:NJF458856 NTB458839:NTB458856 OCX458839:OCX458856 OMT458839:OMT458856 OWP458839:OWP458856 PGL458839:PGL458856 PQH458839:PQH458856 QAD458839:QAD458856 QJZ458839:QJZ458856 QTV458839:QTV458856 RDR458839:RDR458856 RNN458839:RNN458856 RXJ458839:RXJ458856 SHF458839:SHF458856 SRB458839:SRB458856 TAX458839:TAX458856 TKT458839:TKT458856 TUP458839:TUP458856 UEL458839:UEL458856 UOH458839:UOH458856 UYD458839:UYD458856 VHZ458839:VHZ458856 VRV458839:VRV458856 WBR458839:WBR458856 WLN458839:WLN458856 WVJ458839:WVJ458856 B524375:B524392 IX524375:IX524392 ST524375:ST524392 ACP524375:ACP524392 AML524375:AML524392 AWH524375:AWH524392 BGD524375:BGD524392 BPZ524375:BPZ524392 BZV524375:BZV524392 CJR524375:CJR524392 CTN524375:CTN524392 DDJ524375:DDJ524392 DNF524375:DNF524392 DXB524375:DXB524392 EGX524375:EGX524392 EQT524375:EQT524392 FAP524375:FAP524392 FKL524375:FKL524392 FUH524375:FUH524392 GED524375:GED524392 GNZ524375:GNZ524392 GXV524375:GXV524392 HHR524375:HHR524392 HRN524375:HRN524392 IBJ524375:IBJ524392 ILF524375:ILF524392 IVB524375:IVB524392 JEX524375:JEX524392 JOT524375:JOT524392 JYP524375:JYP524392 KIL524375:KIL524392 KSH524375:KSH524392 LCD524375:LCD524392 LLZ524375:LLZ524392 LVV524375:LVV524392 MFR524375:MFR524392 MPN524375:MPN524392 MZJ524375:MZJ524392 NJF524375:NJF524392 NTB524375:NTB524392 OCX524375:OCX524392 OMT524375:OMT524392 OWP524375:OWP524392 PGL524375:PGL524392 PQH524375:PQH524392 QAD524375:QAD524392 QJZ524375:QJZ524392 QTV524375:QTV524392 RDR524375:RDR524392 RNN524375:RNN524392 RXJ524375:RXJ524392 SHF524375:SHF524392 SRB524375:SRB524392 TAX524375:TAX524392 TKT524375:TKT524392 TUP524375:TUP524392 UEL524375:UEL524392 UOH524375:UOH524392 UYD524375:UYD524392 VHZ524375:VHZ524392 VRV524375:VRV524392 WBR524375:WBR524392 WLN524375:WLN524392 WVJ524375:WVJ524392 B589911:B589928 IX589911:IX589928 ST589911:ST589928 ACP589911:ACP589928 AML589911:AML589928 AWH589911:AWH589928 BGD589911:BGD589928 BPZ589911:BPZ589928 BZV589911:BZV589928 CJR589911:CJR589928 CTN589911:CTN589928 DDJ589911:DDJ589928 DNF589911:DNF589928 DXB589911:DXB589928 EGX589911:EGX589928 EQT589911:EQT589928 FAP589911:FAP589928 FKL589911:FKL589928 FUH589911:FUH589928 GED589911:GED589928 GNZ589911:GNZ589928 GXV589911:GXV589928 HHR589911:HHR589928 HRN589911:HRN589928 IBJ589911:IBJ589928 ILF589911:ILF589928 IVB589911:IVB589928 JEX589911:JEX589928 JOT589911:JOT589928 JYP589911:JYP589928 KIL589911:KIL589928 KSH589911:KSH589928 LCD589911:LCD589928 LLZ589911:LLZ589928 LVV589911:LVV589928 MFR589911:MFR589928 MPN589911:MPN589928 MZJ589911:MZJ589928 NJF589911:NJF589928 NTB589911:NTB589928 OCX589911:OCX589928 OMT589911:OMT589928 OWP589911:OWP589928 PGL589911:PGL589928 PQH589911:PQH589928 QAD589911:QAD589928 QJZ589911:QJZ589928 QTV589911:QTV589928 RDR589911:RDR589928 RNN589911:RNN589928 RXJ589911:RXJ589928 SHF589911:SHF589928 SRB589911:SRB589928 TAX589911:TAX589928 TKT589911:TKT589928 TUP589911:TUP589928 UEL589911:UEL589928 UOH589911:UOH589928 UYD589911:UYD589928 VHZ589911:VHZ589928 VRV589911:VRV589928 WBR589911:WBR589928 WLN589911:WLN589928 WVJ589911:WVJ589928 B655447:B655464 IX655447:IX655464 ST655447:ST655464 ACP655447:ACP655464 AML655447:AML655464 AWH655447:AWH655464 BGD655447:BGD655464 BPZ655447:BPZ655464 BZV655447:BZV655464 CJR655447:CJR655464 CTN655447:CTN655464 DDJ655447:DDJ655464 DNF655447:DNF655464 DXB655447:DXB655464 EGX655447:EGX655464 EQT655447:EQT655464 FAP655447:FAP655464 FKL655447:FKL655464 FUH655447:FUH655464 GED655447:GED655464 GNZ655447:GNZ655464 GXV655447:GXV655464 HHR655447:HHR655464 HRN655447:HRN655464 IBJ655447:IBJ655464 ILF655447:ILF655464 IVB655447:IVB655464 JEX655447:JEX655464 JOT655447:JOT655464 JYP655447:JYP655464 KIL655447:KIL655464 KSH655447:KSH655464 LCD655447:LCD655464 LLZ655447:LLZ655464 LVV655447:LVV655464 MFR655447:MFR655464 MPN655447:MPN655464 MZJ655447:MZJ655464 NJF655447:NJF655464 NTB655447:NTB655464 OCX655447:OCX655464 OMT655447:OMT655464 OWP655447:OWP655464 PGL655447:PGL655464 PQH655447:PQH655464 QAD655447:QAD655464 QJZ655447:QJZ655464 QTV655447:QTV655464 RDR655447:RDR655464 RNN655447:RNN655464 RXJ655447:RXJ655464 SHF655447:SHF655464 SRB655447:SRB655464 TAX655447:TAX655464 TKT655447:TKT655464 TUP655447:TUP655464 UEL655447:UEL655464 UOH655447:UOH655464 UYD655447:UYD655464 VHZ655447:VHZ655464 VRV655447:VRV655464 WBR655447:WBR655464 WLN655447:WLN655464 WVJ655447:WVJ655464 B720983:B721000 IX720983:IX721000 ST720983:ST721000 ACP720983:ACP721000 AML720983:AML721000 AWH720983:AWH721000 BGD720983:BGD721000 BPZ720983:BPZ721000 BZV720983:BZV721000 CJR720983:CJR721000 CTN720983:CTN721000 DDJ720983:DDJ721000 DNF720983:DNF721000 DXB720983:DXB721000 EGX720983:EGX721000 EQT720983:EQT721000 FAP720983:FAP721000 FKL720983:FKL721000 FUH720983:FUH721000 GED720983:GED721000 GNZ720983:GNZ721000 GXV720983:GXV721000 HHR720983:HHR721000 HRN720983:HRN721000 IBJ720983:IBJ721000 ILF720983:ILF721000 IVB720983:IVB721000 JEX720983:JEX721000 JOT720983:JOT721000 JYP720983:JYP721000 KIL720983:KIL721000 KSH720983:KSH721000 LCD720983:LCD721000 LLZ720983:LLZ721000 LVV720983:LVV721000 MFR720983:MFR721000 MPN720983:MPN721000 MZJ720983:MZJ721000 NJF720983:NJF721000 NTB720983:NTB721000 OCX720983:OCX721000 OMT720983:OMT721000 OWP720983:OWP721000 PGL720983:PGL721000 PQH720983:PQH721000 QAD720983:QAD721000 QJZ720983:QJZ721000 QTV720983:QTV721000 RDR720983:RDR721000 RNN720983:RNN721000 RXJ720983:RXJ721000 SHF720983:SHF721000 SRB720983:SRB721000 TAX720983:TAX721000 TKT720983:TKT721000 TUP720983:TUP721000 UEL720983:UEL721000 UOH720983:UOH721000 UYD720983:UYD721000 VHZ720983:VHZ721000 VRV720983:VRV721000 WBR720983:WBR721000 WLN720983:WLN721000 WVJ720983:WVJ721000 B786519:B786536 IX786519:IX786536 ST786519:ST786536 ACP786519:ACP786536 AML786519:AML786536 AWH786519:AWH786536 BGD786519:BGD786536 BPZ786519:BPZ786536 BZV786519:BZV786536 CJR786519:CJR786536 CTN786519:CTN786536 DDJ786519:DDJ786536 DNF786519:DNF786536 DXB786519:DXB786536 EGX786519:EGX786536 EQT786519:EQT786536 FAP786519:FAP786536 FKL786519:FKL786536 FUH786519:FUH786536 GED786519:GED786536 GNZ786519:GNZ786536 GXV786519:GXV786536 HHR786519:HHR786536 HRN786519:HRN786536 IBJ786519:IBJ786536 ILF786519:ILF786536 IVB786519:IVB786536 JEX786519:JEX786536 JOT786519:JOT786536 JYP786519:JYP786536 KIL786519:KIL786536 KSH786519:KSH786536 LCD786519:LCD786536 LLZ786519:LLZ786536 LVV786519:LVV786536 MFR786519:MFR786536 MPN786519:MPN786536 MZJ786519:MZJ786536 NJF786519:NJF786536 NTB786519:NTB786536 OCX786519:OCX786536 OMT786519:OMT786536 OWP786519:OWP786536 PGL786519:PGL786536 PQH786519:PQH786536 QAD786519:QAD786536 QJZ786519:QJZ786536 QTV786519:QTV786536 RDR786519:RDR786536 RNN786519:RNN786536 RXJ786519:RXJ786536 SHF786519:SHF786536 SRB786519:SRB786536 TAX786519:TAX786536 TKT786519:TKT786536 TUP786519:TUP786536 UEL786519:UEL786536 UOH786519:UOH786536 UYD786519:UYD786536 VHZ786519:VHZ786536 VRV786519:VRV786536 WBR786519:WBR786536 WLN786519:WLN786536 WVJ786519:WVJ786536 B852055:B852072 IX852055:IX852072 ST852055:ST852072 ACP852055:ACP852072 AML852055:AML852072 AWH852055:AWH852072 BGD852055:BGD852072 BPZ852055:BPZ852072 BZV852055:BZV852072 CJR852055:CJR852072 CTN852055:CTN852072 DDJ852055:DDJ852072 DNF852055:DNF852072 DXB852055:DXB852072 EGX852055:EGX852072 EQT852055:EQT852072 FAP852055:FAP852072 FKL852055:FKL852072 FUH852055:FUH852072 GED852055:GED852072 GNZ852055:GNZ852072 GXV852055:GXV852072 HHR852055:HHR852072 HRN852055:HRN852072 IBJ852055:IBJ852072 ILF852055:ILF852072 IVB852055:IVB852072 JEX852055:JEX852072 JOT852055:JOT852072 JYP852055:JYP852072 KIL852055:KIL852072 KSH852055:KSH852072 LCD852055:LCD852072 LLZ852055:LLZ852072 LVV852055:LVV852072 MFR852055:MFR852072 MPN852055:MPN852072 MZJ852055:MZJ852072 NJF852055:NJF852072 NTB852055:NTB852072 OCX852055:OCX852072 OMT852055:OMT852072 OWP852055:OWP852072 PGL852055:PGL852072 PQH852055:PQH852072 QAD852055:QAD852072 QJZ852055:QJZ852072 QTV852055:QTV852072 RDR852055:RDR852072 RNN852055:RNN852072 RXJ852055:RXJ852072 SHF852055:SHF852072 SRB852055:SRB852072 TAX852055:TAX852072 TKT852055:TKT852072 TUP852055:TUP852072 UEL852055:UEL852072 UOH852055:UOH852072 UYD852055:UYD852072 VHZ852055:VHZ852072 VRV852055:VRV852072 WBR852055:WBR852072 WLN852055:WLN852072 WVJ852055:WVJ852072 B917591:B917608 IX917591:IX917608 ST917591:ST917608 ACP917591:ACP917608 AML917591:AML917608 AWH917591:AWH917608 BGD917591:BGD917608 BPZ917591:BPZ917608 BZV917591:BZV917608 CJR917591:CJR917608 CTN917591:CTN917608 DDJ917591:DDJ917608 DNF917591:DNF917608 DXB917591:DXB917608 EGX917591:EGX917608 EQT917591:EQT917608 FAP917591:FAP917608 FKL917591:FKL917608 FUH917591:FUH917608 GED917591:GED917608 GNZ917591:GNZ917608 GXV917591:GXV917608 HHR917591:HHR917608 HRN917591:HRN917608 IBJ917591:IBJ917608 ILF917591:ILF917608 IVB917591:IVB917608 JEX917591:JEX917608 JOT917591:JOT917608 JYP917591:JYP917608 KIL917591:KIL917608 KSH917591:KSH917608 LCD917591:LCD917608 LLZ917591:LLZ917608 LVV917591:LVV917608 MFR917591:MFR917608 MPN917591:MPN917608 MZJ917591:MZJ917608 NJF917591:NJF917608 NTB917591:NTB917608 OCX917591:OCX917608 OMT917591:OMT917608 OWP917591:OWP917608 PGL917591:PGL917608 PQH917591:PQH917608 QAD917591:QAD917608 QJZ917591:QJZ917608 QTV917591:QTV917608 RDR917591:RDR917608 RNN917591:RNN917608 RXJ917591:RXJ917608 SHF917591:SHF917608 SRB917591:SRB917608 TAX917591:TAX917608 TKT917591:TKT917608 TUP917591:TUP917608 UEL917591:UEL917608 UOH917591:UOH917608 UYD917591:UYD917608 VHZ917591:VHZ917608 VRV917591:VRV917608 WBR917591:WBR917608 WLN917591:WLN917608 WVJ917591:WVJ917608" xr:uid="{00000000-0002-0000-2800-000001000000}">
      <formula1>trung</formula1>
    </dataValidation>
  </dataValidation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270"/>
  <sheetViews>
    <sheetView topLeftCell="A13"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9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34.5" customHeight="1">
      <c r="A8" s="420" t="s">
        <v>2159</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78" customHeight="1">
      <c r="A13" s="96" t="s">
        <v>17</v>
      </c>
      <c r="B13" s="425" t="s">
        <v>2160</v>
      </c>
      <c r="C13" s="425"/>
      <c r="D13" s="425"/>
      <c r="E13" s="425"/>
      <c r="F13" s="425"/>
      <c r="G13" s="73">
        <f>G14+G23</f>
        <v>31020000.000000004</v>
      </c>
      <c r="H13" s="74"/>
    </row>
    <row r="14" spans="1:8" s="17" customFormat="1" ht="15.6">
      <c r="A14" s="96"/>
      <c r="B14" s="200" t="s">
        <v>2161</v>
      </c>
      <c r="C14" s="200"/>
      <c r="D14" s="200"/>
      <c r="E14" s="200"/>
      <c r="F14" s="200"/>
      <c r="G14" s="73">
        <f>G15+G17</f>
        <v>9072000</v>
      </c>
      <c r="H14" s="74"/>
    </row>
    <row r="15" spans="1:8" s="12" customFormat="1" ht="21.75" customHeight="1">
      <c r="A15" s="212">
        <v>1</v>
      </c>
      <c r="B15" s="452" t="s">
        <v>2102</v>
      </c>
      <c r="C15" s="452"/>
      <c r="D15" s="452"/>
      <c r="E15" s="213"/>
      <c r="F15" s="214"/>
      <c r="G15" s="215">
        <f>SUM(G16:G16)</f>
        <v>1440000</v>
      </c>
      <c r="H15" s="216"/>
    </row>
    <row r="16" spans="1:8" s="12" customFormat="1" ht="46.8">
      <c r="A16" s="212"/>
      <c r="B16" s="226" t="s">
        <v>2162</v>
      </c>
      <c r="C16" s="220" t="s">
        <v>2120</v>
      </c>
      <c r="D16" s="221">
        <v>18</v>
      </c>
      <c r="E16" s="222">
        <v>80000</v>
      </c>
      <c r="F16" s="223">
        <v>1</v>
      </c>
      <c r="G16" s="225">
        <f>D16*E16*F16</f>
        <v>1440000</v>
      </c>
      <c r="H16" s="216"/>
    </row>
    <row r="17" spans="1:9" s="12" customFormat="1" ht="21.75" customHeight="1">
      <c r="A17" s="212">
        <v>2</v>
      </c>
      <c r="B17" s="219" t="s">
        <v>2116</v>
      </c>
      <c r="C17" s="220"/>
      <c r="D17" s="221"/>
      <c r="E17" s="222"/>
      <c r="F17" s="223"/>
      <c r="G17" s="224">
        <f>G19+G21</f>
        <v>7632000</v>
      </c>
      <c r="H17" s="216"/>
    </row>
    <row r="18" spans="1:9" s="12" customFormat="1" ht="25.5" customHeight="1">
      <c r="A18" s="212" t="s">
        <v>2117</v>
      </c>
      <c r="B18" s="453" t="s">
        <v>2118</v>
      </c>
      <c r="C18" s="453"/>
      <c r="D18" s="453"/>
      <c r="E18" s="453"/>
      <c r="F18" s="453"/>
      <c r="G18" s="225"/>
      <c r="H18" s="96"/>
    </row>
    <row r="19" spans="1:9" s="12" customFormat="1" ht="31.2">
      <c r="A19" s="212"/>
      <c r="B19" s="226" t="s">
        <v>2121</v>
      </c>
      <c r="C19" s="220" t="s">
        <v>2120</v>
      </c>
      <c r="D19" s="221">
        <v>18</v>
      </c>
      <c r="E19" s="222">
        <v>80000</v>
      </c>
      <c r="F19" s="223">
        <v>5</v>
      </c>
      <c r="G19" s="225">
        <f>D19*E19*F19</f>
        <v>7200000</v>
      </c>
      <c r="H19" s="216"/>
    </row>
    <row r="20" spans="1:9" s="257" customFormat="1" ht="69">
      <c r="A20" s="254" t="s">
        <v>2122</v>
      </c>
      <c r="B20" s="255" t="s">
        <v>2163</v>
      </c>
      <c r="C20" s="256"/>
      <c r="D20" s="256"/>
      <c r="E20" s="228"/>
      <c r="F20" s="256"/>
      <c r="G20" s="256"/>
      <c r="H20" s="256"/>
    </row>
    <row r="21" spans="1:9" s="257" customFormat="1" ht="96.6">
      <c r="A21" s="258" t="s">
        <v>2130</v>
      </c>
      <c r="B21" s="259" t="s">
        <v>2131</v>
      </c>
      <c r="C21" s="260" t="s">
        <v>66</v>
      </c>
      <c r="D21" s="261">
        <f>D19</f>
        <v>18</v>
      </c>
      <c r="E21" s="262">
        <v>80000</v>
      </c>
      <c r="F21" s="263">
        <f>30%</f>
        <v>0.3</v>
      </c>
      <c r="G21" s="264">
        <f>D21*E21*F21</f>
        <v>432000</v>
      </c>
      <c r="H21" s="265"/>
      <c r="I21" s="266"/>
    </row>
    <row r="22" spans="1:9" s="17" customFormat="1" ht="15.6">
      <c r="A22" s="96"/>
      <c r="B22" s="200" t="s">
        <v>2164</v>
      </c>
      <c r="C22" s="200"/>
      <c r="D22" s="200"/>
      <c r="E22" s="200"/>
      <c r="F22" s="200"/>
      <c r="G22" s="73"/>
      <c r="H22" s="74"/>
    </row>
    <row r="23" spans="1:9" s="131" customFormat="1" ht="140.4">
      <c r="A23" s="123"/>
      <c r="B23" s="124" t="s">
        <v>2059</v>
      </c>
      <c r="C23" s="125" t="s">
        <v>1753</v>
      </c>
      <c r="D23" s="126">
        <v>9.3000000000000007</v>
      </c>
      <c r="E23" s="127">
        <v>11800000</v>
      </c>
      <c r="F23" s="188">
        <v>0.2</v>
      </c>
      <c r="G23" s="129">
        <f>D23*E23*F23</f>
        <v>21948000.000000004</v>
      </c>
      <c r="H23" s="130"/>
    </row>
    <row r="24" spans="1:9" ht="27" customHeight="1">
      <c r="A24" s="75" t="s">
        <v>18</v>
      </c>
      <c r="B24" s="426" t="s">
        <v>1725</v>
      </c>
      <c r="C24" s="426"/>
      <c r="D24" s="426"/>
      <c r="E24" s="426"/>
      <c r="F24" s="426"/>
      <c r="G24" s="76">
        <f>SUM(G25:G35)</f>
        <v>5158830.1998240007</v>
      </c>
      <c r="H24" s="11"/>
    </row>
    <row r="25" spans="1:9" ht="46.8">
      <c r="A25" s="77">
        <v>1</v>
      </c>
      <c r="B25" s="78" t="s">
        <v>2165</v>
      </c>
      <c r="C25" s="14" t="s">
        <v>1754</v>
      </c>
      <c r="D25" s="132">
        <f>(2.4*0.7+1.8*1.6+14*2)*0.11</f>
        <v>3.5816000000000003</v>
      </c>
      <c r="E25" s="15">
        <v>2126713</v>
      </c>
      <c r="F25" s="187">
        <v>0.2</v>
      </c>
      <c r="G25" s="79">
        <f>D25*E25*F25</f>
        <v>1523407.0561600002</v>
      </c>
      <c r="H25" s="15"/>
    </row>
    <row r="26" spans="1:9" ht="30.6" customHeight="1">
      <c r="A26" s="77"/>
      <c r="B26" s="78" t="s">
        <v>2166</v>
      </c>
      <c r="C26" s="14" t="s">
        <v>66</v>
      </c>
      <c r="D26" s="132">
        <f>(2.4*0.7+1.8*1.6)*2</f>
        <v>9.120000000000001</v>
      </c>
      <c r="E26" s="15">
        <v>141099</v>
      </c>
      <c r="F26" s="187">
        <v>0.2</v>
      </c>
      <c r="G26" s="79">
        <f t="shared" ref="G26:G35" si="0">D26*E26*F26</f>
        <v>257364.57600000003</v>
      </c>
      <c r="H26" s="15"/>
    </row>
    <row r="27" spans="1:9" ht="30.6" customHeight="1">
      <c r="A27" s="77">
        <v>2</v>
      </c>
      <c r="B27" s="78" t="s">
        <v>2167</v>
      </c>
      <c r="C27" s="14" t="s">
        <v>1754</v>
      </c>
      <c r="D27" s="132">
        <f>(0.35*0.35*2.2)*4</f>
        <v>1.0779999999999998</v>
      </c>
      <c r="E27" s="79">
        <v>2623803</v>
      </c>
      <c r="F27" s="187">
        <v>0.2</v>
      </c>
      <c r="G27" s="79">
        <f t="shared" si="0"/>
        <v>565691.9267999999</v>
      </c>
      <c r="H27" s="15"/>
    </row>
    <row r="28" spans="1:9" ht="30.6" customHeight="1">
      <c r="A28" s="77"/>
      <c r="B28" s="78" t="s">
        <v>2168</v>
      </c>
      <c r="C28" s="14" t="s">
        <v>66</v>
      </c>
      <c r="D28" s="132">
        <f>0.35*2.2*4*4</f>
        <v>12.32</v>
      </c>
      <c r="E28" s="15">
        <v>250492</v>
      </c>
      <c r="F28" s="187">
        <v>0.2</v>
      </c>
      <c r="G28" s="79">
        <f t="shared" si="0"/>
        <v>617212.28800000006</v>
      </c>
      <c r="H28" s="15"/>
    </row>
    <row r="29" spans="1:9" ht="30.6" customHeight="1">
      <c r="A29" s="77">
        <v>3</v>
      </c>
      <c r="B29" s="78" t="s">
        <v>2169</v>
      </c>
      <c r="C29" s="14" t="s">
        <v>1754</v>
      </c>
      <c r="D29" s="132">
        <f>0.22*0.22*1.6</f>
        <v>7.7440000000000009E-2</v>
      </c>
      <c r="E29" s="79">
        <v>2623803</v>
      </c>
      <c r="F29" s="187">
        <v>0.2</v>
      </c>
      <c r="G29" s="79">
        <f t="shared" si="0"/>
        <v>40637.460864000008</v>
      </c>
      <c r="H29" s="15"/>
    </row>
    <row r="30" spans="1:9" ht="30.6" customHeight="1">
      <c r="A30" s="77"/>
      <c r="B30" s="78" t="s">
        <v>2170</v>
      </c>
      <c r="C30" s="14" t="s">
        <v>66</v>
      </c>
      <c r="D30" s="132">
        <f>0.22*1.6*4</f>
        <v>1.4080000000000001</v>
      </c>
      <c r="E30" s="15">
        <v>250492</v>
      </c>
      <c r="F30" s="187">
        <v>0.2</v>
      </c>
      <c r="G30" s="79">
        <f t="shared" si="0"/>
        <v>70538.547200000015</v>
      </c>
      <c r="H30" s="15"/>
    </row>
    <row r="31" spans="1:9" ht="30.6" customHeight="1">
      <c r="A31" s="77">
        <v>4</v>
      </c>
      <c r="B31" s="78" t="s">
        <v>2171</v>
      </c>
      <c r="C31" s="14" t="s">
        <v>66</v>
      </c>
      <c r="D31" s="132">
        <f>1.9*2.4</f>
        <v>4.5599999999999996</v>
      </c>
      <c r="E31" s="79">
        <v>550000</v>
      </c>
      <c r="F31" s="187">
        <v>0.2</v>
      </c>
      <c r="G31" s="79">
        <f t="shared" si="0"/>
        <v>501600</v>
      </c>
      <c r="H31" s="15"/>
    </row>
    <row r="32" spans="1:9" ht="30.6" customHeight="1">
      <c r="A32" s="77">
        <v>5</v>
      </c>
      <c r="B32" s="78" t="s">
        <v>2172</v>
      </c>
      <c r="C32" s="14" t="s">
        <v>66</v>
      </c>
      <c r="D32" s="132">
        <f>1*2.4</f>
        <v>2.4</v>
      </c>
      <c r="E32" s="79">
        <v>550000</v>
      </c>
      <c r="F32" s="187">
        <v>0.2</v>
      </c>
      <c r="G32" s="79">
        <f t="shared" si="0"/>
        <v>264000</v>
      </c>
      <c r="H32" s="15"/>
    </row>
    <row r="33" spans="1:8" ht="30.6" customHeight="1">
      <c r="A33" s="77">
        <v>6</v>
      </c>
      <c r="B33" s="78" t="s">
        <v>2173</v>
      </c>
      <c r="C33" s="14" t="s">
        <v>66</v>
      </c>
      <c r="D33" s="132">
        <f>2.4*2</f>
        <v>4.8</v>
      </c>
      <c r="E33" s="79">
        <v>550000</v>
      </c>
      <c r="F33" s="187">
        <v>0.2</v>
      </c>
      <c r="G33" s="79">
        <f t="shared" si="0"/>
        <v>528000</v>
      </c>
      <c r="H33" s="15"/>
    </row>
    <row r="34" spans="1:8" ht="30.6" customHeight="1">
      <c r="A34" s="77">
        <v>7</v>
      </c>
      <c r="B34" s="78" t="s">
        <v>2174</v>
      </c>
      <c r="C34" s="14" t="s">
        <v>1754</v>
      </c>
      <c r="D34" s="132">
        <f>10.5*2.2*0.1</f>
        <v>2.31</v>
      </c>
      <c r="E34" s="15">
        <v>1629758</v>
      </c>
      <c r="F34" s="187">
        <v>0.2</v>
      </c>
      <c r="G34" s="79">
        <f t="shared" si="0"/>
        <v>752948.196</v>
      </c>
      <c r="H34" s="15"/>
    </row>
    <row r="35" spans="1:8" ht="30.6" customHeight="1">
      <c r="A35" s="77">
        <v>8</v>
      </c>
      <c r="B35" s="78" t="s">
        <v>2175</v>
      </c>
      <c r="C35" s="14" t="s">
        <v>1754</v>
      </c>
      <c r="D35" s="132">
        <f>4*0.2*0.11</f>
        <v>8.8000000000000009E-2</v>
      </c>
      <c r="E35" s="15">
        <v>2126713</v>
      </c>
      <c r="F35" s="187">
        <v>0.2</v>
      </c>
      <c r="G35" s="79">
        <f t="shared" si="0"/>
        <v>37430.148800000003</v>
      </c>
      <c r="H35" s="15"/>
    </row>
    <row r="36" spans="1:8" ht="24" customHeight="1">
      <c r="A36" s="75" t="s">
        <v>19</v>
      </c>
      <c r="B36" s="426" t="s">
        <v>1727</v>
      </c>
      <c r="C36" s="426"/>
      <c r="D36" s="426"/>
      <c r="E36" s="426"/>
      <c r="F36" s="426"/>
      <c r="G36" s="76">
        <f>SUM(G37:G43)</f>
        <v>1935000</v>
      </c>
      <c r="H36" s="11"/>
    </row>
    <row r="37" spans="1:8" s="12" customFormat="1" ht="34.200000000000003" customHeight="1">
      <c r="A37" s="94">
        <v>1</v>
      </c>
      <c r="B37" s="13" t="s">
        <v>816</v>
      </c>
      <c r="C37" s="14" t="s">
        <v>1724</v>
      </c>
      <c r="D37" s="14">
        <v>2</v>
      </c>
      <c r="E37" s="79" t="str">
        <f>VLOOKUP(B37,'[20]Đơn giá cây cối'!$A$2:$C$1361,3,0)</f>
        <v>2.737.000</v>
      </c>
      <c r="F37" s="132">
        <v>0.25</v>
      </c>
      <c r="G37" s="79">
        <f t="shared" ref="G37:G43" si="1">D37*E37*F37</f>
        <v>1368500</v>
      </c>
      <c r="H37" s="95"/>
    </row>
    <row r="38" spans="1:8" s="12" customFormat="1" ht="34.200000000000003" customHeight="1">
      <c r="A38" s="94">
        <v>2</v>
      </c>
      <c r="B38" s="13" t="s">
        <v>819</v>
      </c>
      <c r="C38" s="14" t="s">
        <v>1724</v>
      </c>
      <c r="D38" s="14">
        <v>1</v>
      </c>
      <c r="E38" s="79" t="str">
        <f>VLOOKUP(B38,'[20]Đơn giá cây cối'!$A$2:$C$1361,3,0)</f>
        <v>933.000</v>
      </c>
      <c r="F38" s="132">
        <v>0.25</v>
      </c>
      <c r="G38" s="79">
        <f t="shared" si="1"/>
        <v>233250</v>
      </c>
      <c r="H38" s="95"/>
    </row>
    <row r="39" spans="1:8" s="12" customFormat="1" ht="34.200000000000003" customHeight="1">
      <c r="A39" s="94">
        <v>3</v>
      </c>
      <c r="B39" s="13" t="s">
        <v>817</v>
      </c>
      <c r="C39" s="14" t="s">
        <v>1724</v>
      </c>
      <c r="D39" s="14">
        <v>1</v>
      </c>
      <c r="E39" s="79" t="str">
        <f>VLOOKUP(B39,'[20]Đơn giá cây cối'!$A$2:$C$1361,3,0)</f>
        <v>336.000</v>
      </c>
      <c r="F39" s="132">
        <v>0.25</v>
      </c>
      <c r="G39" s="79">
        <f t="shared" si="1"/>
        <v>84000</v>
      </c>
      <c r="H39" s="95"/>
    </row>
    <row r="40" spans="1:8" s="12" customFormat="1" ht="34.200000000000003" customHeight="1">
      <c r="A40" s="94">
        <v>4</v>
      </c>
      <c r="B40" s="13" t="s">
        <v>815</v>
      </c>
      <c r="C40" s="14" t="s">
        <v>1724</v>
      </c>
      <c r="D40" s="14">
        <v>1</v>
      </c>
      <c r="E40" s="79" t="str">
        <f>VLOOKUP(B40,'[20]Đơn giá cây cối'!$A$2:$C$1361,3,0)</f>
        <v>249.000</v>
      </c>
      <c r="F40" s="132">
        <v>0.25</v>
      </c>
      <c r="G40" s="79">
        <f t="shared" si="1"/>
        <v>62250</v>
      </c>
      <c r="H40" s="95"/>
    </row>
    <row r="41" spans="1:8" s="12" customFormat="1" ht="34.200000000000003" customHeight="1">
      <c r="A41" s="94">
        <v>5</v>
      </c>
      <c r="B41" s="13" t="s">
        <v>368</v>
      </c>
      <c r="C41" s="14" t="s">
        <v>1724</v>
      </c>
      <c r="D41" s="14">
        <v>1</v>
      </c>
      <c r="E41" s="79" t="str">
        <f>VLOOKUP(B41,'[20]Đơn giá cây cối'!$A$2:$C$1361,3,0)</f>
        <v>398.000</v>
      </c>
      <c r="F41" s="132">
        <v>0.25</v>
      </c>
      <c r="G41" s="79">
        <f t="shared" si="1"/>
        <v>99500</v>
      </c>
      <c r="H41" s="95"/>
    </row>
    <row r="42" spans="1:8" s="12" customFormat="1" ht="34.200000000000003" customHeight="1">
      <c r="A42" s="94">
        <v>6</v>
      </c>
      <c r="B42" s="267" t="s">
        <v>1151</v>
      </c>
      <c r="C42" s="14" t="s">
        <v>1724</v>
      </c>
      <c r="D42" s="14">
        <v>1</v>
      </c>
      <c r="E42" s="79">
        <v>270000</v>
      </c>
      <c r="F42" s="132">
        <v>0.25</v>
      </c>
      <c r="G42" s="79">
        <f t="shared" si="1"/>
        <v>67500</v>
      </c>
      <c r="H42" s="95"/>
    </row>
    <row r="43" spans="1:8" s="12" customFormat="1" ht="34.200000000000003" customHeight="1">
      <c r="A43" s="94">
        <v>7</v>
      </c>
      <c r="B43" s="268" t="s">
        <v>1580</v>
      </c>
      <c r="C43" s="14" t="s">
        <v>66</v>
      </c>
      <c r="D43" s="14">
        <v>4</v>
      </c>
      <c r="E43" s="79" t="str">
        <f>VLOOKUP(B43,'[20]Đơn giá cây cối'!$A$2:$C$1361,3,0)</f>
        <v>20.000</v>
      </c>
      <c r="F43" s="132">
        <v>0.25</v>
      </c>
      <c r="G43" s="79">
        <f t="shared" si="1"/>
        <v>20000</v>
      </c>
      <c r="H43" s="95"/>
    </row>
    <row r="44" spans="1:8" ht="15.6">
      <c r="A44" s="80"/>
      <c r="B44" s="427" t="s">
        <v>62</v>
      </c>
      <c r="C44" s="428"/>
      <c r="D44" s="428"/>
      <c r="E44" s="428"/>
      <c r="F44" s="429"/>
      <c r="G44" s="81">
        <f>G13+G24+G36</f>
        <v>38113830.199824005</v>
      </c>
      <c r="H44" s="82"/>
    </row>
    <row r="45" spans="1:8" ht="15.6">
      <c r="A45" s="80"/>
      <c r="B45" s="427" t="s">
        <v>1726</v>
      </c>
      <c r="C45" s="428"/>
      <c r="D45" s="428"/>
      <c r="E45" s="428"/>
      <c r="F45" s="429"/>
      <c r="G45" s="81">
        <f>ROUND(G44,-3)</f>
        <v>38114000</v>
      </c>
      <c r="H45" s="82"/>
    </row>
    <row r="46" spans="1:8" ht="15.6">
      <c r="A46" s="430" t="str">
        <f>[18]!uni(G45)</f>
        <v xml:space="preserve">Ba mươi tám triệu một trăm mười bốn nghìn đồng </v>
      </c>
      <c r="B46" s="431"/>
      <c r="C46" s="431"/>
      <c r="D46" s="431"/>
      <c r="E46" s="431"/>
      <c r="F46" s="431"/>
      <c r="G46" s="431"/>
      <c r="H46" s="432"/>
    </row>
    <row r="47" spans="1:8">
      <c r="A47" s="17"/>
      <c r="B47" s="17"/>
      <c r="C47" s="97"/>
      <c r="D47" s="20"/>
      <c r="E47" s="19"/>
      <c r="G47" s="19"/>
      <c r="H47" s="17"/>
    </row>
    <row r="48" spans="1:8" s="109" customFormat="1" ht="16.5" customHeight="1">
      <c r="A48" s="108"/>
      <c r="B48" s="108"/>
      <c r="C48" s="424" t="s">
        <v>1742</v>
      </c>
      <c r="D48" s="424"/>
      <c r="E48" s="424"/>
      <c r="F48" s="424"/>
      <c r="G48" s="424"/>
      <c r="H48" s="424"/>
    </row>
    <row r="49" spans="1:8" s="109" customFormat="1" ht="16.5" customHeight="1">
      <c r="A49" s="423" t="s">
        <v>63</v>
      </c>
      <c r="B49" s="423"/>
      <c r="C49" s="424" t="s">
        <v>1743</v>
      </c>
      <c r="D49" s="424"/>
      <c r="E49" s="424"/>
      <c r="F49" s="424" t="s">
        <v>1744</v>
      </c>
      <c r="G49" s="424"/>
      <c r="H49" s="424"/>
    </row>
    <row r="50" spans="1:8" s="109" customFormat="1" ht="15.6">
      <c r="A50" s="108"/>
      <c r="B50" s="108"/>
      <c r="C50" s="108"/>
      <c r="D50" s="110"/>
      <c r="E50" s="111"/>
      <c r="F50" s="112"/>
      <c r="G50" s="111"/>
      <c r="H50" s="113"/>
    </row>
    <row r="51" spans="1:8" s="109" customFormat="1" ht="15.6">
      <c r="A51" s="108"/>
      <c r="B51" s="108"/>
      <c r="C51" s="108"/>
      <c r="D51" s="110"/>
      <c r="E51" s="111"/>
      <c r="F51" s="112"/>
      <c r="G51" s="114"/>
      <c r="H51" s="113"/>
    </row>
    <row r="52" spans="1:8" s="109" customFormat="1" ht="15.6">
      <c r="A52" s="108"/>
      <c r="B52" s="108"/>
      <c r="C52" s="108"/>
      <c r="D52" s="110"/>
      <c r="E52" s="111"/>
      <c r="F52" s="112"/>
      <c r="G52" s="111"/>
      <c r="H52" s="113"/>
    </row>
    <row r="53" spans="1:8" s="109" customFormat="1" ht="15.6">
      <c r="A53" s="108"/>
      <c r="B53" s="108"/>
      <c r="C53" s="108"/>
      <c r="D53" s="110"/>
      <c r="E53" s="111"/>
      <c r="F53" s="112"/>
      <c r="G53" s="111"/>
      <c r="H53" s="113"/>
    </row>
    <row r="54" spans="1:8" s="109" customFormat="1" ht="15.6">
      <c r="A54" s="108"/>
      <c r="B54" s="108"/>
      <c r="C54" s="108"/>
      <c r="D54" s="110"/>
      <c r="E54" s="111"/>
      <c r="F54" s="112"/>
      <c r="G54" s="111"/>
      <c r="H54" s="113"/>
    </row>
    <row r="55" spans="1:8" s="109" customFormat="1" ht="16.5" customHeight="1">
      <c r="A55" s="108"/>
      <c r="B55" s="198" t="s">
        <v>64</v>
      </c>
      <c r="C55" s="424"/>
      <c r="D55" s="424"/>
      <c r="E55" s="424"/>
      <c r="F55" s="424" t="s">
        <v>1745</v>
      </c>
      <c r="G55" s="424"/>
      <c r="H55" s="424"/>
    </row>
    <row r="56" spans="1:8" s="109" customFormat="1" ht="15.6">
      <c r="A56" s="108"/>
      <c r="B56" s="198"/>
      <c r="C56" s="199"/>
      <c r="D56" s="199"/>
      <c r="E56" s="199"/>
      <c r="F56" s="199"/>
      <c r="G56" s="199"/>
      <c r="H56" s="199"/>
    </row>
    <row r="57" spans="1:8" s="109" customFormat="1" ht="15" customHeight="1">
      <c r="A57" s="424" t="s">
        <v>1746</v>
      </c>
      <c r="B57" s="424"/>
      <c r="C57" s="424"/>
      <c r="D57" s="424"/>
      <c r="E57" s="424" t="s">
        <v>1747</v>
      </c>
      <c r="F57" s="424"/>
      <c r="G57" s="424"/>
      <c r="H57" s="424"/>
    </row>
    <row r="58" spans="1:8" s="109" customFormat="1" ht="33.6" customHeight="1">
      <c r="A58" s="424" t="s">
        <v>1748</v>
      </c>
      <c r="B58" s="424"/>
      <c r="C58" s="424"/>
      <c r="D58" s="424"/>
      <c r="E58" s="424" t="s">
        <v>65</v>
      </c>
      <c r="F58" s="424"/>
      <c r="G58" s="424"/>
      <c r="H58" s="424"/>
    </row>
    <row r="59" spans="1:8" s="109" customFormat="1" ht="15.6">
      <c r="A59" s="108"/>
      <c r="B59" s="108"/>
      <c r="C59" s="108"/>
      <c r="D59" s="110"/>
      <c r="E59" s="111"/>
      <c r="F59" s="112"/>
      <c r="G59" s="111"/>
      <c r="H59" s="113"/>
    </row>
    <row r="60" spans="1:8" s="109" customFormat="1" ht="15.6">
      <c r="A60" s="108"/>
      <c r="B60" s="108"/>
      <c r="C60" s="108"/>
      <c r="D60" s="110"/>
      <c r="E60" s="111"/>
      <c r="F60" s="112"/>
      <c r="G60" s="111"/>
      <c r="H60" s="113"/>
    </row>
    <row r="61" spans="1:8" s="109" customFormat="1" ht="15.6">
      <c r="A61" s="108"/>
      <c r="B61" s="108"/>
      <c r="C61" s="108"/>
      <c r="D61" s="110"/>
      <c r="E61" s="111"/>
      <c r="F61" s="112"/>
      <c r="G61" s="111"/>
      <c r="H61" s="113"/>
    </row>
    <row r="62" spans="1:8" s="109" customFormat="1" ht="15.6">
      <c r="A62" s="108"/>
      <c r="B62" s="108"/>
      <c r="C62" s="108"/>
      <c r="D62" s="110"/>
      <c r="E62" s="111"/>
      <c r="F62" s="112"/>
      <c r="G62" s="111"/>
      <c r="H62" s="113"/>
    </row>
    <row r="63" spans="1:8" s="109" customFormat="1" ht="15.6">
      <c r="A63" s="108"/>
      <c r="B63" s="108"/>
      <c r="C63" s="108"/>
      <c r="D63" s="110"/>
      <c r="E63" s="111"/>
      <c r="F63" s="112"/>
      <c r="G63" s="111"/>
      <c r="H63" s="113"/>
    </row>
    <row r="64" spans="1:8" s="109" customFormat="1" ht="15.6" customHeight="1">
      <c r="A64" s="108"/>
      <c r="B64" s="108"/>
      <c r="C64" s="108"/>
      <c r="D64" s="115"/>
      <c r="E64" s="439" t="s">
        <v>1749</v>
      </c>
      <c r="F64" s="439"/>
      <c r="G64" s="439"/>
      <c r="H64" s="439"/>
    </row>
    <row r="65" spans="1:8" s="109" customFormat="1" ht="16.5" customHeight="1">
      <c r="A65" s="424" t="s">
        <v>1751</v>
      </c>
      <c r="B65" s="424"/>
      <c r="C65" s="424"/>
      <c r="D65" s="424"/>
      <c r="E65" s="424" t="s">
        <v>1750</v>
      </c>
      <c r="F65" s="424"/>
      <c r="G65" s="424"/>
      <c r="H65" s="424"/>
    </row>
    <row r="66" spans="1:8" ht="20.25" customHeight="1">
      <c r="A66" s="438"/>
      <c r="B66" s="438"/>
      <c r="C66" s="438"/>
      <c r="D66" s="438"/>
      <c r="E66" s="438"/>
      <c r="F66" s="438"/>
      <c r="G66" s="438"/>
      <c r="H66" s="438"/>
    </row>
    <row r="67" spans="1:8" s="17" customFormat="1" ht="16.2" customHeight="1">
      <c r="D67" s="18"/>
      <c r="E67" s="19"/>
      <c r="F67" s="97"/>
      <c r="G67" s="19"/>
    </row>
    <row r="68" spans="1:8" s="17" customFormat="1" ht="16.2" customHeight="1">
      <c r="D68" s="18"/>
      <c r="E68" s="19"/>
      <c r="F68" s="97"/>
      <c r="G68" s="19"/>
    </row>
    <row r="69" spans="1:8" s="17" customFormat="1" ht="16.2" customHeight="1">
      <c r="D69" s="18"/>
      <c r="E69" s="19"/>
      <c r="F69" s="97"/>
      <c r="G69" s="19"/>
    </row>
    <row r="70" spans="1:8" s="17" customFormat="1" ht="16.2" customHeight="1">
      <c r="D70" s="18"/>
      <c r="E70" s="19"/>
      <c r="F70" s="97"/>
      <c r="G70" s="19"/>
    </row>
    <row r="71" spans="1:8" s="17" customFormat="1" ht="16.2" customHeight="1">
      <c r="D71" s="18"/>
      <c r="E71" s="19"/>
      <c r="F71" s="97"/>
      <c r="G71" s="19"/>
    </row>
    <row r="72" spans="1:8" s="17" customFormat="1" ht="16.2" customHeight="1">
      <c r="D72" s="18"/>
      <c r="E72" s="19"/>
      <c r="F72" s="97"/>
      <c r="G72" s="19"/>
    </row>
    <row r="73" spans="1:8" s="17" customFormat="1" ht="16.2" customHeight="1">
      <c r="D73" s="18"/>
      <c r="E73" s="19"/>
      <c r="F73" s="97"/>
      <c r="G73" s="19"/>
    </row>
    <row r="74" spans="1:8" s="17" customFormat="1" ht="16.2" customHeight="1">
      <c r="D74" s="18"/>
      <c r="E74" s="19"/>
      <c r="F74" s="97"/>
      <c r="G74" s="19"/>
    </row>
    <row r="75" spans="1:8" s="17" customFormat="1" ht="16.2" customHeight="1">
      <c r="D75" s="18"/>
      <c r="E75" s="19"/>
      <c r="F75" s="97"/>
      <c r="G75" s="19"/>
    </row>
    <row r="76" spans="1:8" s="17" customFormat="1" ht="16.2" customHeight="1">
      <c r="D76" s="18"/>
      <c r="E76" s="19"/>
      <c r="F76" s="97"/>
      <c r="G76" s="19"/>
    </row>
    <row r="77" spans="1:8" s="17" customFormat="1" ht="16.2" customHeight="1">
      <c r="D77" s="18"/>
      <c r="E77" s="19"/>
      <c r="F77" s="97"/>
      <c r="G77" s="19"/>
    </row>
    <row r="78" spans="1:8" s="17" customFormat="1" ht="16.2" customHeight="1">
      <c r="D78" s="18"/>
      <c r="E78" s="19"/>
      <c r="F78" s="97"/>
      <c r="G78" s="19"/>
    </row>
    <row r="79" spans="1:8" s="17" customFormat="1" ht="16.2" customHeight="1">
      <c r="D79" s="18"/>
      <c r="E79" s="19"/>
      <c r="F79" s="97"/>
      <c r="G79" s="19"/>
    </row>
    <row r="80" spans="1:8" s="17" customFormat="1" ht="16.2" customHeight="1">
      <c r="D80" s="18"/>
      <c r="E80" s="19"/>
      <c r="F80" s="97"/>
      <c r="G80" s="19"/>
    </row>
    <row r="81" spans="3:7" s="17" customFormat="1" ht="16.2" customHeight="1">
      <c r="D81" s="18"/>
      <c r="E81" s="19"/>
      <c r="F81" s="97"/>
      <c r="G81" s="19"/>
    </row>
    <row r="82" spans="3:7" s="17" customFormat="1" ht="16.2" customHeight="1">
      <c r="D82" s="18"/>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s="17" customFormat="1" ht="16.2" customHeight="1">
      <c r="C87" s="97"/>
      <c r="D87" s="20"/>
      <c r="E87" s="19"/>
      <c r="F87" s="97"/>
      <c r="G87" s="19"/>
    </row>
    <row r="88" spans="3:7" s="17" customFormat="1" ht="16.2" customHeight="1">
      <c r="C88" s="97"/>
      <c r="D88" s="20"/>
      <c r="E88" s="19"/>
      <c r="F88" s="97"/>
      <c r="G88" s="19"/>
    </row>
    <row r="89" spans="3:7" s="17" customFormat="1" ht="16.2" customHeight="1">
      <c r="C89" s="97"/>
      <c r="D89" s="20"/>
      <c r="E89" s="19"/>
      <c r="F89" s="97"/>
      <c r="G89" s="19"/>
    </row>
    <row r="90" spans="3:7" s="17" customFormat="1" ht="16.2" customHeight="1">
      <c r="C90" s="97"/>
      <c r="D90" s="20"/>
      <c r="E90" s="19"/>
      <c r="F90" s="97"/>
      <c r="G90" s="19"/>
    </row>
    <row r="91" spans="3:7" s="17" customFormat="1" ht="16.2" customHeight="1">
      <c r="C91" s="97"/>
      <c r="D91" s="20"/>
      <c r="E91" s="19"/>
      <c r="F91" s="97"/>
      <c r="G91" s="19"/>
    </row>
    <row r="92" spans="3:7" s="17" customFormat="1" ht="16.2" customHeight="1">
      <c r="C92" s="97"/>
      <c r="D92" s="20"/>
      <c r="E92" s="19"/>
      <c r="F92" s="97"/>
      <c r="G92" s="19"/>
    </row>
    <row r="93" spans="3:7" s="17" customFormat="1" ht="16.2" customHeight="1">
      <c r="C93" s="97"/>
      <c r="D93" s="20"/>
      <c r="E93" s="19"/>
      <c r="F93" s="97"/>
      <c r="G93" s="19"/>
    </row>
    <row r="94" spans="3:7" s="17" customFormat="1" ht="16.2" customHeight="1">
      <c r="C94" s="97"/>
      <c r="D94" s="20"/>
      <c r="E94" s="19"/>
      <c r="F94" s="97"/>
      <c r="G94" s="19"/>
    </row>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ht="16.2" customHeight="1"/>
    <row r="235" ht="16.2" customHeight="1"/>
    <row r="236" ht="16.2" customHeight="1"/>
    <row r="237" ht="16.2" customHeight="1"/>
    <row r="238" ht="16.2" customHeight="1"/>
    <row r="239" ht="16.2" customHeight="1"/>
    <row r="240" ht="16.2" customHeight="1"/>
    <row r="241"/>
    <row r="242"/>
    <row r="243"/>
    <row r="244"/>
    <row r="245"/>
    <row r="246"/>
    <row r="247"/>
    <row r="248"/>
    <row r="249"/>
    <row r="250"/>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sheetData>
  <mergeCells count="35">
    <mergeCell ref="A4:B4"/>
    <mergeCell ref="C4:H4"/>
    <mergeCell ref="A1:B1"/>
    <mergeCell ref="C1:H1"/>
    <mergeCell ref="A2:B2"/>
    <mergeCell ref="C2:H2"/>
    <mergeCell ref="A3:B3"/>
    <mergeCell ref="B44:F44"/>
    <mergeCell ref="A6:H6"/>
    <mergeCell ref="A7:H7"/>
    <mergeCell ref="A8:H8"/>
    <mergeCell ref="A9:H9"/>
    <mergeCell ref="A10:H10"/>
    <mergeCell ref="A11:H11"/>
    <mergeCell ref="B13:F13"/>
    <mergeCell ref="B15:D15"/>
    <mergeCell ref="B18:F18"/>
    <mergeCell ref="B24:F24"/>
    <mergeCell ref="B36:F36"/>
    <mergeCell ref="B45:F45"/>
    <mergeCell ref="A46:H46"/>
    <mergeCell ref="C48:H48"/>
    <mergeCell ref="A49:B49"/>
    <mergeCell ref="C49:E49"/>
    <mergeCell ref="F49:H49"/>
    <mergeCell ref="E64:H64"/>
    <mergeCell ref="A65:D65"/>
    <mergeCell ref="E65:H65"/>
    <mergeCell ref="A66:H66"/>
    <mergeCell ref="C55:E55"/>
    <mergeCell ref="F55:H55"/>
    <mergeCell ref="A57:D57"/>
    <mergeCell ref="E57:H57"/>
    <mergeCell ref="A58:D58"/>
    <mergeCell ref="E58:H58"/>
  </mergeCells>
  <dataValidations count="2">
    <dataValidation type="list" allowBlank="1" showInputMessage="1" showErrorMessage="1" sqref="B37:B43" xr:uid="{00000000-0002-0000-2900-000000000000}">
      <formula1>bichphuong</formula1>
    </dataValidation>
    <dataValidation type="list" allowBlank="1" showInputMessage="1" showErrorMessage="1" sqref="WVJ983058:WVJ983075 B983058:B983075 IX983058:IX983075 ST983058:ST983075 ACP983058:ACP983075 AML983058:AML983075 AWH983058:AWH983075 BGD983058:BGD983075 BPZ983058:BPZ983075 BZV983058:BZV983075 CJR983058:CJR983075 CTN983058:CTN983075 DDJ983058:DDJ983075 DNF983058:DNF983075 DXB983058:DXB983075 EGX983058:EGX983075 EQT983058:EQT983075 FAP983058:FAP983075 FKL983058:FKL983075 FUH983058:FUH983075 GED983058:GED983075 GNZ983058:GNZ983075 GXV983058:GXV983075 HHR983058:HHR983075 HRN983058:HRN983075 IBJ983058:IBJ983075 ILF983058:ILF983075 IVB983058:IVB983075 JEX983058:JEX983075 JOT983058:JOT983075 JYP983058:JYP983075 KIL983058:KIL983075 KSH983058:KSH983075 LCD983058:LCD983075 LLZ983058:LLZ983075 LVV983058:LVV983075 MFR983058:MFR983075 MPN983058:MPN983075 MZJ983058:MZJ983075 NJF983058:NJF983075 NTB983058:NTB983075 OCX983058:OCX983075 OMT983058:OMT983075 OWP983058:OWP983075 PGL983058:PGL983075 PQH983058:PQH983075 QAD983058:QAD983075 QJZ983058:QJZ983075 QTV983058:QTV983075 RDR983058:RDR983075 RNN983058:RNN983075 RXJ983058:RXJ983075 SHF983058:SHF983075 SRB983058:SRB983075 TAX983058:TAX983075 TKT983058:TKT983075 TUP983058:TUP983075 UEL983058:UEL983075 UOH983058:UOH983075 UYD983058:UYD983075 VHZ983058:VHZ983075 VRV983058:VRV983075 WBR983058:WBR983075 WLN983058:WLN983075 B65554:B65571 IX65554:IX65571 ST65554:ST65571 ACP65554:ACP65571 AML65554:AML65571 AWH65554:AWH65571 BGD65554:BGD65571 BPZ65554:BPZ65571 BZV65554:BZV65571 CJR65554:CJR65571 CTN65554:CTN65571 DDJ65554:DDJ65571 DNF65554:DNF65571 DXB65554:DXB65571 EGX65554:EGX65571 EQT65554:EQT65571 FAP65554:FAP65571 FKL65554:FKL65571 FUH65554:FUH65571 GED65554:GED65571 GNZ65554:GNZ65571 GXV65554:GXV65571 HHR65554:HHR65571 HRN65554:HRN65571 IBJ65554:IBJ65571 ILF65554:ILF65571 IVB65554:IVB65571 JEX65554:JEX65571 JOT65554:JOT65571 JYP65554:JYP65571 KIL65554:KIL65571 KSH65554:KSH65571 LCD65554:LCD65571 LLZ65554:LLZ65571 LVV65554:LVV65571 MFR65554:MFR65571 MPN65554:MPN65571 MZJ65554:MZJ65571 NJF65554:NJF65571 NTB65554:NTB65571 OCX65554:OCX65571 OMT65554:OMT65571 OWP65554:OWP65571 PGL65554:PGL65571 PQH65554:PQH65571 QAD65554:QAD65571 QJZ65554:QJZ65571 QTV65554:QTV65571 RDR65554:RDR65571 RNN65554:RNN65571 RXJ65554:RXJ65571 SHF65554:SHF65571 SRB65554:SRB65571 TAX65554:TAX65571 TKT65554:TKT65571 TUP65554:TUP65571 UEL65554:UEL65571 UOH65554:UOH65571 UYD65554:UYD65571 VHZ65554:VHZ65571 VRV65554:VRV65571 WBR65554:WBR65571 WLN65554:WLN65571 WVJ65554:WVJ65571 B131090:B131107 IX131090:IX131107 ST131090:ST131107 ACP131090:ACP131107 AML131090:AML131107 AWH131090:AWH131107 BGD131090:BGD131107 BPZ131090:BPZ131107 BZV131090:BZV131107 CJR131090:CJR131107 CTN131090:CTN131107 DDJ131090:DDJ131107 DNF131090:DNF131107 DXB131090:DXB131107 EGX131090:EGX131107 EQT131090:EQT131107 FAP131090:FAP131107 FKL131090:FKL131107 FUH131090:FUH131107 GED131090:GED131107 GNZ131090:GNZ131107 GXV131090:GXV131107 HHR131090:HHR131107 HRN131090:HRN131107 IBJ131090:IBJ131107 ILF131090:ILF131107 IVB131090:IVB131107 JEX131090:JEX131107 JOT131090:JOT131107 JYP131090:JYP131107 KIL131090:KIL131107 KSH131090:KSH131107 LCD131090:LCD131107 LLZ131090:LLZ131107 LVV131090:LVV131107 MFR131090:MFR131107 MPN131090:MPN131107 MZJ131090:MZJ131107 NJF131090:NJF131107 NTB131090:NTB131107 OCX131090:OCX131107 OMT131090:OMT131107 OWP131090:OWP131107 PGL131090:PGL131107 PQH131090:PQH131107 QAD131090:QAD131107 QJZ131090:QJZ131107 QTV131090:QTV131107 RDR131090:RDR131107 RNN131090:RNN131107 RXJ131090:RXJ131107 SHF131090:SHF131107 SRB131090:SRB131107 TAX131090:TAX131107 TKT131090:TKT131107 TUP131090:TUP131107 UEL131090:UEL131107 UOH131090:UOH131107 UYD131090:UYD131107 VHZ131090:VHZ131107 VRV131090:VRV131107 WBR131090:WBR131107 WLN131090:WLN131107 WVJ131090:WVJ131107 B196626:B196643 IX196626:IX196643 ST196626:ST196643 ACP196626:ACP196643 AML196626:AML196643 AWH196626:AWH196643 BGD196626:BGD196643 BPZ196626:BPZ196643 BZV196626:BZV196643 CJR196626:CJR196643 CTN196626:CTN196643 DDJ196626:DDJ196643 DNF196626:DNF196643 DXB196626:DXB196643 EGX196626:EGX196643 EQT196626:EQT196643 FAP196626:FAP196643 FKL196626:FKL196643 FUH196626:FUH196643 GED196626:GED196643 GNZ196626:GNZ196643 GXV196626:GXV196643 HHR196626:HHR196643 HRN196626:HRN196643 IBJ196626:IBJ196643 ILF196626:ILF196643 IVB196626:IVB196643 JEX196626:JEX196643 JOT196626:JOT196643 JYP196626:JYP196643 KIL196626:KIL196643 KSH196626:KSH196643 LCD196626:LCD196643 LLZ196626:LLZ196643 LVV196626:LVV196643 MFR196626:MFR196643 MPN196626:MPN196643 MZJ196626:MZJ196643 NJF196626:NJF196643 NTB196626:NTB196643 OCX196626:OCX196643 OMT196626:OMT196643 OWP196626:OWP196643 PGL196626:PGL196643 PQH196626:PQH196643 QAD196626:QAD196643 QJZ196626:QJZ196643 QTV196626:QTV196643 RDR196626:RDR196643 RNN196626:RNN196643 RXJ196626:RXJ196643 SHF196626:SHF196643 SRB196626:SRB196643 TAX196626:TAX196643 TKT196626:TKT196643 TUP196626:TUP196643 UEL196626:UEL196643 UOH196626:UOH196643 UYD196626:UYD196643 VHZ196626:VHZ196643 VRV196626:VRV196643 WBR196626:WBR196643 WLN196626:WLN196643 WVJ196626:WVJ196643 B262162:B262179 IX262162:IX262179 ST262162:ST262179 ACP262162:ACP262179 AML262162:AML262179 AWH262162:AWH262179 BGD262162:BGD262179 BPZ262162:BPZ262179 BZV262162:BZV262179 CJR262162:CJR262179 CTN262162:CTN262179 DDJ262162:DDJ262179 DNF262162:DNF262179 DXB262162:DXB262179 EGX262162:EGX262179 EQT262162:EQT262179 FAP262162:FAP262179 FKL262162:FKL262179 FUH262162:FUH262179 GED262162:GED262179 GNZ262162:GNZ262179 GXV262162:GXV262179 HHR262162:HHR262179 HRN262162:HRN262179 IBJ262162:IBJ262179 ILF262162:ILF262179 IVB262162:IVB262179 JEX262162:JEX262179 JOT262162:JOT262179 JYP262162:JYP262179 KIL262162:KIL262179 KSH262162:KSH262179 LCD262162:LCD262179 LLZ262162:LLZ262179 LVV262162:LVV262179 MFR262162:MFR262179 MPN262162:MPN262179 MZJ262162:MZJ262179 NJF262162:NJF262179 NTB262162:NTB262179 OCX262162:OCX262179 OMT262162:OMT262179 OWP262162:OWP262179 PGL262162:PGL262179 PQH262162:PQH262179 QAD262162:QAD262179 QJZ262162:QJZ262179 QTV262162:QTV262179 RDR262162:RDR262179 RNN262162:RNN262179 RXJ262162:RXJ262179 SHF262162:SHF262179 SRB262162:SRB262179 TAX262162:TAX262179 TKT262162:TKT262179 TUP262162:TUP262179 UEL262162:UEL262179 UOH262162:UOH262179 UYD262162:UYD262179 VHZ262162:VHZ262179 VRV262162:VRV262179 WBR262162:WBR262179 WLN262162:WLN262179 WVJ262162:WVJ262179 B327698:B327715 IX327698:IX327715 ST327698:ST327715 ACP327698:ACP327715 AML327698:AML327715 AWH327698:AWH327715 BGD327698:BGD327715 BPZ327698:BPZ327715 BZV327698:BZV327715 CJR327698:CJR327715 CTN327698:CTN327715 DDJ327698:DDJ327715 DNF327698:DNF327715 DXB327698:DXB327715 EGX327698:EGX327715 EQT327698:EQT327715 FAP327698:FAP327715 FKL327698:FKL327715 FUH327698:FUH327715 GED327698:GED327715 GNZ327698:GNZ327715 GXV327698:GXV327715 HHR327698:HHR327715 HRN327698:HRN327715 IBJ327698:IBJ327715 ILF327698:ILF327715 IVB327698:IVB327715 JEX327698:JEX327715 JOT327698:JOT327715 JYP327698:JYP327715 KIL327698:KIL327715 KSH327698:KSH327715 LCD327698:LCD327715 LLZ327698:LLZ327715 LVV327698:LVV327715 MFR327698:MFR327715 MPN327698:MPN327715 MZJ327698:MZJ327715 NJF327698:NJF327715 NTB327698:NTB327715 OCX327698:OCX327715 OMT327698:OMT327715 OWP327698:OWP327715 PGL327698:PGL327715 PQH327698:PQH327715 QAD327698:QAD327715 QJZ327698:QJZ327715 QTV327698:QTV327715 RDR327698:RDR327715 RNN327698:RNN327715 RXJ327698:RXJ327715 SHF327698:SHF327715 SRB327698:SRB327715 TAX327698:TAX327715 TKT327698:TKT327715 TUP327698:TUP327715 UEL327698:UEL327715 UOH327698:UOH327715 UYD327698:UYD327715 VHZ327698:VHZ327715 VRV327698:VRV327715 WBR327698:WBR327715 WLN327698:WLN327715 WVJ327698:WVJ327715 B393234:B393251 IX393234:IX393251 ST393234:ST393251 ACP393234:ACP393251 AML393234:AML393251 AWH393234:AWH393251 BGD393234:BGD393251 BPZ393234:BPZ393251 BZV393234:BZV393251 CJR393234:CJR393251 CTN393234:CTN393251 DDJ393234:DDJ393251 DNF393234:DNF393251 DXB393234:DXB393251 EGX393234:EGX393251 EQT393234:EQT393251 FAP393234:FAP393251 FKL393234:FKL393251 FUH393234:FUH393251 GED393234:GED393251 GNZ393234:GNZ393251 GXV393234:GXV393251 HHR393234:HHR393251 HRN393234:HRN393251 IBJ393234:IBJ393251 ILF393234:ILF393251 IVB393234:IVB393251 JEX393234:JEX393251 JOT393234:JOT393251 JYP393234:JYP393251 KIL393234:KIL393251 KSH393234:KSH393251 LCD393234:LCD393251 LLZ393234:LLZ393251 LVV393234:LVV393251 MFR393234:MFR393251 MPN393234:MPN393251 MZJ393234:MZJ393251 NJF393234:NJF393251 NTB393234:NTB393251 OCX393234:OCX393251 OMT393234:OMT393251 OWP393234:OWP393251 PGL393234:PGL393251 PQH393234:PQH393251 QAD393234:QAD393251 QJZ393234:QJZ393251 QTV393234:QTV393251 RDR393234:RDR393251 RNN393234:RNN393251 RXJ393234:RXJ393251 SHF393234:SHF393251 SRB393234:SRB393251 TAX393234:TAX393251 TKT393234:TKT393251 TUP393234:TUP393251 UEL393234:UEL393251 UOH393234:UOH393251 UYD393234:UYD393251 VHZ393234:VHZ393251 VRV393234:VRV393251 WBR393234:WBR393251 WLN393234:WLN393251 WVJ393234:WVJ393251 B458770:B458787 IX458770:IX458787 ST458770:ST458787 ACP458770:ACP458787 AML458770:AML458787 AWH458770:AWH458787 BGD458770:BGD458787 BPZ458770:BPZ458787 BZV458770:BZV458787 CJR458770:CJR458787 CTN458770:CTN458787 DDJ458770:DDJ458787 DNF458770:DNF458787 DXB458770:DXB458787 EGX458770:EGX458787 EQT458770:EQT458787 FAP458770:FAP458787 FKL458770:FKL458787 FUH458770:FUH458787 GED458770:GED458787 GNZ458770:GNZ458787 GXV458770:GXV458787 HHR458770:HHR458787 HRN458770:HRN458787 IBJ458770:IBJ458787 ILF458770:ILF458787 IVB458770:IVB458787 JEX458770:JEX458787 JOT458770:JOT458787 JYP458770:JYP458787 KIL458770:KIL458787 KSH458770:KSH458787 LCD458770:LCD458787 LLZ458770:LLZ458787 LVV458770:LVV458787 MFR458770:MFR458787 MPN458770:MPN458787 MZJ458770:MZJ458787 NJF458770:NJF458787 NTB458770:NTB458787 OCX458770:OCX458787 OMT458770:OMT458787 OWP458770:OWP458787 PGL458770:PGL458787 PQH458770:PQH458787 QAD458770:QAD458787 QJZ458770:QJZ458787 QTV458770:QTV458787 RDR458770:RDR458787 RNN458770:RNN458787 RXJ458770:RXJ458787 SHF458770:SHF458787 SRB458770:SRB458787 TAX458770:TAX458787 TKT458770:TKT458787 TUP458770:TUP458787 UEL458770:UEL458787 UOH458770:UOH458787 UYD458770:UYD458787 VHZ458770:VHZ458787 VRV458770:VRV458787 WBR458770:WBR458787 WLN458770:WLN458787 WVJ458770:WVJ458787 B524306:B524323 IX524306:IX524323 ST524306:ST524323 ACP524306:ACP524323 AML524306:AML524323 AWH524306:AWH524323 BGD524306:BGD524323 BPZ524306:BPZ524323 BZV524306:BZV524323 CJR524306:CJR524323 CTN524306:CTN524323 DDJ524306:DDJ524323 DNF524306:DNF524323 DXB524306:DXB524323 EGX524306:EGX524323 EQT524306:EQT524323 FAP524306:FAP524323 FKL524306:FKL524323 FUH524306:FUH524323 GED524306:GED524323 GNZ524306:GNZ524323 GXV524306:GXV524323 HHR524306:HHR524323 HRN524306:HRN524323 IBJ524306:IBJ524323 ILF524306:ILF524323 IVB524306:IVB524323 JEX524306:JEX524323 JOT524306:JOT524323 JYP524306:JYP524323 KIL524306:KIL524323 KSH524306:KSH524323 LCD524306:LCD524323 LLZ524306:LLZ524323 LVV524306:LVV524323 MFR524306:MFR524323 MPN524306:MPN524323 MZJ524306:MZJ524323 NJF524306:NJF524323 NTB524306:NTB524323 OCX524306:OCX524323 OMT524306:OMT524323 OWP524306:OWP524323 PGL524306:PGL524323 PQH524306:PQH524323 QAD524306:QAD524323 QJZ524306:QJZ524323 QTV524306:QTV524323 RDR524306:RDR524323 RNN524306:RNN524323 RXJ524306:RXJ524323 SHF524306:SHF524323 SRB524306:SRB524323 TAX524306:TAX524323 TKT524306:TKT524323 TUP524306:TUP524323 UEL524306:UEL524323 UOH524306:UOH524323 UYD524306:UYD524323 VHZ524306:VHZ524323 VRV524306:VRV524323 WBR524306:WBR524323 WLN524306:WLN524323 WVJ524306:WVJ524323 B589842:B589859 IX589842:IX589859 ST589842:ST589859 ACP589842:ACP589859 AML589842:AML589859 AWH589842:AWH589859 BGD589842:BGD589859 BPZ589842:BPZ589859 BZV589842:BZV589859 CJR589842:CJR589859 CTN589842:CTN589859 DDJ589842:DDJ589859 DNF589842:DNF589859 DXB589842:DXB589859 EGX589842:EGX589859 EQT589842:EQT589859 FAP589842:FAP589859 FKL589842:FKL589859 FUH589842:FUH589859 GED589842:GED589859 GNZ589842:GNZ589859 GXV589842:GXV589859 HHR589842:HHR589859 HRN589842:HRN589859 IBJ589842:IBJ589859 ILF589842:ILF589859 IVB589842:IVB589859 JEX589842:JEX589859 JOT589842:JOT589859 JYP589842:JYP589859 KIL589842:KIL589859 KSH589842:KSH589859 LCD589842:LCD589859 LLZ589842:LLZ589859 LVV589842:LVV589859 MFR589842:MFR589859 MPN589842:MPN589859 MZJ589842:MZJ589859 NJF589842:NJF589859 NTB589842:NTB589859 OCX589842:OCX589859 OMT589842:OMT589859 OWP589842:OWP589859 PGL589842:PGL589859 PQH589842:PQH589859 QAD589842:QAD589859 QJZ589842:QJZ589859 QTV589842:QTV589859 RDR589842:RDR589859 RNN589842:RNN589859 RXJ589842:RXJ589859 SHF589842:SHF589859 SRB589842:SRB589859 TAX589842:TAX589859 TKT589842:TKT589859 TUP589842:TUP589859 UEL589842:UEL589859 UOH589842:UOH589859 UYD589842:UYD589859 VHZ589842:VHZ589859 VRV589842:VRV589859 WBR589842:WBR589859 WLN589842:WLN589859 WVJ589842:WVJ589859 B655378:B655395 IX655378:IX655395 ST655378:ST655395 ACP655378:ACP655395 AML655378:AML655395 AWH655378:AWH655395 BGD655378:BGD655395 BPZ655378:BPZ655395 BZV655378:BZV655395 CJR655378:CJR655395 CTN655378:CTN655395 DDJ655378:DDJ655395 DNF655378:DNF655395 DXB655378:DXB655395 EGX655378:EGX655395 EQT655378:EQT655395 FAP655378:FAP655395 FKL655378:FKL655395 FUH655378:FUH655395 GED655378:GED655395 GNZ655378:GNZ655395 GXV655378:GXV655395 HHR655378:HHR655395 HRN655378:HRN655395 IBJ655378:IBJ655395 ILF655378:ILF655395 IVB655378:IVB655395 JEX655378:JEX655395 JOT655378:JOT655395 JYP655378:JYP655395 KIL655378:KIL655395 KSH655378:KSH655395 LCD655378:LCD655395 LLZ655378:LLZ655395 LVV655378:LVV655395 MFR655378:MFR655395 MPN655378:MPN655395 MZJ655378:MZJ655395 NJF655378:NJF655395 NTB655378:NTB655395 OCX655378:OCX655395 OMT655378:OMT655395 OWP655378:OWP655395 PGL655378:PGL655395 PQH655378:PQH655395 QAD655378:QAD655395 QJZ655378:QJZ655395 QTV655378:QTV655395 RDR655378:RDR655395 RNN655378:RNN655395 RXJ655378:RXJ655395 SHF655378:SHF655395 SRB655378:SRB655395 TAX655378:TAX655395 TKT655378:TKT655395 TUP655378:TUP655395 UEL655378:UEL655395 UOH655378:UOH655395 UYD655378:UYD655395 VHZ655378:VHZ655395 VRV655378:VRV655395 WBR655378:WBR655395 WLN655378:WLN655395 WVJ655378:WVJ655395 B720914:B720931 IX720914:IX720931 ST720914:ST720931 ACP720914:ACP720931 AML720914:AML720931 AWH720914:AWH720931 BGD720914:BGD720931 BPZ720914:BPZ720931 BZV720914:BZV720931 CJR720914:CJR720931 CTN720914:CTN720931 DDJ720914:DDJ720931 DNF720914:DNF720931 DXB720914:DXB720931 EGX720914:EGX720931 EQT720914:EQT720931 FAP720914:FAP720931 FKL720914:FKL720931 FUH720914:FUH720931 GED720914:GED720931 GNZ720914:GNZ720931 GXV720914:GXV720931 HHR720914:HHR720931 HRN720914:HRN720931 IBJ720914:IBJ720931 ILF720914:ILF720931 IVB720914:IVB720931 JEX720914:JEX720931 JOT720914:JOT720931 JYP720914:JYP720931 KIL720914:KIL720931 KSH720914:KSH720931 LCD720914:LCD720931 LLZ720914:LLZ720931 LVV720914:LVV720931 MFR720914:MFR720931 MPN720914:MPN720931 MZJ720914:MZJ720931 NJF720914:NJF720931 NTB720914:NTB720931 OCX720914:OCX720931 OMT720914:OMT720931 OWP720914:OWP720931 PGL720914:PGL720931 PQH720914:PQH720931 QAD720914:QAD720931 QJZ720914:QJZ720931 QTV720914:QTV720931 RDR720914:RDR720931 RNN720914:RNN720931 RXJ720914:RXJ720931 SHF720914:SHF720931 SRB720914:SRB720931 TAX720914:TAX720931 TKT720914:TKT720931 TUP720914:TUP720931 UEL720914:UEL720931 UOH720914:UOH720931 UYD720914:UYD720931 VHZ720914:VHZ720931 VRV720914:VRV720931 WBR720914:WBR720931 WLN720914:WLN720931 WVJ720914:WVJ720931 B786450:B786467 IX786450:IX786467 ST786450:ST786467 ACP786450:ACP786467 AML786450:AML786467 AWH786450:AWH786467 BGD786450:BGD786467 BPZ786450:BPZ786467 BZV786450:BZV786467 CJR786450:CJR786467 CTN786450:CTN786467 DDJ786450:DDJ786467 DNF786450:DNF786467 DXB786450:DXB786467 EGX786450:EGX786467 EQT786450:EQT786467 FAP786450:FAP786467 FKL786450:FKL786467 FUH786450:FUH786467 GED786450:GED786467 GNZ786450:GNZ786467 GXV786450:GXV786467 HHR786450:HHR786467 HRN786450:HRN786467 IBJ786450:IBJ786467 ILF786450:ILF786467 IVB786450:IVB786467 JEX786450:JEX786467 JOT786450:JOT786467 JYP786450:JYP786467 KIL786450:KIL786467 KSH786450:KSH786467 LCD786450:LCD786467 LLZ786450:LLZ786467 LVV786450:LVV786467 MFR786450:MFR786467 MPN786450:MPN786467 MZJ786450:MZJ786467 NJF786450:NJF786467 NTB786450:NTB786467 OCX786450:OCX786467 OMT786450:OMT786467 OWP786450:OWP786467 PGL786450:PGL786467 PQH786450:PQH786467 QAD786450:QAD786467 QJZ786450:QJZ786467 QTV786450:QTV786467 RDR786450:RDR786467 RNN786450:RNN786467 RXJ786450:RXJ786467 SHF786450:SHF786467 SRB786450:SRB786467 TAX786450:TAX786467 TKT786450:TKT786467 TUP786450:TUP786467 UEL786450:UEL786467 UOH786450:UOH786467 UYD786450:UYD786467 VHZ786450:VHZ786467 VRV786450:VRV786467 WBR786450:WBR786467 WLN786450:WLN786467 WVJ786450:WVJ786467 B851986:B852003 IX851986:IX852003 ST851986:ST852003 ACP851986:ACP852003 AML851986:AML852003 AWH851986:AWH852003 BGD851986:BGD852003 BPZ851986:BPZ852003 BZV851986:BZV852003 CJR851986:CJR852003 CTN851986:CTN852003 DDJ851986:DDJ852003 DNF851986:DNF852003 DXB851986:DXB852003 EGX851986:EGX852003 EQT851986:EQT852003 FAP851986:FAP852003 FKL851986:FKL852003 FUH851986:FUH852003 GED851986:GED852003 GNZ851986:GNZ852003 GXV851986:GXV852003 HHR851986:HHR852003 HRN851986:HRN852003 IBJ851986:IBJ852003 ILF851986:ILF852003 IVB851986:IVB852003 JEX851986:JEX852003 JOT851986:JOT852003 JYP851986:JYP852003 KIL851986:KIL852003 KSH851986:KSH852003 LCD851986:LCD852003 LLZ851986:LLZ852003 LVV851986:LVV852003 MFR851986:MFR852003 MPN851986:MPN852003 MZJ851986:MZJ852003 NJF851986:NJF852003 NTB851986:NTB852003 OCX851986:OCX852003 OMT851986:OMT852003 OWP851986:OWP852003 PGL851986:PGL852003 PQH851986:PQH852003 QAD851986:QAD852003 QJZ851986:QJZ852003 QTV851986:QTV852003 RDR851986:RDR852003 RNN851986:RNN852003 RXJ851986:RXJ852003 SHF851986:SHF852003 SRB851986:SRB852003 TAX851986:TAX852003 TKT851986:TKT852003 TUP851986:TUP852003 UEL851986:UEL852003 UOH851986:UOH852003 UYD851986:UYD852003 VHZ851986:VHZ852003 VRV851986:VRV852003 WBR851986:WBR852003 WLN851986:WLN852003 WVJ851986:WVJ852003 B917522:B917539 IX917522:IX917539 ST917522:ST917539 ACP917522:ACP917539 AML917522:AML917539 AWH917522:AWH917539 BGD917522:BGD917539 BPZ917522:BPZ917539 BZV917522:BZV917539 CJR917522:CJR917539 CTN917522:CTN917539 DDJ917522:DDJ917539 DNF917522:DNF917539 DXB917522:DXB917539 EGX917522:EGX917539 EQT917522:EQT917539 FAP917522:FAP917539 FKL917522:FKL917539 FUH917522:FUH917539 GED917522:GED917539 GNZ917522:GNZ917539 GXV917522:GXV917539 HHR917522:HHR917539 HRN917522:HRN917539 IBJ917522:IBJ917539 ILF917522:ILF917539 IVB917522:IVB917539 JEX917522:JEX917539 JOT917522:JOT917539 JYP917522:JYP917539 KIL917522:KIL917539 KSH917522:KSH917539 LCD917522:LCD917539 LLZ917522:LLZ917539 LVV917522:LVV917539 MFR917522:MFR917539 MPN917522:MPN917539 MZJ917522:MZJ917539 NJF917522:NJF917539 NTB917522:NTB917539 OCX917522:OCX917539 OMT917522:OMT917539 OWP917522:OWP917539 PGL917522:PGL917539 PQH917522:PQH917539 QAD917522:QAD917539 QJZ917522:QJZ917539 QTV917522:QTV917539 RDR917522:RDR917539 RNN917522:RNN917539 RXJ917522:RXJ917539 SHF917522:SHF917539 SRB917522:SRB917539 TAX917522:TAX917539 TKT917522:TKT917539 TUP917522:TUP917539 UEL917522:UEL917539 UOH917522:UOH917539 UYD917522:UYD917539 VHZ917522:VHZ917539 VRV917522:VRV917539 WBR917522:WBR917539 WLN917522:WLN917539 WVJ917522:WVJ917539" xr:uid="{00000000-0002-0000-2900-000001000000}">
      <formula1>trung</formula1>
    </dataValidation>
  </dataValidation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H260"/>
  <sheetViews>
    <sheetView topLeftCell="A12"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9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2176</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40.5" customHeight="1">
      <c r="A13" s="96" t="s">
        <v>17</v>
      </c>
      <c r="B13" s="425" t="s">
        <v>2177</v>
      </c>
      <c r="C13" s="425"/>
      <c r="D13" s="425"/>
      <c r="E13" s="425"/>
      <c r="F13" s="425"/>
      <c r="G13" s="73">
        <f>G14</f>
        <v>31388000</v>
      </c>
      <c r="H13" s="74"/>
    </row>
    <row r="14" spans="1:8" s="131" customFormat="1" ht="140.4">
      <c r="A14" s="123"/>
      <c r="B14" s="124" t="s">
        <v>2059</v>
      </c>
      <c r="C14" s="125" t="s">
        <v>1753</v>
      </c>
      <c r="D14" s="126">
        <v>13.3</v>
      </c>
      <c r="E14" s="127">
        <v>11800000</v>
      </c>
      <c r="F14" s="188">
        <v>0.2</v>
      </c>
      <c r="G14" s="129">
        <f>D14*E14*F14</f>
        <v>31388000</v>
      </c>
      <c r="H14" s="130"/>
    </row>
    <row r="15" spans="1:8" ht="27" customHeight="1">
      <c r="A15" s="75" t="s">
        <v>18</v>
      </c>
      <c r="B15" s="426" t="s">
        <v>1725</v>
      </c>
      <c r="C15" s="426"/>
      <c r="D15" s="426"/>
      <c r="E15" s="426"/>
      <c r="F15" s="426"/>
      <c r="G15" s="76">
        <f>SUM(G16:G18)</f>
        <v>3259942.3636000003</v>
      </c>
      <c r="H15" s="11"/>
    </row>
    <row r="16" spans="1:8" ht="30.6" customHeight="1">
      <c r="A16" s="77">
        <v>1</v>
      </c>
      <c r="B16" s="78" t="s">
        <v>2178</v>
      </c>
      <c r="C16" s="14" t="s">
        <v>1754</v>
      </c>
      <c r="D16" s="132">
        <f>(2*(17+4.5)+1.2*8)*0.11</f>
        <v>5.7860000000000005</v>
      </c>
      <c r="E16" s="15">
        <v>2126713</v>
      </c>
      <c r="F16" s="187">
        <v>0.2</v>
      </c>
      <c r="G16" s="79">
        <f>D16*E16*F16</f>
        <v>2461032.2836000002</v>
      </c>
      <c r="H16" s="15"/>
    </row>
    <row r="17" spans="1:8" ht="30.6" customHeight="1">
      <c r="A17" s="77"/>
      <c r="B17" s="78" t="s">
        <v>2179</v>
      </c>
      <c r="C17" s="14" t="s">
        <v>66</v>
      </c>
      <c r="D17" s="132">
        <f>1.2*8</f>
        <v>9.6</v>
      </c>
      <c r="E17" s="15">
        <v>141099</v>
      </c>
      <c r="F17" s="187">
        <v>0.2</v>
      </c>
      <c r="G17" s="79">
        <f t="shared" ref="G17" si="0">D17*E17*F17</f>
        <v>270910.08000000002</v>
      </c>
      <c r="H17" s="15"/>
    </row>
    <row r="18" spans="1:8" ht="30.6" customHeight="1">
      <c r="A18" s="77">
        <v>2</v>
      </c>
      <c r="B18" s="78" t="s">
        <v>2180</v>
      </c>
      <c r="C18" s="14" t="s">
        <v>66</v>
      </c>
      <c r="D18" s="132">
        <f>0.8*6</f>
        <v>4.8000000000000007</v>
      </c>
      <c r="E18" s="79">
        <v>550000</v>
      </c>
      <c r="F18" s="187">
        <v>0.2</v>
      </c>
      <c r="G18" s="79">
        <f>D18*E18*F18</f>
        <v>528000.00000000012</v>
      </c>
      <c r="H18" s="15"/>
    </row>
    <row r="19" spans="1:8" ht="24" customHeight="1">
      <c r="A19" s="75" t="s">
        <v>19</v>
      </c>
      <c r="B19" s="426" t="s">
        <v>1727</v>
      </c>
      <c r="C19" s="426"/>
      <c r="D19" s="426"/>
      <c r="E19" s="426"/>
      <c r="F19" s="426"/>
      <c r="G19" s="76">
        <f>SUM(G20:G24)</f>
        <v>3958125</v>
      </c>
      <c r="H19" s="11"/>
    </row>
    <row r="20" spans="1:8" s="12" customFormat="1" ht="34.200000000000003" customHeight="1">
      <c r="A20" s="94">
        <v>1</v>
      </c>
      <c r="B20" s="13" t="s">
        <v>821</v>
      </c>
      <c r="C20" s="14" t="s">
        <v>1724</v>
      </c>
      <c r="D20" s="14">
        <v>1</v>
      </c>
      <c r="E20" s="79" t="str">
        <f>VLOOKUP(B20,'[20]Đơn giá cây cối'!$A$2:$C$1361,3,0)</f>
        <v>3.981.000</v>
      </c>
      <c r="F20" s="132">
        <v>0.25</v>
      </c>
      <c r="G20" s="79">
        <f>D20*E20*F20</f>
        <v>995250</v>
      </c>
      <c r="H20" s="95"/>
    </row>
    <row r="21" spans="1:8" s="12" customFormat="1" ht="34.200000000000003" customHeight="1">
      <c r="A21" s="94">
        <v>2</v>
      </c>
      <c r="B21" s="13" t="s">
        <v>375</v>
      </c>
      <c r="C21" s="14" t="s">
        <v>1724</v>
      </c>
      <c r="D21" s="14">
        <v>2</v>
      </c>
      <c r="E21" s="79" t="str">
        <f>VLOOKUP(B21,'[20]Đơn giá cây cối'!$A$2:$C$1361,3,0)</f>
        <v>3.733.000</v>
      </c>
      <c r="F21" s="132">
        <v>0.25</v>
      </c>
      <c r="G21" s="79">
        <f>D21*E21*F21</f>
        <v>1866500</v>
      </c>
      <c r="H21" s="95"/>
    </row>
    <row r="22" spans="1:8" s="12" customFormat="1" ht="34.200000000000003" customHeight="1">
      <c r="A22" s="94">
        <v>3</v>
      </c>
      <c r="B22" s="13" t="s">
        <v>54</v>
      </c>
      <c r="C22" s="14" t="s">
        <v>66</v>
      </c>
      <c r="D22" s="14">
        <v>5</v>
      </c>
      <c r="E22" s="79">
        <f>VLOOKUP(B22,'[20]Đơn giá cây cối'!$A$2:$C$1361,3,0)</f>
        <v>18700</v>
      </c>
      <c r="F22" s="132">
        <v>0.25</v>
      </c>
      <c r="G22" s="79">
        <f>D22*E22*F22</f>
        <v>23375</v>
      </c>
      <c r="H22" s="95"/>
    </row>
    <row r="23" spans="1:8" s="12" customFormat="1" ht="34.200000000000003" customHeight="1">
      <c r="A23" s="94">
        <v>4</v>
      </c>
      <c r="B23" s="13" t="s">
        <v>847</v>
      </c>
      <c r="C23" s="14" t="s">
        <v>1724</v>
      </c>
      <c r="D23" s="14">
        <v>1</v>
      </c>
      <c r="E23" s="79" t="str">
        <f>VLOOKUP(B23,'[20]Đơn giá cây cối'!$A$2:$C$1361,3,0)</f>
        <v>3.981.000</v>
      </c>
      <c r="F23" s="132">
        <v>0.25</v>
      </c>
      <c r="G23" s="79">
        <f>D23*E23*F23</f>
        <v>995250</v>
      </c>
      <c r="H23" s="95"/>
    </row>
    <row r="24" spans="1:8" s="12" customFormat="1" ht="34.200000000000003" customHeight="1">
      <c r="A24" s="94">
        <v>5</v>
      </c>
      <c r="B24" s="13" t="s">
        <v>805</v>
      </c>
      <c r="C24" s="14" t="s">
        <v>1724</v>
      </c>
      <c r="D24" s="14">
        <v>1</v>
      </c>
      <c r="E24" s="79" t="str">
        <f>VLOOKUP(B24,'[20]Đơn giá cây cối'!$A$2:$C$1361,3,0)</f>
        <v>311.000</v>
      </c>
      <c r="F24" s="132">
        <v>0.25</v>
      </c>
      <c r="G24" s="79">
        <f>D24*E24*F24</f>
        <v>77750</v>
      </c>
      <c r="H24" s="95"/>
    </row>
    <row r="25" spans="1:8" ht="15.6">
      <c r="A25" s="80"/>
      <c r="B25" s="427" t="s">
        <v>62</v>
      </c>
      <c r="C25" s="428"/>
      <c r="D25" s="428"/>
      <c r="E25" s="428"/>
      <c r="F25" s="429"/>
      <c r="G25" s="81">
        <f>G13+G15+G19</f>
        <v>38606067.363600001</v>
      </c>
      <c r="H25" s="82"/>
    </row>
    <row r="26" spans="1:8" ht="15.6">
      <c r="A26" s="80"/>
      <c r="B26" s="427" t="s">
        <v>1726</v>
      </c>
      <c r="C26" s="428"/>
      <c r="D26" s="428"/>
      <c r="E26" s="428"/>
      <c r="F26" s="429"/>
      <c r="G26" s="81">
        <f>ROUND(G25,-3)</f>
        <v>38606000</v>
      </c>
      <c r="H26" s="82"/>
    </row>
    <row r="27" spans="1:8" ht="15.6">
      <c r="A27" s="430" t="e">
        <f ca="1">[21]!uni(G26)</f>
        <v>#NAME?</v>
      </c>
      <c r="B27" s="431"/>
      <c r="C27" s="431"/>
      <c r="D27" s="431"/>
      <c r="E27" s="431"/>
      <c r="F27" s="431"/>
      <c r="G27" s="431"/>
      <c r="H27" s="432"/>
    </row>
    <row r="28" spans="1:8">
      <c r="A28" s="17"/>
      <c r="B28" s="17"/>
      <c r="C28" s="97"/>
      <c r="D28" s="20"/>
      <c r="E28" s="19"/>
      <c r="G28" s="19"/>
      <c r="H28" s="17"/>
    </row>
    <row r="29" spans="1:8" s="109" customFormat="1" ht="16.5" customHeight="1">
      <c r="A29" s="108"/>
      <c r="B29" s="108"/>
      <c r="C29" s="424" t="s">
        <v>1742</v>
      </c>
      <c r="D29" s="424"/>
      <c r="E29" s="424"/>
      <c r="F29" s="424"/>
      <c r="G29" s="424"/>
      <c r="H29" s="424"/>
    </row>
    <row r="30" spans="1:8" s="109" customFormat="1" ht="16.5" customHeight="1">
      <c r="A30" s="423" t="s">
        <v>63</v>
      </c>
      <c r="B30" s="423"/>
      <c r="C30" s="424" t="s">
        <v>1743</v>
      </c>
      <c r="D30" s="424"/>
      <c r="E30" s="424"/>
      <c r="F30" s="424" t="s">
        <v>1744</v>
      </c>
      <c r="G30" s="424"/>
      <c r="H30" s="424"/>
    </row>
    <row r="31" spans="1:8" s="109" customFormat="1" ht="15.6">
      <c r="A31" s="108"/>
      <c r="B31" s="108"/>
      <c r="C31" s="108"/>
      <c r="D31" s="110"/>
      <c r="E31" s="111"/>
      <c r="F31" s="112"/>
      <c r="G31" s="111"/>
      <c r="H31" s="113"/>
    </row>
    <row r="32" spans="1:8" s="109" customFormat="1" ht="15.6">
      <c r="A32" s="108"/>
      <c r="B32" s="108"/>
      <c r="C32" s="108"/>
      <c r="D32" s="110"/>
      <c r="E32" s="111"/>
      <c r="F32" s="112"/>
      <c r="G32" s="114"/>
      <c r="H32" s="113"/>
    </row>
    <row r="33" spans="1:8" s="109" customFormat="1" ht="15.6">
      <c r="A33" s="108"/>
      <c r="B33" s="108"/>
      <c r="C33" s="108"/>
      <c r="D33" s="110"/>
      <c r="E33" s="111"/>
      <c r="F33" s="112"/>
      <c r="G33" s="111"/>
      <c r="H33" s="113"/>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6.5" customHeight="1">
      <c r="A36" s="108"/>
      <c r="B36" s="198" t="s">
        <v>64</v>
      </c>
      <c r="C36" s="424"/>
      <c r="D36" s="424"/>
      <c r="E36" s="424"/>
      <c r="F36" s="424" t="s">
        <v>1745</v>
      </c>
      <c r="G36" s="424"/>
      <c r="H36" s="424"/>
    </row>
    <row r="37" spans="1:8" s="109" customFormat="1" ht="15.6">
      <c r="A37" s="108"/>
      <c r="B37" s="198"/>
      <c r="C37" s="199"/>
      <c r="D37" s="199"/>
      <c r="E37" s="199"/>
      <c r="F37" s="199"/>
      <c r="G37" s="199"/>
      <c r="H37" s="199"/>
    </row>
    <row r="38" spans="1:8" s="109" customFormat="1" ht="15" customHeight="1">
      <c r="A38" s="424" t="s">
        <v>1746</v>
      </c>
      <c r="B38" s="424"/>
      <c r="C38" s="424"/>
      <c r="D38" s="424"/>
      <c r="E38" s="424" t="s">
        <v>1747</v>
      </c>
      <c r="F38" s="424"/>
      <c r="G38" s="424"/>
      <c r="H38" s="424"/>
    </row>
    <row r="39" spans="1:8" s="109" customFormat="1" ht="33.6" customHeight="1">
      <c r="A39" s="424" t="s">
        <v>1748</v>
      </c>
      <c r="B39" s="424"/>
      <c r="C39" s="424"/>
      <c r="D39" s="424"/>
      <c r="E39" s="424" t="s">
        <v>65</v>
      </c>
      <c r="F39" s="424"/>
      <c r="G39" s="424"/>
      <c r="H39" s="424"/>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 r="A43" s="108"/>
      <c r="B43" s="108"/>
      <c r="C43" s="108"/>
      <c r="D43" s="110"/>
      <c r="E43" s="111"/>
      <c r="F43" s="112"/>
      <c r="G43" s="111"/>
      <c r="H43" s="113"/>
    </row>
    <row r="44" spans="1:8" s="109" customFormat="1" ht="15.6">
      <c r="A44" s="108"/>
      <c r="B44" s="108"/>
      <c r="C44" s="108"/>
      <c r="D44" s="110"/>
      <c r="E44" s="111"/>
      <c r="F44" s="112"/>
      <c r="G44" s="111"/>
      <c r="H44" s="113"/>
    </row>
    <row r="45" spans="1:8" s="109" customFormat="1" ht="15.6" customHeight="1">
      <c r="A45" s="108"/>
      <c r="B45" s="108"/>
      <c r="C45" s="108"/>
      <c r="D45" s="115"/>
      <c r="E45" s="439" t="s">
        <v>1749</v>
      </c>
      <c r="F45" s="439"/>
      <c r="G45" s="439"/>
      <c r="H45" s="439"/>
    </row>
    <row r="46" spans="1:8" s="109" customFormat="1" ht="16.5" customHeight="1">
      <c r="A46" s="424" t="s">
        <v>1751</v>
      </c>
      <c r="B46" s="424"/>
      <c r="C46" s="424"/>
      <c r="D46" s="424"/>
      <c r="E46" s="424" t="s">
        <v>1750</v>
      </c>
      <c r="F46" s="424"/>
      <c r="G46" s="424"/>
      <c r="H46" s="424"/>
    </row>
    <row r="47" spans="1:8" s="118" customFormat="1" ht="16.2" customHeight="1">
      <c r="A47" s="440"/>
      <c r="B47" s="440"/>
      <c r="C47" s="116"/>
      <c r="D47" s="117"/>
      <c r="E47" s="440"/>
      <c r="F47" s="440"/>
      <c r="G47" s="440"/>
      <c r="H47" s="440"/>
    </row>
    <row r="48" spans="1:8" s="118" customFormat="1" ht="15.75" customHeight="1">
      <c r="A48" s="440"/>
      <c r="B48" s="440"/>
      <c r="C48" s="440"/>
      <c r="D48" s="440"/>
      <c r="E48" s="440"/>
      <c r="F48" s="440"/>
      <c r="G48" s="440"/>
      <c r="H48" s="440"/>
    </row>
    <row r="49" spans="1:8" s="98" customFormat="1" ht="16.2" customHeight="1">
      <c r="A49" s="436"/>
      <c r="B49" s="436"/>
      <c r="C49" s="436"/>
      <c r="D49" s="436"/>
      <c r="E49" s="119"/>
      <c r="F49" s="120"/>
      <c r="G49" s="119"/>
      <c r="H49" s="121"/>
    </row>
    <row r="50" spans="1:8" s="98" customFormat="1" ht="16.2" customHeight="1">
      <c r="A50" s="436"/>
      <c r="B50" s="436"/>
      <c r="C50" s="436"/>
      <c r="D50" s="436"/>
      <c r="E50" s="119"/>
      <c r="F50" s="120"/>
      <c r="G50" s="119"/>
      <c r="H50" s="121"/>
    </row>
    <row r="51" spans="1:8" s="98" customFormat="1" ht="16.2" customHeight="1">
      <c r="A51" s="121"/>
      <c r="B51" s="121"/>
      <c r="C51" s="121"/>
      <c r="D51" s="122"/>
      <c r="E51" s="119"/>
      <c r="F51" s="120"/>
      <c r="G51" s="119"/>
      <c r="H51" s="121"/>
    </row>
    <row r="52" spans="1:8" ht="16.2" customHeight="1">
      <c r="A52" s="83"/>
      <c r="B52" s="83"/>
      <c r="C52" s="83"/>
      <c r="D52" s="84"/>
      <c r="E52" s="85"/>
      <c r="F52" s="86"/>
      <c r="G52" s="85"/>
      <c r="H52" s="83"/>
    </row>
    <row r="53" spans="1:8" ht="16.2" customHeight="1">
      <c r="A53" s="83"/>
      <c r="B53" s="83"/>
      <c r="C53" s="83"/>
      <c r="D53" s="84"/>
      <c r="E53" s="85"/>
      <c r="F53" s="86"/>
      <c r="G53" s="85"/>
      <c r="H53" s="83"/>
    </row>
    <row r="54" spans="1:8" ht="16.2" customHeight="1">
      <c r="A54" s="83"/>
      <c r="B54" s="83"/>
      <c r="C54" s="83"/>
      <c r="D54" s="84"/>
      <c r="E54" s="85"/>
      <c r="F54" s="86"/>
      <c r="G54" s="85"/>
      <c r="H54" s="83"/>
    </row>
    <row r="55" spans="1:8" ht="16.2" customHeight="1">
      <c r="A55" s="83"/>
      <c r="B55" s="83"/>
      <c r="C55" s="83"/>
      <c r="D55" s="84"/>
      <c r="E55" s="437"/>
      <c r="F55" s="437"/>
      <c r="G55" s="437"/>
      <c r="H55" s="437"/>
    </row>
    <row r="56" spans="1:8" ht="20.25" customHeight="1">
      <c r="A56" s="438"/>
      <c r="B56" s="438"/>
      <c r="C56" s="438"/>
      <c r="D56" s="438"/>
      <c r="E56" s="438"/>
      <c r="F56" s="438"/>
      <c r="G56" s="438"/>
      <c r="H56" s="438"/>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row r="232"/>
    <row r="233"/>
    <row r="234"/>
    <row r="235"/>
    <row r="236"/>
    <row r="237"/>
    <row r="238"/>
    <row r="239"/>
    <row r="240"/>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sheetData>
  <mergeCells count="40">
    <mergeCell ref="A4:B4"/>
    <mergeCell ref="C4:H4"/>
    <mergeCell ref="A1:B1"/>
    <mergeCell ref="C1:H1"/>
    <mergeCell ref="A2:B2"/>
    <mergeCell ref="C2:H2"/>
    <mergeCell ref="A3:B3"/>
    <mergeCell ref="A27:H27"/>
    <mergeCell ref="A6:H6"/>
    <mergeCell ref="A7:H7"/>
    <mergeCell ref="A8:H8"/>
    <mergeCell ref="A9:H9"/>
    <mergeCell ref="A10:H10"/>
    <mergeCell ref="A11:H11"/>
    <mergeCell ref="B13:F13"/>
    <mergeCell ref="B15:F15"/>
    <mergeCell ref="B19:F19"/>
    <mergeCell ref="B25:F25"/>
    <mergeCell ref="B26:F26"/>
    <mergeCell ref="A46:D46"/>
    <mergeCell ref="E46:H46"/>
    <mergeCell ref="C29:H29"/>
    <mergeCell ref="A30:B30"/>
    <mergeCell ref="C30:E30"/>
    <mergeCell ref="F30:H30"/>
    <mergeCell ref="C36:E36"/>
    <mergeCell ref="F36:H36"/>
    <mergeCell ref="A38:D38"/>
    <mergeCell ref="E38:H38"/>
    <mergeCell ref="A39:D39"/>
    <mergeCell ref="E39:H39"/>
    <mergeCell ref="E45:H45"/>
    <mergeCell ref="E55:H55"/>
    <mergeCell ref="A56:H56"/>
    <mergeCell ref="A47:B47"/>
    <mergeCell ref="E47:H47"/>
    <mergeCell ref="A48:D48"/>
    <mergeCell ref="E48:H48"/>
    <mergeCell ref="A49:D49"/>
    <mergeCell ref="A50:D50"/>
  </mergeCells>
  <dataValidations count="2">
    <dataValidation type="list" allowBlank="1" showInputMessage="1" showErrorMessage="1" sqref="WVJ983048:WVJ983065 B983048:B983065 IX983048:IX983065 ST983048:ST983065 ACP983048:ACP983065 AML983048:AML983065 AWH983048:AWH983065 BGD983048:BGD983065 BPZ983048:BPZ983065 BZV983048:BZV983065 CJR983048:CJR983065 CTN983048:CTN983065 DDJ983048:DDJ983065 DNF983048:DNF983065 DXB983048:DXB983065 EGX983048:EGX983065 EQT983048:EQT983065 FAP983048:FAP983065 FKL983048:FKL983065 FUH983048:FUH983065 GED983048:GED983065 GNZ983048:GNZ983065 GXV983048:GXV983065 HHR983048:HHR983065 HRN983048:HRN983065 IBJ983048:IBJ983065 ILF983048:ILF983065 IVB983048:IVB983065 JEX983048:JEX983065 JOT983048:JOT983065 JYP983048:JYP983065 KIL983048:KIL983065 KSH983048:KSH983065 LCD983048:LCD983065 LLZ983048:LLZ983065 LVV983048:LVV983065 MFR983048:MFR983065 MPN983048:MPN983065 MZJ983048:MZJ983065 NJF983048:NJF983065 NTB983048:NTB983065 OCX983048:OCX983065 OMT983048:OMT983065 OWP983048:OWP983065 PGL983048:PGL983065 PQH983048:PQH983065 QAD983048:QAD983065 QJZ983048:QJZ983065 QTV983048:QTV983065 RDR983048:RDR983065 RNN983048:RNN983065 RXJ983048:RXJ983065 SHF983048:SHF983065 SRB983048:SRB983065 TAX983048:TAX983065 TKT983048:TKT983065 TUP983048:TUP983065 UEL983048:UEL983065 UOH983048:UOH983065 UYD983048:UYD983065 VHZ983048:VHZ983065 VRV983048:VRV983065 WBR983048:WBR983065 WLN983048:WLN983065 B65544:B65561 IX65544:IX65561 ST65544:ST65561 ACP65544:ACP65561 AML65544:AML65561 AWH65544:AWH65561 BGD65544:BGD65561 BPZ65544:BPZ65561 BZV65544:BZV65561 CJR65544:CJR65561 CTN65544:CTN65561 DDJ65544:DDJ65561 DNF65544:DNF65561 DXB65544:DXB65561 EGX65544:EGX65561 EQT65544:EQT65561 FAP65544:FAP65561 FKL65544:FKL65561 FUH65544:FUH65561 GED65544:GED65561 GNZ65544:GNZ65561 GXV65544:GXV65561 HHR65544:HHR65561 HRN65544:HRN65561 IBJ65544:IBJ65561 ILF65544:ILF65561 IVB65544:IVB65561 JEX65544:JEX65561 JOT65544:JOT65561 JYP65544:JYP65561 KIL65544:KIL65561 KSH65544:KSH65561 LCD65544:LCD65561 LLZ65544:LLZ65561 LVV65544:LVV65561 MFR65544:MFR65561 MPN65544:MPN65561 MZJ65544:MZJ65561 NJF65544:NJF65561 NTB65544:NTB65561 OCX65544:OCX65561 OMT65544:OMT65561 OWP65544:OWP65561 PGL65544:PGL65561 PQH65544:PQH65561 QAD65544:QAD65561 QJZ65544:QJZ65561 QTV65544:QTV65561 RDR65544:RDR65561 RNN65544:RNN65561 RXJ65544:RXJ65561 SHF65544:SHF65561 SRB65544:SRB65561 TAX65544:TAX65561 TKT65544:TKT65561 TUP65544:TUP65561 UEL65544:UEL65561 UOH65544:UOH65561 UYD65544:UYD65561 VHZ65544:VHZ65561 VRV65544:VRV65561 WBR65544:WBR65561 WLN65544:WLN65561 WVJ65544:WVJ65561 B131080:B131097 IX131080:IX131097 ST131080:ST131097 ACP131080:ACP131097 AML131080:AML131097 AWH131080:AWH131097 BGD131080:BGD131097 BPZ131080:BPZ131097 BZV131080:BZV131097 CJR131080:CJR131097 CTN131080:CTN131097 DDJ131080:DDJ131097 DNF131080:DNF131097 DXB131080:DXB131097 EGX131080:EGX131097 EQT131080:EQT131097 FAP131080:FAP131097 FKL131080:FKL131097 FUH131080:FUH131097 GED131080:GED131097 GNZ131080:GNZ131097 GXV131080:GXV131097 HHR131080:HHR131097 HRN131080:HRN131097 IBJ131080:IBJ131097 ILF131080:ILF131097 IVB131080:IVB131097 JEX131080:JEX131097 JOT131080:JOT131097 JYP131080:JYP131097 KIL131080:KIL131097 KSH131080:KSH131097 LCD131080:LCD131097 LLZ131080:LLZ131097 LVV131080:LVV131097 MFR131080:MFR131097 MPN131080:MPN131097 MZJ131080:MZJ131097 NJF131080:NJF131097 NTB131080:NTB131097 OCX131080:OCX131097 OMT131080:OMT131097 OWP131080:OWP131097 PGL131080:PGL131097 PQH131080:PQH131097 QAD131080:QAD131097 QJZ131080:QJZ131097 QTV131080:QTV131097 RDR131080:RDR131097 RNN131080:RNN131097 RXJ131080:RXJ131097 SHF131080:SHF131097 SRB131080:SRB131097 TAX131080:TAX131097 TKT131080:TKT131097 TUP131080:TUP131097 UEL131080:UEL131097 UOH131080:UOH131097 UYD131080:UYD131097 VHZ131080:VHZ131097 VRV131080:VRV131097 WBR131080:WBR131097 WLN131080:WLN131097 WVJ131080:WVJ131097 B196616:B196633 IX196616:IX196633 ST196616:ST196633 ACP196616:ACP196633 AML196616:AML196633 AWH196616:AWH196633 BGD196616:BGD196633 BPZ196616:BPZ196633 BZV196616:BZV196633 CJR196616:CJR196633 CTN196616:CTN196633 DDJ196616:DDJ196633 DNF196616:DNF196633 DXB196616:DXB196633 EGX196616:EGX196633 EQT196616:EQT196633 FAP196616:FAP196633 FKL196616:FKL196633 FUH196616:FUH196633 GED196616:GED196633 GNZ196616:GNZ196633 GXV196616:GXV196633 HHR196616:HHR196633 HRN196616:HRN196633 IBJ196616:IBJ196633 ILF196616:ILF196633 IVB196616:IVB196633 JEX196616:JEX196633 JOT196616:JOT196633 JYP196616:JYP196633 KIL196616:KIL196633 KSH196616:KSH196633 LCD196616:LCD196633 LLZ196616:LLZ196633 LVV196616:LVV196633 MFR196616:MFR196633 MPN196616:MPN196633 MZJ196616:MZJ196633 NJF196616:NJF196633 NTB196616:NTB196633 OCX196616:OCX196633 OMT196616:OMT196633 OWP196616:OWP196633 PGL196616:PGL196633 PQH196616:PQH196633 QAD196616:QAD196633 QJZ196616:QJZ196633 QTV196616:QTV196633 RDR196616:RDR196633 RNN196616:RNN196633 RXJ196616:RXJ196633 SHF196616:SHF196633 SRB196616:SRB196633 TAX196616:TAX196633 TKT196616:TKT196633 TUP196616:TUP196633 UEL196616:UEL196633 UOH196616:UOH196633 UYD196616:UYD196633 VHZ196616:VHZ196633 VRV196616:VRV196633 WBR196616:WBR196633 WLN196616:WLN196633 WVJ196616:WVJ196633 B262152:B262169 IX262152:IX262169 ST262152:ST262169 ACP262152:ACP262169 AML262152:AML262169 AWH262152:AWH262169 BGD262152:BGD262169 BPZ262152:BPZ262169 BZV262152:BZV262169 CJR262152:CJR262169 CTN262152:CTN262169 DDJ262152:DDJ262169 DNF262152:DNF262169 DXB262152:DXB262169 EGX262152:EGX262169 EQT262152:EQT262169 FAP262152:FAP262169 FKL262152:FKL262169 FUH262152:FUH262169 GED262152:GED262169 GNZ262152:GNZ262169 GXV262152:GXV262169 HHR262152:HHR262169 HRN262152:HRN262169 IBJ262152:IBJ262169 ILF262152:ILF262169 IVB262152:IVB262169 JEX262152:JEX262169 JOT262152:JOT262169 JYP262152:JYP262169 KIL262152:KIL262169 KSH262152:KSH262169 LCD262152:LCD262169 LLZ262152:LLZ262169 LVV262152:LVV262169 MFR262152:MFR262169 MPN262152:MPN262169 MZJ262152:MZJ262169 NJF262152:NJF262169 NTB262152:NTB262169 OCX262152:OCX262169 OMT262152:OMT262169 OWP262152:OWP262169 PGL262152:PGL262169 PQH262152:PQH262169 QAD262152:QAD262169 QJZ262152:QJZ262169 QTV262152:QTV262169 RDR262152:RDR262169 RNN262152:RNN262169 RXJ262152:RXJ262169 SHF262152:SHF262169 SRB262152:SRB262169 TAX262152:TAX262169 TKT262152:TKT262169 TUP262152:TUP262169 UEL262152:UEL262169 UOH262152:UOH262169 UYD262152:UYD262169 VHZ262152:VHZ262169 VRV262152:VRV262169 WBR262152:WBR262169 WLN262152:WLN262169 WVJ262152:WVJ262169 B327688:B327705 IX327688:IX327705 ST327688:ST327705 ACP327688:ACP327705 AML327688:AML327705 AWH327688:AWH327705 BGD327688:BGD327705 BPZ327688:BPZ327705 BZV327688:BZV327705 CJR327688:CJR327705 CTN327688:CTN327705 DDJ327688:DDJ327705 DNF327688:DNF327705 DXB327688:DXB327705 EGX327688:EGX327705 EQT327688:EQT327705 FAP327688:FAP327705 FKL327688:FKL327705 FUH327688:FUH327705 GED327688:GED327705 GNZ327688:GNZ327705 GXV327688:GXV327705 HHR327688:HHR327705 HRN327688:HRN327705 IBJ327688:IBJ327705 ILF327688:ILF327705 IVB327688:IVB327705 JEX327688:JEX327705 JOT327688:JOT327705 JYP327688:JYP327705 KIL327688:KIL327705 KSH327688:KSH327705 LCD327688:LCD327705 LLZ327688:LLZ327705 LVV327688:LVV327705 MFR327688:MFR327705 MPN327688:MPN327705 MZJ327688:MZJ327705 NJF327688:NJF327705 NTB327688:NTB327705 OCX327688:OCX327705 OMT327688:OMT327705 OWP327688:OWP327705 PGL327688:PGL327705 PQH327688:PQH327705 QAD327688:QAD327705 QJZ327688:QJZ327705 QTV327688:QTV327705 RDR327688:RDR327705 RNN327688:RNN327705 RXJ327688:RXJ327705 SHF327688:SHF327705 SRB327688:SRB327705 TAX327688:TAX327705 TKT327688:TKT327705 TUP327688:TUP327705 UEL327688:UEL327705 UOH327688:UOH327705 UYD327688:UYD327705 VHZ327688:VHZ327705 VRV327688:VRV327705 WBR327688:WBR327705 WLN327688:WLN327705 WVJ327688:WVJ327705 B393224:B393241 IX393224:IX393241 ST393224:ST393241 ACP393224:ACP393241 AML393224:AML393241 AWH393224:AWH393241 BGD393224:BGD393241 BPZ393224:BPZ393241 BZV393224:BZV393241 CJR393224:CJR393241 CTN393224:CTN393241 DDJ393224:DDJ393241 DNF393224:DNF393241 DXB393224:DXB393241 EGX393224:EGX393241 EQT393224:EQT393241 FAP393224:FAP393241 FKL393224:FKL393241 FUH393224:FUH393241 GED393224:GED393241 GNZ393224:GNZ393241 GXV393224:GXV393241 HHR393224:HHR393241 HRN393224:HRN393241 IBJ393224:IBJ393241 ILF393224:ILF393241 IVB393224:IVB393241 JEX393224:JEX393241 JOT393224:JOT393241 JYP393224:JYP393241 KIL393224:KIL393241 KSH393224:KSH393241 LCD393224:LCD393241 LLZ393224:LLZ393241 LVV393224:LVV393241 MFR393224:MFR393241 MPN393224:MPN393241 MZJ393224:MZJ393241 NJF393224:NJF393241 NTB393224:NTB393241 OCX393224:OCX393241 OMT393224:OMT393241 OWP393224:OWP393241 PGL393224:PGL393241 PQH393224:PQH393241 QAD393224:QAD393241 QJZ393224:QJZ393241 QTV393224:QTV393241 RDR393224:RDR393241 RNN393224:RNN393241 RXJ393224:RXJ393241 SHF393224:SHF393241 SRB393224:SRB393241 TAX393224:TAX393241 TKT393224:TKT393241 TUP393224:TUP393241 UEL393224:UEL393241 UOH393224:UOH393241 UYD393224:UYD393241 VHZ393224:VHZ393241 VRV393224:VRV393241 WBR393224:WBR393241 WLN393224:WLN393241 WVJ393224:WVJ393241 B458760:B458777 IX458760:IX458777 ST458760:ST458777 ACP458760:ACP458777 AML458760:AML458777 AWH458760:AWH458777 BGD458760:BGD458777 BPZ458760:BPZ458777 BZV458760:BZV458777 CJR458760:CJR458777 CTN458760:CTN458777 DDJ458760:DDJ458777 DNF458760:DNF458777 DXB458760:DXB458777 EGX458760:EGX458777 EQT458760:EQT458777 FAP458760:FAP458777 FKL458760:FKL458777 FUH458760:FUH458777 GED458760:GED458777 GNZ458760:GNZ458777 GXV458760:GXV458777 HHR458760:HHR458777 HRN458760:HRN458777 IBJ458760:IBJ458777 ILF458760:ILF458777 IVB458760:IVB458777 JEX458760:JEX458777 JOT458760:JOT458777 JYP458760:JYP458777 KIL458760:KIL458777 KSH458760:KSH458777 LCD458760:LCD458777 LLZ458760:LLZ458777 LVV458760:LVV458777 MFR458760:MFR458777 MPN458760:MPN458777 MZJ458760:MZJ458777 NJF458760:NJF458777 NTB458760:NTB458777 OCX458760:OCX458777 OMT458760:OMT458777 OWP458760:OWP458777 PGL458760:PGL458777 PQH458760:PQH458777 QAD458760:QAD458777 QJZ458760:QJZ458777 QTV458760:QTV458777 RDR458760:RDR458777 RNN458760:RNN458777 RXJ458760:RXJ458777 SHF458760:SHF458777 SRB458760:SRB458777 TAX458760:TAX458777 TKT458760:TKT458777 TUP458760:TUP458777 UEL458760:UEL458777 UOH458760:UOH458777 UYD458760:UYD458777 VHZ458760:VHZ458777 VRV458760:VRV458777 WBR458760:WBR458777 WLN458760:WLN458777 WVJ458760:WVJ458777 B524296:B524313 IX524296:IX524313 ST524296:ST524313 ACP524296:ACP524313 AML524296:AML524313 AWH524296:AWH524313 BGD524296:BGD524313 BPZ524296:BPZ524313 BZV524296:BZV524313 CJR524296:CJR524313 CTN524296:CTN524313 DDJ524296:DDJ524313 DNF524296:DNF524313 DXB524296:DXB524313 EGX524296:EGX524313 EQT524296:EQT524313 FAP524296:FAP524313 FKL524296:FKL524313 FUH524296:FUH524313 GED524296:GED524313 GNZ524296:GNZ524313 GXV524296:GXV524313 HHR524296:HHR524313 HRN524296:HRN524313 IBJ524296:IBJ524313 ILF524296:ILF524313 IVB524296:IVB524313 JEX524296:JEX524313 JOT524296:JOT524313 JYP524296:JYP524313 KIL524296:KIL524313 KSH524296:KSH524313 LCD524296:LCD524313 LLZ524296:LLZ524313 LVV524296:LVV524313 MFR524296:MFR524313 MPN524296:MPN524313 MZJ524296:MZJ524313 NJF524296:NJF524313 NTB524296:NTB524313 OCX524296:OCX524313 OMT524296:OMT524313 OWP524296:OWP524313 PGL524296:PGL524313 PQH524296:PQH524313 QAD524296:QAD524313 QJZ524296:QJZ524313 QTV524296:QTV524313 RDR524296:RDR524313 RNN524296:RNN524313 RXJ524296:RXJ524313 SHF524296:SHF524313 SRB524296:SRB524313 TAX524296:TAX524313 TKT524296:TKT524313 TUP524296:TUP524313 UEL524296:UEL524313 UOH524296:UOH524313 UYD524296:UYD524313 VHZ524296:VHZ524313 VRV524296:VRV524313 WBR524296:WBR524313 WLN524296:WLN524313 WVJ524296:WVJ524313 B589832:B589849 IX589832:IX589849 ST589832:ST589849 ACP589832:ACP589849 AML589832:AML589849 AWH589832:AWH589849 BGD589832:BGD589849 BPZ589832:BPZ589849 BZV589832:BZV589849 CJR589832:CJR589849 CTN589832:CTN589849 DDJ589832:DDJ589849 DNF589832:DNF589849 DXB589832:DXB589849 EGX589832:EGX589849 EQT589832:EQT589849 FAP589832:FAP589849 FKL589832:FKL589849 FUH589832:FUH589849 GED589832:GED589849 GNZ589832:GNZ589849 GXV589832:GXV589849 HHR589832:HHR589849 HRN589832:HRN589849 IBJ589832:IBJ589849 ILF589832:ILF589849 IVB589832:IVB589849 JEX589832:JEX589849 JOT589832:JOT589849 JYP589832:JYP589849 KIL589832:KIL589849 KSH589832:KSH589849 LCD589832:LCD589849 LLZ589832:LLZ589849 LVV589832:LVV589849 MFR589832:MFR589849 MPN589832:MPN589849 MZJ589832:MZJ589849 NJF589832:NJF589849 NTB589832:NTB589849 OCX589832:OCX589849 OMT589832:OMT589849 OWP589832:OWP589849 PGL589832:PGL589849 PQH589832:PQH589849 QAD589832:QAD589849 QJZ589832:QJZ589849 QTV589832:QTV589849 RDR589832:RDR589849 RNN589832:RNN589849 RXJ589832:RXJ589849 SHF589832:SHF589849 SRB589832:SRB589849 TAX589832:TAX589849 TKT589832:TKT589849 TUP589832:TUP589849 UEL589832:UEL589849 UOH589832:UOH589849 UYD589832:UYD589849 VHZ589832:VHZ589849 VRV589832:VRV589849 WBR589832:WBR589849 WLN589832:WLN589849 WVJ589832:WVJ589849 B655368:B655385 IX655368:IX655385 ST655368:ST655385 ACP655368:ACP655385 AML655368:AML655385 AWH655368:AWH655385 BGD655368:BGD655385 BPZ655368:BPZ655385 BZV655368:BZV655385 CJR655368:CJR655385 CTN655368:CTN655385 DDJ655368:DDJ655385 DNF655368:DNF655385 DXB655368:DXB655385 EGX655368:EGX655385 EQT655368:EQT655385 FAP655368:FAP655385 FKL655368:FKL655385 FUH655368:FUH655385 GED655368:GED655385 GNZ655368:GNZ655385 GXV655368:GXV655385 HHR655368:HHR655385 HRN655368:HRN655385 IBJ655368:IBJ655385 ILF655368:ILF655385 IVB655368:IVB655385 JEX655368:JEX655385 JOT655368:JOT655385 JYP655368:JYP655385 KIL655368:KIL655385 KSH655368:KSH655385 LCD655368:LCD655385 LLZ655368:LLZ655385 LVV655368:LVV655385 MFR655368:MFR655385 MPN655368:MPN655385 MZJ655368:MZJ655385 NJF655368:NJF655385 NTB655368:NTB655385 OCX655368:OCX655385 OMT655368:OMT655385 OWP655368:OWP655385 PGL655368:PGL655385 PQH655368:PQH655385 QAD655368:QAD655385 QJZ655368:QJZ655385 QTV655368:QTV655385 RDR655368:RDR655385 RNN655368:RNN655385 RXJ655368:RXJ655385 SHF655368:SHF655385 SRB655368:SRB655385 TAX655368:TAX655385 TKT655368:TKT655385 TUP655368:TUP655385 UEL655368:UEL655385 UOH655368:UOH655385 UYD655368:UYD655385 VHZ655368:VHZ655385 VRV655368:VRV655385 WBR655368:WBR655385 WLN655368:WLN655385 WVJ655368:WVJ655385 B720904:B720921 IX720904:IX720921 ST720904:ST720921 ACP720904:ACP720921 AML720904:AML720921 AWH720904:AWH720921 BGD720904:BGD720921 BPZ720904:BPZ720921 BZV720904:BZV720921 CJR720904:CJR720921 CTN720904:CTN720921 DDJ720904:DDJ720921 DNF720904:DNF720921 DXB720904:DXB720921 EGX720904:EGX720921 EQT720904:EQT720921 FAP720904:FAP720921 FKL720904:FKL720921 FUH720904:FUH720921 GED720904:GED720921 GNZ720904:GNZ720921 GXV720904:GXV720921 HHR720904:HHR720921 HRN720904:HRN720921 IBJ720904:IBJ720921 ILF720904:ILF720921 IVB720904:IVB720921 JEX720904:JEX720921 JOT720904:JOT720921 JYP720904:JYP720921 KIL720904:KIL720921 KSH720904:KSH720921 LCD720904:LCD720921 LLZ720904:LLZ720921 LVV720904:LVV720921 MFR720904:MFR720921 MPN720904:MPN720921 MZJ720904:MZJ720921 NJF720904:NJF720921 NTB720904:NTB720921 OCX720904:OCX720921 OMT720904:OMT720921 OWP720904:OWP720921 PGL720904:PGL720921 PQH720904:PQH720921 QAD720904:QAD720921 QJZ720904:QJZ720921 QTV720904:QTV720921 RDR720904:RDR720921 RNN720904:RNN720921 RXJ720904:RXJ720921 SHF720904:SHF720921 SRB720904:SRB720921 TAX720904:TAX720921 TKT720904:TKT720921 TUP720904:TUP720921 UEL720904:UEL720921 UOH720904:UOH720921 UYD720904:UYD720921 VHZ720904:VHZ720921 VRV720904:VRV720921 WBR720904:WBR720921 WLN720904:WLN720921 WVJ720904:WVJ720921 B786440:B786457 IX786440:IX786457 ST786440:ST786457 ACP786440:ACP786457 AML786440:AML786457 AWH786440:AWH786457 BGD786440:BGD786457 BPZ786440:BPZ786457 BZV786440:BZV786457 CJR786440:CJR786457 CTN786440:CTN786457 DDJ786440:DDJ786457 DNF786440:DNF786457 DXB786440:DXB786457 EGX786440:EGX786457 EQT786440:EQT786457 FAP786440:FAP786457 FKL786440:FKL786457 FUH786440:FUH786457 GED786440:GED786457 GNZ786440:GNZ786457 GXV786440:GXV786457 HHR786440:HHR786457 HRN786440:HRN786457 IBJ786440:IBJ786457 ILF786440:ILF786457 IVB786440:IVB786457 JEX786440:JEX786457 JOT786440:JOT786457 JYP786440:JYP786457 KIL786440:KIL786457 KSH786440:KSH786457 LCD786440:LCD786457 LLZ786440:LLZ786457 LVV786440:LVV786457 MFR786440:MFR786457 MPN786440:MPN786457 MZJ786440:MZJ786457 NJF786440:NJF786457 NTB786440:NTB786457 OCX786440:OCX786457 OMT786440:OMT786457 OWP786440:OWP786457 PGL786440:PGL786457 PQH786440:PQH786457 QAD786440:QAD786457 QJZ786440:QJZ786457 QTV786440:QTV786457 RDR786440:RDR786457 RNN786440:RNN786457 RXJ786440:RXJ786457 SHF786440:SHF786457 SRB786440:SRB786457 TAX786440:TAX786457 TKT786440:TKT786457 TUP786440:TUP786457 UEL786440:UEL786457 UOH786440:UOH786457 UYD786440:UYD786457 VHZ786440:VHZ786457 VRV786440:VRV786457 WBR786440:WBR786457 WLN786440:WLN786457 WVJ786440:WVJ786457 B851976:B851993 IX851976:IX851993 ST851976:ST851993 ACP851976:ACP851993 AML851976:AML851993 AWH851976:AWH851993 BGD851976:BGD851993 BPZ851976:BPZ851993 BZV851976:BZV851993 CJR851976:CJR851993 CTN851976:CTN851993 DDJ851976:DDJ851993 DNF851976:DNF851993 DXB851976:DXB851993 EGX851976:EGX851993 EQT851976:EQT851993 FAP851976:FAP851993 FKL851976:FKL851993 FUH851976:FUH851993 GED851976:GED851993 GNZ851976:GNZ851993 GXV851976:GXV851993 HHR851976:HHR851993 HRN851976:HRN851993 IBJ851976:IBJ851993 ILF851976:ILF851993 IVB851976:IVB851993 JEX851976:JEX851993 JOT851976:JOT851993 JYP851976:JYP851993 KIL851976:KIL851993 KSH851976:KSH851993 LCD851976:LCD851993 LLZ851976:LLZ851993 LVV851976:LVV851993 MFR851976:MFR851993 MPN851976:MPN851993 MZJ851976:MZJ851993 NJF851976:NJF851993 NTB851976:NTB851993 OCX851976:OCX851993 OMT851976:OMT851993 OWP851976:OWP851993 PGL851976:PGL851993 PQH851976:PQH851993 QAD851976:QAD851993 QJZ851976:QJZ851993 QTV851976:QTV851993 RDR851976:RDR851993 RNN851976:RNN851993 RXJ851976:RXJ851993 SHF851976:SHF851993 SRB851976:SRB851993 TAX851976:TAX851993 TKT851976:TKT851993 TUP851976:TUP851993 UEL851976:UEL851993 UOH851976:UOH851993 UYD851976:UYD851993 VHZ851976:VHZ851993 VRV851976:VRV851993 WBR851976:WBR851993 WLN851976:WLN851993 WVJ851976:WVJ851993 B917512:B917529 IX917512:IX917529 ST917512:ST917529 ACP917512:ACP917529 AML917512:AML917529 AWH917512:AWH917529 BGD917512:BGD917529 BPZ917512:BPZ917529 BZV917512:BZV917529 CJR917512:CJR917529 CTN917512:CTN917529 DDJ917512:DDJ917529 DNF917512:DNF917529 DXB917512:DXB917529 EGX917512:EGX917529 EQT917512:EQT917529 FAP917512:FAP917529 FKL917512:FKL917529 FUH917512:FUH917529 GED917512:GED917529 GNZ917512:GNZ917529 GXV917512:GXV917529 HHR917512:HHR917529 HRN917512:HRN917529 IBJ917512:IBJ917529 ILF917512:ILF917529 IVB917512:IVB917529 JEX917512:JEX917529 JOT917512:JOT917529 JYP917512:JYP917529 KIL917512:KIL917529 KSH917512:KSH917529 LCD917512:LCD917529 LLZ917512:LLZ917529 LVV917512:LVV917529 MFR917512:MFR917529 MPN917512:MPN917529 MZJ917512:MZJ917529 NJF917512:NJF917529 NTB917512:NTB917529 OCX917512:OCX917529 OMT917512:OMT917529 OWP917512:OWP917529 PGL917512:PGL917529 PQH917512:PQH917529 QAD917512:QAD917529 QJZ917512:QJZ917529 QTV917512:QTV917529 RDR917512:RDR917529 RNN917512:RNN917529 RXJ917512:RXJ917529 SHF917512:SHF917529 SRB917512:SRB917529 TAX917512:TAX917529 TKT917512:TKT917529 TUP917512:TUP917529 UEL917512:UEL917529 UOH917512:UOH917529 UYD917512:UYD917529 VHZ917512:VHZ917529 VRV917512:VRV917529 WBR917512:WBR917529 WLN917512:WLN917529 WVJ917512:WVJ917529" xr:uid="{00000000-0002-0000-2A00-000000000000}">
      <formula1>trung</formula1>
    </dataValidation>
    <dataValidation type="list" allowBlank="1" showInputMessage="1" showErrorMessage="1" sqref="B20:B24" xr:uid="{00000000-0002-0000-2A00-000001000000}">
      <formula1>bichphuong</formula1>
    </dataValidation>
  </dataValidation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314"/>
  <sheetViews>
    <sheetView topLeftCell="A9" workbookViewId="0">
      <selection activeCell="C35" sqref="C35:E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2181</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2182</v>
      </c>
      <c r="C13" s="425"/>
      <c r="D13" s="425"/>
      <c r="E13" s="425"/>
      <c r="F13" s="425"/>
      <c r="G13" s="73">
        <f>G14</f>
        <v>12508000</v>
      </c>
      <c r="H13" s="74"/>
    </row>
    <row r="14" spans="1:8" s="131" customFormat="1" ht="140.4">
      <c r="A14" s="123"/>
      <c r="B14" s="124" t="s">
        <v>2059</v>
      </c>
      <c r="C14" s="125" t="s">
        <v>1753</v>
      </c>
      <c r="D14" s="126">
        <v>5.3</v>
      </c>
      <c r="E14" s="127">
        <v>11800000</v>
      </c>
      <c r="F14" s="188">
        <v>0.2</v>
      </c>
      <c r="G14" s="129">
        <f>D14*E14*F14</f>
        <v>12508000</v>
      </c>
      <c r="H14" s="130"/>
    </row>
    <row r="15" spans="1:8" ht="27" customHeight="1">
      <c r="A15" s="75" t="s">
        <v>18</v>
      </c>
      <c r="B15" s="426" t="s">
        <v>1725</v>
      </c>
      <c r="C15" s="426"/>
      <c r="D15" s="426"/>
      <c r="E15" s="426"/>
      <c r="F15" s="426"/>
      <c r="G15" s="76">
        <f>SUM(G16:G21)</f>
        <v>3976287.8595599998</v>
      </c>
      <c r="H15" s="11"/>
    </row>
    <row r="16" spans="1:8" ht="30.6" customHeight="1">
      <c r="A16" s="77">
        <v>1</v>
      </c>
      <c r="B16" s="78" t="s">
        <v>2183</v>
      </c>
      <c r="C16" s="14" t="s">
        <v>66</v>
      </c>
      <c r="D16" s="132">
        <f>9.7*1.7</f>
        <v>16.489999999999998</v>
      </c>
      <c r="E16" s="15">
        <v>507361</v>
      </c>
      <c r="F16" s="187">
        <v>0.2</v>
      </c>
      <c r="G16" s="79">
        <f>D16*E16*F16</f>
        <v>1673276.578</v>
      </c>
      <c r="H16" s="15"/>
    </row>
    <row r="17" spans="1:8" ht="22.5" customHeight="1">
      <c r="A17" s="77">
        <v>2</v>
      </c>
      <c r="B17" s="78" t="s">
        <v>2184</v>
      </c>
      <c r="C17" s="14"/>
      <c r="D17" s="132"/>
      <c r="E17" s="15"/>
      <c r="F17" s="14"/>
      <c r="G17" s="79"/>
      <c r="H17" s="15"/>
    </row>
    <row r="18" spans="1:8" ht="30.6" customHeight="1">
      <c r="A18" s="77" t="s">
        <v>1761</v>
      </c>
      <c r="B18" s="78" t="s">
        <v>2185</v>
      </c>
      <c r="C18" s="14" t="s">
        <v>1754</v>
      </c>
      <c r="D18" s="132">
        <f>(0.8*9.7*0.11)*2</f>
        <v>1.7072000000000001</v>
      </c>
      <c r="E18" s="15">
        <v>2126713</v>
      </c>
      <c r="F18" s="187">
        <v>0.2</v>
      </c>
      <c r="G18" s="79">
        <f>D18*E18*F18</f>
        <v>726144.88672000007</v>
      </c>
      <c r="H18" s="15"/>
    </row>
    <row r="19" spans="1:8" ht="23.25" customHeight="1">
      <c r="A19" s="77" t="s">
        <v>1761</v>
      </c>
      <c r="B19" s="78" t="s">
        <v>2186</v>
      </c>
      <c r="C19" s="14" t="s">
        <v>1754</v>
      </c>
      <c r="D19" s="132">
        <f>0.3*9.7*0.11</f>
        <v>0.3201</v>
      </c>
      <c r="E19" s="15">
        <v>1711642</v>
      </c>
      <c r="F19" s="187">
        <v>0.2</v>
      </c>
      <c r="G19" s="79">
        <f>D19*E19*F19</f>
        <v>109579.32084</v>
      </c>
      <c r="H19" s="15"/>
    </row>
    <row r="20" spans="1:8" ht="23.25" customHeight="1">
      <c r="A20" s="77">
        <v>3</v>
      </c>
      <c r="B20" s="78" t="s">
        <v>2187</v>
      </c>
      <c r="C20" s="14" t="s">
        <v>1754</v>
      </c>
      <c r="D20" s="132">
        <f>3*9.7*0.15</f>
        <v>4.3649999999999993</v>
      </c>
      <c r="E20" s="15">
        <v>1629758</v>
      </c>
      <c r="F20" s="187">
        <v>0.2</v>
      </c>
      <c r="G20" s="79">
        <f>D20*E20*F20</f>
        <v>1422778.7339999999</v>
      </c>
      <c r="H20" s="15"/>
    </row>
    <row r="21" spans="1:8" ht="46.8">
      <c r="A21" s="77">
        <v>4</v>
      </c>
      <c r="B21" s="78" t="s">
        <v>2188</v>
      </c>
      <c r="C21" s="14" t="s">
        <v>1755</v>
      </c>
      <c r="D21" s="132">
        <f>(8.44/6)*2.65*3</f>
        <v>11.182999999999998</v>
      </c>
      <c r="E21" s="15">
        <v>19900</v>
      </c>
      <c r="F21" s="187">
        <v>0.2</v>
      </c>
      <c r="G21" s="79">
        <f>D21*E21*F21</f>
        <v>44508.34</v>
      </c>
      <c r="H21" s="15"/>
    </row>
    <row r="22" spans="1:8" ht="24" customHeight="1">
      <c r="A22" s="75" t="s">
        <v>19</v>
      </c>
      <c r="B22" s="426" t="s">
        <v>1727</v>
      </c>
      <c r="C22" s="426"/>
      <c r="D22" s="426"/>
      <c r="E22" s="426"/>
      <c r="F22" s="426"/>
      <c r="G22" s="76">
        <f>G23</f>
        <v>146250</v>
      </c>
      <c r="H22" s="11"/>
    </row>
    <row r="23" spans="1:8" s="12" customFormat="1" ht="34.200000000000003" customHeight="1">
      <c r="A23" s="94">
        <v>1</v>
      </c>
      <c r="B23" s="13" t="s">
        <v>818</v>
      </c>
      <c r="C23" s="14" t="s">
        <v>1724</v>
      </c>
      <c r="D23" s="14">
        <v>1</v>
      </c>
      <c r="E23" s="79" t="str">
        <f>VLOOKUP(B23,'[20]Đơn giá cây cối'!$A$2:$C$1361,3,0)</f>
        <v>585.000</v>
      </c>
      <c r="F23" s="132">
        <v>0.25</v>
      </c>
      <c r="G23" s="79">
        <f>D23*E23*F23</f>
        <v>146250</v>
      </c>
      <c r="H23" s="95"/>
    </row>
    <row r="24" spans="1:8" ht="15.6">
      <c r="A24" s="80"/>
      <c r="B24" s="427" t="s">
        <v>62</v>
      </c>
      <c r="C24" s="428"/>
      <c r="D24" s="428"/>
      <c r="E24" s="428"/>
      <c r="F24" s="429"/>
      <c r="G24" s="81">
        <f>G13+G15+G22</f>
        <v>16630537.85956</v>
      </c>
      <c r="H24" s="82"/>
    </row>
    <row r="25" spans="1:8" ht="15.6">
      <c r="A25" s="80"/>
      <c r="B25" s="427" t="s">
        <v>1726</v>
      </c>
      <c r="C25" s="428"/>
      <c r="D25" s="428"/>
      <c r="E25" s="428"/>
      <c r="F25" s="429"/>
      <c r="G25" s="81">
        <f>ROUND(G24,-3)</f>
        <v>16631000</v>
      </c>
      <c r="H25" s="82"/>
    </row>
    <row r="26" spans="1:8" ht="15.6">
      <c r="A26" s="430" t="str">
        <f>[18]!uni(G25)</f>
        <v xml:space="preserve">Mười sáu triệu sáu trăm ba mươi mốt nghìn đồng </v>
      </c>
      <c r="B26" s="431"/>
      <c r="C26" s="431"/>
      <c r="D26" s="431"/>
      <c r="E26" s="431"/>
      <c r="F26" s="431"/>
      <c r="G26" s="431"/>
      <c r="H26" s="432"/>
    </row>
    <row r="27" spans="1:8">
      <c r="A27" s="17"/>
      <c r="B27" s="17"/>
      <c r="C27" s="97"/>
      <c r="D27" s="20"/>
      <c r="E27" s="19"/>
      <c r="F27" s="97"/>
      <c r="G27" s="19"/>
      <c r="H27" s="17"/>
    </row>
    <row r="28" spans="1:8" s="109" customFormat="1" ht="16.5" customHeight="1">
      <c r="A28" s="108"/>
      <c r="B28" s="108"/>
      <c r="C28" s="424" t="s">
        <v>1742</v>
      </c>
      <c r="D28" s="424"/>
      <c r="E28" s="424"/>
      <c r="F28" s="424"/>
      <c r="G28" s="424"/>
      <c r="H28" s="424"/>
    </row>
    <row r="29" spans="1:8" s="109" customFormat="1" ht="16.5" customHeight="1">
      <c r="A29" s="423" t="s">
        <v>63</v>
      </c>
      <c r="B29" s="423"/>
      <c r="C29" s="424" t="s">
        <v>1743</v>
      </c>
      <c r="D29" s="424"/>
      <c r="E29" s="424"/>
      <c r="F29" s="424" t="s">
        <v>1744</v>
      </c>
      <c r="G29" s="424"/>
      <c r="H29" s="424"/>
    </row>
    <row r="30" spans="1:8" s="109" customFormat="1" ht="15.6">
      <c r="A30" s="108"/>
      <c r="B30" s="108"/>
      <c r="C30" s="108"/>
      <c r="D30" s="110"/>
      <c r="E30" s="111"/>
      <c r="F30" s="112"/>
      <c r="G30" s="111"/>
      <c r="H30" s="113"/>
    </row>
    <row r="31" spans="1:8" s="109" customFormat="1" ht="15.6">
      <c r="A31" s="108"/>
      <c r="B31" s="108"/>
      <c r="C31" s="108"/>
      <c r="D31" s="110"/>
      <c r="E31" s="111"/>
      <c r="F31" s="112"/>
      <c r="G31" s="114"/>
      <c r="H31" s="113"/>
    </row>
    <row r="32" spans="1:8" s="109" customFormat="1" ht="15.6">
      <c r="A32" s="108"/>
      <c r="B32" s="108"/>
      <c r="C32" s="108"/>
      <c r="D32" s="110"/>
      <c r="E32" s="111"/>
      <c r="F32" s="112"/>
      <c r="G32" s="111"/>
      <c r="H32" s="113"/>
    </row>
    <row r="33" spans="1:8" s="109" customFormat="1" ht="15.6">
      <c r="A33" s="108"/>
      <c r="B33" s="108"/>
      <c r="C33" s="108"/>
      <c r="D33" s="110"/>
      <c r="E33" s="111"/>
      <c r="F33" s="112"/>
      <c r="G33" s="111"/>
      <c r="H33" s="113"/>
    </row>
    <row r="34" spans="1:8" s="109" customFormat="1" ht="15.6">
      <c r="A34" s="108"/>
      <c r="B34" s="108"/>
      <c r="C34" s="108"/>
      <c r="D34" s="110"/>
      <c r="E34" s="111"/>
      <c r="F34" s="112"/>
      <c r="G34" s="111"/>
      <c r="H34" s="113"/>
    </row>
    <row r="35" spans="1:8" s="109" customFormat="1" ht="16.5" customHeight="1">
      <c r="A35" s="108"/>
      <c r="B35" s="198" t="s">
        <v>64</v>
      </c>
      <c r="C35" s="424"/>
      <c r="D35" s="424"/>
      <c r="E35" s="424"/>
      <c r="F35" s="424" t="s">
        <v>1745</v>
      </c>
      <c r="G35" s="424"/>
      <c r="H35" s="424"/>
    </row>
    <row r="36" spans="1:8" s="109" customFormat="1" ht="15.6">
      <c r="A36" s="108"/>
      <c r="B36" s="198"/>
      <c r="C36" s="199"/>
      <c r="D36" s="199"/>
      <c r="E36" s="199"/>
      <c r="F36" s="199"/>
      <c r="G36" s="199"/>
      <c r="H36" s="199"/>
    </row>
    <row r="37" spans="1:8" s="109" customFormat="1" ht="15" customHeight="1">
      <c r="A37" s="424" t="s">
        <v>1746</v>
      </c>
      <c r="B37" s="424"/>
      <c r="C37" s="424"/>
      <c r="D37" s="424"/>
      <c r="E37" s="424" t="s">
        <v>1747</v>
      </c>
      <c r="F37" s="424"/>
      <c r="G37" s="424"/>
      <c r="H37" s="424"/>
    </row>
    <row r="38" spans="1:8" s="109" customFormat="1" ht="33.6" customHeight="1">
      <c r="A38" s="424" t="s">
        <v>1748</v>
      </c>
      <c r="B38" s="424"/>
      <c r="C38" s="424"/>
      <c r="D38" s="424"/>
      <c r="E38" s="424" t="s">
        <v>65</v>
      </c>
      <c r="F38" s="424"/>
      <c r="G38" s="424"/>
      <c r="H38" s="424"/>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 r="A43" s="108"/>
      <c r="B43" s="108"/>
      <c r="C43" s="108"/>
      <c r="D43" s="110"/>
      <c r="E43" s="111"/>
      <c r="F43" s="112"/>
      <c r="G43" s="111"/>
      <c r="H43" s="113"/>
    </row>
    <row r="44" spans="1:8" s="109" customFormat="1" ht="15.6" customHeight="1">
      <c r="A44" s="108"/>
      <c r="B44" s="108"/>
      <c r="C44" s="108"/>
      <c r="D44" s="115"/>
      <c r="E44" s="439" t="s">
        <v>1749</v>
      </c>
      <c r="F44" s="439"/>
      <c r="G44" s="439"/>
      <c r="H44" s="439"/>
    </row>
    <row r="45" spans="1:8" s="109" customFormat="1" ht="16.5" customHeight="1">
      <c r="A45" s="424" t="s">
        <v>1751</v>
      </c>
      <c r="B45" s="424"/>
      <c r="C45" s="424"/>
      <c r="D45" s="424"/>
      <c r="E45" s="424" t="s">
        <v>1750</v>
      </c>
      <c r="F45" s="424"/>
      <c r="G45" s="424"/>
      <c r="H45" s="424"/>
    </row>
    <row r="46" spans="1:8" s="118" customFormat="1" ht="16.2" customHeight="1">
      <c r="A46" s="440"/>
      <c r="B46" s="440"/>
      <c r="C46" s="116"/>
      <c r="D46" s="117"/>
      <c r="E46" s="440"/>
      <c r="F46" s="440"/>
      <c r="G46" s="440"/>
      <c r="H46" s="440"/>
    </row>
    <row r="47" spans="1:8" s="118" customFormat="1" ht="15.75" customHeight="1">
      <c r="A47" s="440"/>
      <c r="B47" s="440"/>
      <c r="C47" s="440"/>
      <c r="D47" s="440"/>
      <c r="E47" s="440"/>
      <c r="F47" s="440"/>
      <c r="G47" s="440"/>
      <c r="H47" s="440"/>
    </row>
    <row r="48" spans="1:8" s="98" customFormat="1" ht="16.2" customHeight="1">
      <c r="A48" s="436"/>
      <c r="B48" s="436"/>
      <c r="C48" s="436"/>
      <c r="D48" s="436"/>
      <c r="E48" s="119"/>
      <c r="F48" s="120"/>
      <c r="G48" s="119"/>
      <c r="H48" s="121"/>
    </row>
    <row r="49" spans="1:8" s="98" customFormat="1" ht="16.2" customHeight="1">
      <c r="A49" s="436"/>
      <c r="B49" s="436"/>
      <c r="C49" s="436"/>
      <c r="D49" s="436"/>
      <c r="E49" s="119"/>
      <c r="F49" s="120"/>
      <c r="G49" s="119"/>
      <c r="H49" s="121"/>
    </row>
    <row r="50" spans="1:8" s="98" customFormat="1" ht="16.2" customHeight="1">
      <c r="A50" s="121"/>
      <c r="B50" s="121"/>
      <c r="C50" s="121"/>
      <c r="D50" s="122"/>
      <c r="E50" s="119"/>
      <c r="F50" s="120"/>
      <c r="G50" s="119"/>
      <c r="H50" s="121"/>
    </row>
    <row r="51" spans="1:8" ht="16.2" customHeight="1">
      <c r="A51" s="83"/>
      <c r="B51" s="83"/>
      <c r="C51" s="83"/>
      <c r="D51" s="84"/>
      <c r="E51" s="85"/>
      <c r="F51" s="86"/>
      <c r="G51" s="85"/>
      <c r="H51" s="83"/>
    </row>
    <row r="52" spans="1:8" ht="16.2" customHeight="1">
      <c r="A52" s="83"/>
      <c r="B52" s="83"/>
      <c r="C52" s="83"/>
      <c r="D52" s="84"/>
      <c r="E52" s="85"/>
      <c r="F52" s="86"/>
      <c r="G52" s="85"/>
      <c r="H52" s="83"/>
    </row>
    <row r="53" spans="1:8" ht="16.2" customHeight="1">
      <c r="A53" s="83"/>
      <c r="B53" s="83"/>
      <c r="C53" s="83"/>
      <c r="D53" s="84"/>
      <c r="E53" s="85"/>
      <c r="F53" s="86"/>
      <c r="G53" s="85"/>
      <c r="H53" s="83"/>
    </row>
    <row r="54" spans="1:8" ht="16.2" customHeight="1">
      <c r="A54" s="83"/>
      <c r="B54" s="83"/>
      <c r="C54" s="83"/>
      <c r="D54" s="84"/>
      <c r="E54" s="437"/>
      <c r="F54" s="437"/>
      <c r="G54" s="437"/>
      <c r="H54" s="437"/>
    </row>
    <row r="55" spans="1:8" ht="20.25" customHeight="1">
      <c r="A55" s="438"/>
      <c r="B55" s="438"/>
      <c r="C55" s="438"/>
      <c r="D55" s="438"/>
      <c r="E55" s="438"/>
      <c r="F55" s="438"/>
      <c r="G55" s="438"/>
      <c r="H55" s="438"/>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ht="16.2" customHeight="1"/>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row r="231"/>
    <row r="232"/>
    <row r="233"/>
    <row r="234"/>
    <row r="235"/>
    <row r="236"/>
    <row r="237"/>
    <row r="238"/>
    <row r="239"/>
    <row r="240"/>
    <row r="241"/>
    <row r="242"/>
    <row r="243"/>
    <row r="244"/>
    <row r="245"/>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sheetData>
  <mergeCells count="40">
    <mergeCell ref="A4:B4"/>
    <mergeCell ref="C4:H4"/>
    <mergeCell ref="A1:B1"/>
    <mergeCell ref="C1:H1"/>
    <mergeCell ref="A2:B2"/>
    <mergeCell ref="C2:H2"/>
    <mergeCell ref="A3:B3"/>
    <mergeCell ref="A26:H26"/>
    <mergeCell ref="A6:H6"/>
    <mergeCell ref="A7:H7"/>
    <mergeCell ref="A8:H8"/>
    <mergeCell ref="A9:H9"/>
    <mergeCell ref="A10:H10"/>
    <mergeCell ref="A11:H11"/>
    <mergeCell ref="B13:F13"/>
    <mergeCell ref="B15:F15"/>
    <mergeCell ref="B22:F22"/>
    <mergeCell ref="B24:F24"/>
    <mergeCell ref="B25:F25"/>
    <mergeCell ref="A45:D45"/>
    <mergeCell ref="E45:H45"/>
    <mergeCell ref="C28:H28"/>
    <mergeCell ref="A29:B29"/>
    <mergeCell ref="C29:E29"/>
    <mergeCell ref="F29:H29"/>
    <mergeCell ref="C35:E35"/>
    <mergeCell ref="F35:H35"/>
    <mergeCell ref="A37:D37"/>
    <mergeCell ref="E37:H37"/>
    <mergeCell ref="A38:D38"/>
    <mergeCell ref="E38:H38"/>
    <mergeCell ref="E44:H44"/>
    <mergeCell ref="E54:H54"/>
    <mergeCell ref="A55:H55"/>
    <mergeCell ref="A46:B46"/>
    <mergeCell ref="E46:H46"/>
    <mergeCell ref="A47:D47"/>
    <mergeCell ref="E47:H47"/>
    <mergeCell ref="A48:D48"/>
    <mergeCell ref="A49:D49"/>
  </mergeCells>
  <dataValidations count="2">
    <dataValidation type="list" allowBlank="1" showInputMessage="1" showErrorMessage="1" sqref="B23" xr:uid="{00000000-0002-0000-2B00-000000000000}">
      <formula1>bichphuong</formula1>
    </dataValidation>
    <dataValidation type="list" allowBlank="1" showInputMessage="1" showErrorMessage="1" sqref="WVJ983047:WVJ983064 B983047:B983064 IX983047:IX983064 ST983047:ST983064 ACP983047:ACP983064 AML983047:AML983064 AWH983047:AWH983064 BGD983047:BGD983064 BPZ983047:BPZ983064 BZV983047:BZV983064 CJR983047:CJR983064 CTN983047:CTN983064 DDJ983047:DDJ983064 DNF983047:DNF983064 DXB983047:DXB983064 EGX983047:EGX983064 EQT983047:EQT983064 FAP983047:FAP983064 FKL983047:FKL983064 FUH983047:FUH983064 GED983047:GED983064 GNZ983047:GNZ983064 GXV983047:GXV983064 HHR983047:HHR983064 HRN983047:HRN983064 IBJ983047:IBJ983064 ILF983047:ILF983064 IVB983047:IVB983064 JEX983047:JEX983064 JOT983047:JOT983064 JYP983047:JYP983064 KIL983047:KIL983064 KSH983047:KSH983064 LCD983047:LCD983064 LLZ983047:LLZ983064 LVV983047:LVV983064 MFR983047:MFR983064 MPN983047:MPN983064 MZJ983047:MZJ983064 NJF983047:NJF983064 NTB983047:NTB983064 OCX983047:OCX983064 OMT983047:OMT983064 OWP983047:OWP983064 PGL983047:PGL983064 PQH983047:PQH983064 QAD983047:QAD983064 QJZ983047:QJZ983064 QTV983047:QTV983064 RDR983047:RDR983064 RNN983047:RNN983064 RXJ983047:RXJ983064 SHF983047:SHF983064 SRB983047:SRB983064 TAX983047:TAX983064 TKT983047:TKT983064 TUP983047:TUP983064 UEL983047:UEL983064 UOH983047:UOH983064 UYD983047:UYD983064 VHZ983047:VHZ983064 VRV983047:VRV983064 WBR983047:WBR983064 WLN983047:WLN983064 B65543:B65560 IX65543:IX65560 ST65543:ST65560 ACP65543:ACP65560 AML65543:AML65560 AWH65543:AWH65560 BGD65543:BGD65560 BPZ65543:BPZ65560 BZV65543:BZV65560 CJR65543:CJR65560 CTN65543:CTN65560 DDJ65543:DDJ65560 DNF65543:DNF65560 DXB65543:DXB65560 EGX65543:EGX65560 EQT65543:EQT65560 FAP65543:FAP65560 FKL65543:FKL65560 FUH65543:FUH65560 GED65543:GED65560 GNZ65543:GNZ65560 GXV65543:GXV65560 HHR65543:HHR65560 HRN65543:HRN65560 IBJ65543:IBJ65560 ILF65543:ILF65560 IVB65543:IVB65560 JEX65543:JEX65560 JOT65543:JOT65560 JYP65543:JYP65560 KIL65543:KIL65560 KSH65543:KSH65560 LCD65543:LCD65560 LLZ65543:LLZ65560 LVV65543:LVV65560 MFR65543:MFR65560 MPN65543:MPN65560 MZJ65543:MZJ65560 NJF65543:NJF65560 NTB65543:NTB65560 OCX65543:OCX65560 OMT65543:OMT65560 OWP65543:OWP65560 PGL65543:PGL65560 PQH65543:PQH65560 QAD65543:QAD65560 QJZ65543:QJZ65560 QTV65543:QTV65560 RDR65543:RDR65560 RNN65543:RNN65560 RXJ65543:RXJ65560 SHF65543:SHF65560 SRB65543:SRB65560 TAX65543:TAX65560 TKT65543:TKT65560 TUP65543:TUP65560 UEL65543:UEL65560 UOH65543:UOH65560 UYD65543:UYD65560 VHZ65543:VHZ65560 VRV65543:VRV65560 WBR65543:WBR65560 WLN65543:WLN65560 WVJ65543:WVJ65560 B131079:B131096 IX131079:IX131096 ST131079:ST131096 ACP131079:ACP131096 AML131079:AML131096 AWH131079:AWH131096 BGD131079:BGD131096 BPZ131079:BPZ131096 BZV131079:BZV131096 CJR131079:CJR131096 CTN131079:CTN131096 DDJ131079:DDJ131096 DNF131079:DNF131096 DXB131079:DXB131096 EGX131079:EGX131096 EQT131079:EQT131096 FAP131079:FAP131096 FKL131079:FKL131096 FUH131079:FUH131096 GED131079:GED131096 GNZ131079:GNZ131096 GXV131079:GXV131096 HHR131079:HHR131096 HRN131079:HRN131096 IBJ131079:IBJ131096 ILF131079:ILF131096 IVB131079:IVB131096 JEX131079:JEX131096 JOT131079:JOT131096 JYP131079:JYP131096 KIL131079:KIL131096 KSH131079:KSH131096 LCD131079:LCD131096 LLZ131079:LLZ131096 LVV131079:LVV131096 MFR131079:MFR131096 MPN131079:MPN131096 MZJ131079:MZJ131096 NJF131079:NJF131096 NTB131079:NTB131096 OCX131079:OCX131096 OMT131079:OMT131096 OWP131079:OWP131096 PGL131079:PGL131096 PQH131079:PQH131096 QAD131079:QAD131096 QJZ131079:QJZ131096 QTV131079:QTV131096 RDR131079:RDR131096 RNN131079:RNN131096 RXJ131079:RXJ131096 SHF131079:SHF131096 SRB131079:SRB131096 TAX131079:TAX131096 TKT131079:TKT131096 TUP131079:TUP131096 UEL131079:UEL131096 UOH131079:UOH131096 UYD131079:UYD131096 VHZ131079:VHZ131096 VRV131079:VRV131096 WBR131079:WBR131096 WLN131079:WLN131096 WVJ131079:WVJ131096 B196615:B196632 IX196615:IX196632 ST196615:ST196632 ACP196615:ACP196632 AML196615:AML196632 AWH196615:AWH196632 BGD196615:BGD196632 BPZ196615:BPZ196632 BZV196615:BZV196632 CJR196615:CJR196632 CTN196615:CTN196632 DDJ196615:DDJ196632 DNF196615:DNF196632 DXB196615:DXB196632 EGX196615:EGX196632 EQT196615:EQT196632 FAP196615:FAP196632 FKL196615:FKL196632 FUH196615:FUH196632 GED196615:GED196632 GNZ196615:GNZ196632 GXV196615:GXV196632 HHR196615:HHR196632 HRN196615:HRN196632 IBJ196615:IBJ196632 ILF196615:ILF196632 IVB196615:IVB196632 JEX196615:JEX196632 JOT196615:JOT196632 JYP196615:JYP196632 KIL196615:KIL196632 KSH196615:KSH196632 LCD196615:LCD196632 LLZ196615:LLZ196632 LVV196615:LVV196632 MFR196615:MFR196632 MPN196615:MPN196632 MZJ196615:MZJ196632 NJF196615:NJF196632 NTB196615:NTB196632 OCX196615:OCX196632 OMT196615:OMT196632 OWP196615:OWP196632 PGL196615:PGL196632 PQH196615:PQH196632 QAD196615:QAD196632 QJZ196615:QJZ196632 QTV196615:QTV196632 RDR196615:RDR196632 RNN196615:RNN196632 RXJ196615:RXJ196632 SHF196615:SHF196632 SRB196615:SRB196632 TAX196615:TAX196632 TKT196615:TKT196632 TUP196615:TUP196632 UEL196615:UEL196632 UOH196615:UOH196632 UYD196615:UYD196632 VHZ196615:VHZ196632 VRV196615:VRV196632 WBR196615:WBR196632 WLN196615:WLN196632 WVJ196615:WVJ196632 B262151:B262168 IX262151:IX262168 ST262151:ST262168 ACP262151:ACP262168 AML262151:AML262168 AWH262151:AWH262168 BGD262151:BGD262168 BPZ262151:BPZ262168 BZV262151:BZV262168 CJR262151:CJR262168 CTN262151:CTN262168 DDJ262151:DDJ262168 DNF262151:DNF262168 DXB262151:DXB262168 EGX262151:EGX262168 EQT262151:EQT262168 FAP262151:FAP262168 FKL262151:FKL262168 FUH262151:FUH262168 GED262151:GED262168 GNZ262151:GNZ262168 GXV262151:GXV262168 HHR262151:HHR262168 HRN262151:HRN262168 IBJ262151:IBJ262168 ILF262151:ILF262168 IVB262151:IVB262168 JEX262151:JEX262168 JOT262151:JOT262168 JYP262151:JYP262168 KIL262151:KIL262168 KSH262151:KSH262168 LCD262151:LCD262168 LLZ262151:LLZ262168 LVV262151:LVV262168 MFR262151:MFR262168 MPN262151:MPN262168 MZJ262151:MZJ262168 NJF262151:NJF262168 NTB262151:NTB262168 OCX262151:OCX262168 OMT262151:OMT262168 OWP262151:OWP262168 PGL262151:PGL262168 PQH262151:PQH262168 QAD262151:QAD262168 QJZ262151:QJZ262168 QTV262151:QTV262168 RDR262151:RDR262168 RNN262151:RNN262168 RXJ262151:RXJ262168 SHF262151:SHF262168 SRB262151:SRB262168 TAX262151:TAX262168 TKT262151:TKT262168 TUP262151:TUP262168 UEL262151:UEL262168 UOH262151:UOH262168 UYD262151:UYD262168 VHZ262151:VHZ262168 VRV262151:VRV262168 WBR262151:WBR262168 WLN262151:WLN262168 WVJ262151:WVJ262168 B327687:B327704 IX327687:IX327704 ST327687:ST327704 ACP327687:ACP327704 AML327687:AML327704 AWH327687:AWH327704 BGD327687:BGD327704 BPZ327687:BPZ327704 BZV327687:BZV327704 CJR327687:CJR327704 CTN327687:CTN327704 DDJ327687:DDJ327704 DNF327687:DNF327704 DXB327687:DXB327704 EGX327687:EGX327704 EQT327687:EQT327704 FAP327687:FAP327704 FKL327687:FKL327704 FUH327687:FUH327704 GED327687:GED327704 GNZ327687:GNZ327704 GXV327687:GXV327704 HHR327687:HHR327704 HRN327687:HRN327704 IBJ327687:IBJ327704 ILF327687:ILF327704 IVB327687:IVB327704 JEX327687:JEX327704 JOT327687:JOT327704 JYP327687:JYP327704 KIL327687:KIL327704 KSH327687:KSH327704 LCD327687:LCD327704 LLZ327687:LLZ327704 LVV327687:LVV327704 MFR327687:MFR327704 MPN327687:MPN327704 MZJ327687:MZJ327704 NJF327687:NJF327704 NTB327687:NTB327704 OCX327687:OCX327704 OMT327687:OMT327704 OWP327687:OWP327704 PGL327687:PGL327704 PQH327687:PQH327704 QAD327687:QAD327704 QJZ327687:QJZ327704 QTV327687:QTV327704 RDR327687:RDR327704 RNN327687:RNN327704 RXJ327687:RXJ327704 SHF327687:SHF327704 SRB327687:SRB327704 TAX327687:TAX327704 TKT327687:TKT327704 TUP327687:TUP327704 UEL327687:UEL327704 UOH327687:UOH327704 UYD327687:UYD327704 VHZ327687:VHZ327704 VRV327687:VRV327704 WBR327687:WBR327704 WLN327687:WLN327704 WVJ327687:WVJ327704 B393223:B393240 IX393223:IX393240 ST393223:ST393240 ACP393223:ACP393240 AML393223:AML393240 AWH393223:AWH393240 BGD393223:BGD393240 BPZ393223:BPZ393240 BZV393223:BZV393240 CJR393223:CJR393240 CTN393223:CTN393240 DDJ393223:DDJ393240 DNF393223:DNF393240 DXB393223:DXB393240 EGX393223:EGX393240 EQT393223:EQT393240 FAP393223:FAP393240 FKL393223:FKL393240 FUH393223:FUH393240 GED393223:GED393240 GNZ393223:GNZ393240 GXV393223:GXV393240 HHR393223:HHR393240 HRN393223:HRN393240 IBJ393223:IBJ393240 ILF393223:ILF393240 IVB393223:IVB393240 JEX393223:JEX393240 JOT393223:JOT393240 JYP393223:JYP393240 KIL393223:KIL393240 KSH393223:KSH393240 LCD393223:LCD393240 LLZ393223:LLZ393240 LVV393223:LVV393240 MFR393223:MFR393240 MPN393223:MPN393240 MZJ393223:MZJ393240 NJF393223:NJF393240 NTB393223:NTB393240 OCX393223:OCX393240 OMT393223:OMT393240 OWP393223:OWP393240 PGL393223:PGL393240 PQH393223:PQH393240 QAD393223:QAD393240 QJZ393223:QJZ393240 QTV393223:QTV393240 RDR393223:RDR393240 RNN393223:RNN393240 RXJ393223:RXJ393240 SHF393223:SHF393240 SRB393223:SRB393240 TAX393223:TAX393240 TKT393223:TKT393240 TUP393223:TUP393240 UEL393223:UEL393240 UOH393223:UOH393240 UYD393223:UYD393240 VHZ393223:VHZ393240 VRV393223:VRV393240 WBR393223:WBR393240 WLN393223:WLN393240 WVJ393223:WVJ393240 B458759:B458776 IX458759:IX458776 ST458759:ST458776 ACP458759:ACP458776 AML458759:AML458776 AWH458759:AWH458776 BGD458759:BGD458776 BPZ458759:BPZ458776 BZV458759:BZV458776 CJR458759:CJR458776 CTN458759:CTN458776 DDJ458759:DDJ458776 DNF458759:DNF458776 DXB458759:DXB458776 EGX458759:EGX458776 EQT458759:EQT458776 FAP458759:FAP458776 FKL458759:FKL458776 FUH458759:FUH458776 GED458759:GED458776 GNZ458759:GNZ458776 GXV458759:GXV458776 HHR458759:HHR458776 HRN458759:HRN458776 IBJ458759:IBJ458776 ILF458759:ILF458776 IVB458759:IVB458776 JEX458759:JEX458776 JOT458759:JOT458776 JYP458759:JYP458776 KIL458759:KIL458776 KSH458759:KSH458776 LCD458759:LCD458776 LLZ458759:LLZ458776 LVV458759:LVV458776 MFR458759:MFR458776 MPN458759:MPN458776 MZJ458759:MZJ458776 NJF458759:NJF458776 NTB458759:NTB458776 OCX458759:OCX458776 OMT458759:OMT458776 OWP458759:OWP458776 PGL458759:PGL458776 PQH458759:PQH458776 QAD458759:QAD458776 QJZ458759:QJZ458776 QTV458759:QTV458776 RDR458759:RDR458776 RNN458759:RNN458776 RXJ458759:RXJ458776 SHF458759:SHF458776 SRB458759:SRB458776 TAX458759:TAX458776 TKT458759:TKT458776 TUP458759:TUP458776 UEL458759:UEL458776 UOH458759:UOH458776 UYD458759:UYD458776 VHZ458759:VHZ458776 VRV458759:VRV458776 WBR458759:WBR458776 WLN458759:WLN458776 WVJ458759:WVJ458776 B524295:B524312 IX524295:IX524312 ST524295:ST524312 ACP524295:ACP524312 AML524295:AML524312 AWH524295:AWH524312 BGD524295:BGD524312 BPZ524295:BPZ524312 BZV524295:BZV524312 CJR524295:CJR524312 CTN524295:CTN524312 DDJ524295:DDJ524312 DNF524295:DNF524312 DXB524295:DXB524312 EGX524295:EGX524312 EQT524295:EQT524312 FAP524295:FAP524312 FKL524295:FKL524312 FUH524295:FUH524312 GED524295:GED524312 GNZ524295:GNZ524312 GXV524295:GXV524312 HHR524295:HHR524312 HRN524295:HRN524312 IBJ524295:IBJ524312 ILF524295:ILF524312 IVB524295:IVB524312 JEX524295:JEX524312 JOT524295:JOT524312 JYP524295:JYP524312 KIL524295:KIL524312 KSH524295:KSH524312 LCD524295:LCD524312 LLZ524295:LLZ524312 LVV524295:LVV524312 MFR524295:MFR524312 MPN524295:MPN524312 MZJ524295:MZJ524312 NJF524295:NJF524312 NTB524295:NTB524312 OCX524295:OCX524312 OMT524295:OMT524312 OWP524295:OWP524312 PGL524295:PGL524312 PQH524295:PQH524312 QAD524295:QAD524312 QJZ524295:QJZ524312 QTV524295:QTV524312 RDR524295:RDR524312 RNN524295:RNN524312 RXJ524295:RXJ524312 SHF524295:SHF524312 SRB524295:SRB524312 TAX524295:TAX524312 TKT524295:TKT524312 TUP524295:TUP524312 UEL524295:UEL524312 UOH524295:UOH524312 UYD524295:UYD524312 VHZ524295:VHZ524312 VRV524295:VRV524312 WBR524295:WBR524312 WLN524295:WLN524312 WVJ524295:WVJ524312 B589831:B589848 IX589831:IX589848 ST589831:ST589848 ACP589831:ACP589848 AML589831:AML589848 AWH589831:AWH589848 BGD589831:BGD589848 BPZ589831:BPZ589848 BZV589831:BZV589848 CJR589831:CJR589848 CTN589831:CTN589848 DDJ589831:DDJ589848 DNF589831:DNF589848 DXB589831:DXB589848 EGX589831:EGX589848 EQT589831:EQT589848 FAP589831:FAP589848 FKL589831:FKL589848 FUH589831:FUH589848 GED589831:GED589848 GNZ589831:GNZ589848 GXV589831:GXV589848 HHR589831:HHR589848 HRN589831:HRN589848 IBJ589831:IBJ589848 ILF589831:ILF589848 IVB589831:IVB589848 JEX589831:JEX589848 JOT589831:JOT589848 JYP589831:JYP589848 KIL589831:KIL589848 KSH589831:KSH589848 LCD589831:LCD589848 LLZ589831:LLZ589848 LVV589831:LVV589848 MFR589831:MFR589848 MPN589831:MPN589848 MZJ589831:MZJ589848 NJF589831:NJF589848 NTB589831:NTB589848 OCX589831:OCX589848 OMT589831:OMT589848 OWP589831:OWP589848 PGL589831:PGL589848 PQH589831:PQH589848 QAD589831:QAD589848 QJZ589831:QJZ589848 QTV589831:QTV589848 RDR589831:RDR589848 RNN589831:RNN589848 RXJ589831:RXJ589848 SHF589831:SHF589848 SRB589831:SRB589848 TAX589831:TAX589848 TKT589831:TKT589848 TUP589831:TUP589848 UEL589831:UEL589848 UOH589831:UOH589848 UYD589831:UYD589848 VHZ589831:VHZ589848 VRV589831:VRV589848 WBR589831:WBR589848 WLN589831:WLN589848 WVJ589831:WVJ589848 B655367:B655384 IX655367:IX655384 ST655367:ST655384 ACP655367:ACP655384 AML655367:AML655384 AWH655367:AWH655384 BGD655367:BGD655384 BPZ655367:BPZ655384 BZV655367:BZV655384 CJR655367:CJR655384 CTN655367:CTN655384 DDJ655367:DDJ655384 DNF655367:DNF655384 DXB655367:DXB655384 EGX655367:EGX655384 EQT655367:EQT655384 FAP655367:FAP655384 FKL655367:FKL655384 FUH655367:FUH655384 GED655367:GED655384 GNZ655367:GNZ655384 GXV655367:GXV655384 HHR655367:HHR655384 HRN655367:HRN655384 IBJ655367:IBJ655384 ILF655367:ILF655384 IVB655367:IVB655384 JEX655367:JEX655384 JOT655367:JOT655384 JYP655367:JYP655384 KIL655367:KIL655384 KSH655367:KSH655384 LCD655367:LCD655384 LLZ655367:LLZ655384 LVV655367:LVV655384 MFR655367:MFR655384 MPN655367:MPN655384 MZJ655367:MZJ655384 NJF655367:NJF655384 NTB655367:NTB655384 OCX655367:OCX655384 OMT655367:OMT655384 OWP655367:OWP655384 PGL655367:PGL655384 PQH655367:PQH655384 QAD655367:QAD655384 QJZ655367:QJZ655384 QTV655367:QTV655384 RDR655367:RDR655384 RNN655367:RNN655384 RXJ655367:RXJ655384 SHF655367:SHF655384 SRB655367:SRB655384 TAX655367:TAX655384 TKT655367:TKT655384 TUP655367:TUP655384 UEL655367:UEL655384 UOH655367:UOH655384 UYD655367:UYD655384 VHZ655367:VHZ655384 VRV655367:VRV655384 WBR655367:WBR655384 WLN655367:WLN655384 WVJ655367:WVJ655384 B720903:B720920 IX720903:IX720920 ST720903:ST720920 ACP720903:ACP720920 AML720903:AML720920 AWH720903:AWH720920 BGD720903:BGD720920 BPZ720903:BPZ720920 BZV720903:BZV720920 CJR720903:CJR720920 CTN720903:CTN720920 DDJ720903:DDJ720920 DNF720903:DNF720920 DXB720903:DXB720920 EGX720903:EGX720920 EQT720903:EQT720920 FAP720903:FAP720920 FKL720903:FKL720920 FUH720903:FUH720920 GED720903:GED720920 GNZ720903:GNZ720920 GXV720903:GXV720920 HHR720903:HHR720920 HRN720903:HRN720920 IBJ720903:IBJ720920 ILF720903:ILF720920 IVB720903:IVB720920 JEX720903:JEX720920 JOT720903:JOT720920 JYP720903:JYP720920 KIL720903:KIL720920 KSH720903:KSH720920 LCD720903:LCD720920 LLZ720903:LLZ720920 LVV720903:LVV720920 MFR720903:MFR720920 MPN720903:MPN720920 MZJ720903:MZJ720920 NJF720903:NJF720920 NTB720903:NTB720920 OCX720903:OCX720920 OMT720903:OMT720920 OWP720903:OWP720920 PGL720903:PGL720920 PQH720903:PQH720920 QAD720903:QAD720920 QJZ720903:QJZ720920 QTV720903:QTV720920 RDR720903:RDR720920 RNN720903:RNN720920 RXJ720903:RXJ720920 SHF720903:SHF720920 SRB720903:SRB720920 TAX720903:TAX720920 TKT720903:TKT720920 TUP720903:TUP720920 UEL720903:UEL720920 UOH720903:UOH720920 UYD720903:UYD720920 VHZ720903:VHZ720920 VRV720903:VRV720920 WBR720903:WBR720920 WLN720903:WLN720920 WVJ720903:WVJ720920 B786439:B786456 IX786439:IX786456 ST786439:ST786456 ACP786439:ACP786456 AML786439:AML786456 AWH786439:AWH786456 BGD786439:BGD786456 BPZ786439:BPZ786456 BZV786439:BZV786456 CJR786439:CJR786456 CTN786439:CTN786456 DDJ786439:DDJ786456 DNF786439:DNF786456 DXB786439:DXB786456 EGX786439:EGX786456 EQT786439:EQT786456 FAP786439:FAP786456 FKL786439:FKL786456 FUH786439:FUH786456 GED786439:GED786456 GNZ786439:GNZ786456 GXV786439:GXV786456 HHR786439:HHR786456 HRN786439:HRN786456 IBJ786439:IBJ786456 ILF786439:ILF786456 IVB786439:IVB786456 JEX786439:JEX786456 JOT786439:JOT786456 JYP786439:JYP786456 KIL786439:KIL786456 KSH786439:KSH786456 LCD786439:LCD786456 LLZ786439:LLZ786456 LVV786439:LVV786456 MFR786439:MFR786456 MPN786439:MPN786456 MZJ786439:MZJ786456 NJF786439:NJF786456 NTB786439:NTB786456 OCX786439:OCX786456 OMT786439:OMT786456 OWP786439:OWP786456 PGL786439:PGL786456 PQH786439:PQH786456 QAD786439:QAD786456 QJZ786439:QJZ786456 QTV786439:QTV786456 RDR786439:RDR786456 RNN786439:RNN786456 RXJ786439:RXJ786456 SHF786439:SHF786456 SRB786439:SRB786456 TAX786439:TAX786456 TKT786439:TKT786456 TUP786439:TUP786456 UEL786439:UEL786456 UOH786439:UOH786456 UYD786439:UYD786456 VHZ786439:VHZ786456 VRV786439:VRV786456 WBR786439:WBR786456 WLN786439:WLN786456 WVJ786439:WVJ786456 B851975:B851992 IX851975:IX851992 ST851975:ST851992 ACP851975:ACP851992 AML851975:AML851992 AWH851975:AWH851992 BGD851975:BGD851992 BPZ851975:BPZ851992 BZV851975:BZV851992 CJR851975:CJR851992 CTN851975:CTN851992 DDJ851975:DDJ851992 DNF851975:DNF851992 DXB851975:DXB851992 EGX851975:EGX851992 EQT851975:EQT851992 FAP851975:FAP851992 FKL851975:FKL851992 FUH851975:FUH851992 GED851975:GED851992 GNZ851975:GNZ851992 GXV851975:GXV851992 HHR851975:HHR851992 HRN851975:HRN851992 IBJ851975:IBJ851992 ILF851975:ILF851992 IVB851975:IVB851992 JEX851975:JEX851992 JOT851975:JOT851992 JYP851975:JYP851992 KIL851975:KIL851992 KSH851975:KSH851992 LCD851975:LCD851992 LLZ851975:LLZ851992 LVV851975:LVV851992 MFR851975:MFR851992 MPN851975:MPN851992 MZJ851975:MZJ851992 NJF851975:NJF851992 NTB851975:NTB851992 OCX851975:OCX851992 OMT851975:OMT851992 OWP851975:OWP851992 PGL851975:PGL851992 PQH851975:PQH851992 QAD851975:QAD851992 QJZ851975:QJZ851992 QTV851975:QTV851992 RDR851975:RDR851992 RNN851975:RNN851992 RXJ851975:RXJ851992 SHF851975:SHF851992 SRB851975:SRB851992 TAX851975:TAX851992 TKT851975:TKT851992 TUP851975:TUP851992 UEL851975:UEL851992 UOH851975:UOH851992 UYD851975:UYD851992 VHZ851975:VHZ851992 VRV851975:VRV851992 WBR851975:WBR851992 WLN851975:WLN851992 WVJ851975:WVJ851992 B917511:B917528 IX917511:IX917528 ST917511:ST917528 ACP917511:ACP917528 AML917511:AML917528 AWH917511:AWH917528 BGD917511:BGD917528 BPZ917511:BPZ917528 BZV917511:BZV917528 CJR917511:CJR917528 CTN917511:CTN917528 DDJ917511:DDJ917528 DNF917511:DNF917528 DXB917511:DXB917528 EGX917511:EGX917528 EQT917511:EQT917528 FAP917511:FAP917528 FKL917511:FKL917528 FUH917511:FUH917528 GED917511:GED917528 GNZ917511:GNZ917528 GXV917511:GXV917528 HHR917511:HHR917528 HRN917511:HRN917528 IBJ917511:IBJ917528 ILF917511:ILF917528 IVB917511:IVB917528 JEX917511:JEX917528 JOT917511:JOT917528 JYP917511:JYP917528 KIL917511:KIL917528 KSH917511:KSH917528 LCD917511:LCD917528 LLZ917511:LLZ917528 LVV917511:LVV917528 MFR917511:MFR917528 MPN917511:MPN917528 MZJ917511:MZJ917528 NJF917511:NJF917528 NTB917511:NTB917528 OCX917511:OCX917528 OMT917511:OMT917528 OWP917511:OWP917528 PGL917511:PGL917528 PQH917511:PQH917528 QAD917511:QAD917528 QJZ917511:QJZ917528 QTV917511:QTV917528 RDR917511:RDR917528 RNN917511:RNN917528 RXJ917511:RXJ917528 SHF917511:SHF917528 SRB917511:SRB917528 TAX917511:TAX917528 TKT917511:TKT917528 TUP917511:TUP917528 UEL917511:UEL917528 UOH917511:UOH917528 UYD917511:UYD917528 VHZ917511:VHZ917528 VRV917511:VRV917528 WBR917511:WBR917528 WLN917511:WLN917528 WVJ917511:WVJ917528" xr:uid="{00000000-0002-0000-2B00-000001000000}">
      <formula1>trung</formula1>
    </dataValidation>
  </dataValidation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315"/>
  <sheetViews>
    <sheetView topLeftCell="A17"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2189</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2190</v>
      </c>
      <c r="C13" s="425"/>
      <c r="D13" s="425"/>
      <c r="E13" s="425"/>
      <c r="F13" s="425"/>
      <c r="G13" s="73">
        <f>G14</f>
        <v>16284000</v>
      </c>
      <c r="H13" s="74"/>
    </row>
    <row r="14" spans="1:8" s="131" customFormat="1" ht="140.4">
      <c r="A14" s="123"/>
      <c r="B14" s="124" t="s">
        <v>2059</v>
      </c>
      <c r="C14" s="125" t="s">
        <v>1753</v>
      </c>
      <c r="D14" s="126">
        <v>6.9</v>
      </c>
      <c r="E14" s="127">
        <v>11800000</v>
      </c>
      <c r="F14" s="188">
        <v>0.2</v>
      </c>
      <c r="G14" s="129">
        <f>D14*E14*F14</f>
        <v>16284000</v>
      </c>
      <c r="H14" s="130"/>
    </row>
    <row r="15" spans="1:8" ht="27" customHeight="1">
      <c r="A15" s="75" t="s">
        <v>18</v>
      </c>
      <c r="B15" s="426" t="s">
        <v>1725</v>
      </c>
      <c r="C15" s="426"/>
      <c r="D15" s="426"/>
      <c r="E15" s="426"/>
      <c r="F15" s="426"/>
      <c r="G15" s="76">
        <f>SUM(G16:G22)</f>
        <v>2106047.6120600002</v>
      </c>
      <c r="H15" s="11"/>
    </row>
    <row r="16" spans="1:8" ht="30.6" customHeight="1">
      <c r="A16" s="77">
        <v>1</v>
      </c>
      <c r="B16" s="78" t="s">
        <v>2191</v>
      </c>
      <c r="C16" s="14" t="s">
        <v>1754</v>
      </c>
      <c r="D16" s="132">
        <f>(4*1.8+5.7*1.8)*0.15</f>
        <v>2.6190000000000002</v>
      </c>
      <c r="E16" s="15">
        <v>1081965</v>
      </c>
      <c r="F16" s="187">
        <v>0.2</v>
      </c>
      <c r="G16" s="79">
        <f>D16*E16*F16</f>
        <v>566733.26700000011</v>
      </c>
      <c r="H16" s="15"/>
    </row>
    <row r="17" spans="1:8" ht="30.6" customHeight="1">
      <c r="A17" s="77">
        <v>2</v>
      </c>
      <c r="B17" s="78" t="s">
        <v>2192</v>
      </c>
      <c r="C17" s="14" t="s">
        <v>1754</v>
      </c>
      <c r="D17" s="132">
        <f>0.35*0.5*2.5</f>
        <v>0.4375</v>
      </c>
      <c r="E17" s="15">
        <v>1081965</v>
      </c>
      <c r="F17" s="187">
        <v>0.2</v>
      </c>
      <c r="G17" s="79">
        <f>D17*E17*F17</f>
        <v>94671.9375</v>
      </c>
      <c r="H17" s="15"/>
    </row>
    <row r="18" spans="1:8" ht="30.6" customHeight="1">
      <c r="A18" s="77"/>
      <c r="B18" s="78" t="s">
        <v>2193</v>
      </c>
      <c r="C18" s="14" t="s">
        <v>66</v>
      </c>
      <c r="D18" s="132">
        <f>(0.35+0.5)*2.5*2</f>
        <v>4.25</v>
      </c>
      <c r="E18" s="15">
        <v>250492</v>
      </c>
      <c r="F18" s="187">
        <v>0.2</v>
      </c>
      <c r="G18" s="79">
        <f t="shared" ref="G18" si="0">D18*E18*F18</f>
        <v>212918.2</v>
      </c>
      <c r="H18" s="15"/>
    </row>
    <row r="19" spans="1:8" ht="30.6" customHeight="1">
      <c r="A19" s="77">
        <v>3</v>
      </c>
      <c r="B19" s="78" t="s">
        <v>2194</v>
      </c>
      <c r="C19" s="14" t="s">
        <v>66</v>
      </c>
      <c r="D19" s="132">
        <f>1.8*2</f>
        <v>3.6</v>
      </c>
      <c r="E19" s="15">
        <v>550000</v>
      </c>
      <c r="F19" s="187">
        <v>0.2</v>
      </c>
      <c r="G19" s="79">
        <f>D19*E19*F19</f>
        <v>396000</v>
      </c>
      <c r="H19" s="15"/>
    </row>
    <row r="20" spans="1:8" ht="30.6" customHeight="1">
      <c r="A20" s="77">
        <v>4</v>
      </c>
      <c r="B20" s="78" t="s">
        <v>2195</v>
      </c>
      <c r="C20" s="14"/>
      <c r="D20" s="132"/>
      <c r="E20" s="15"/>
      <c r="F20" s="187"/>
      <c r="G20" s="79"/>
      <c r="H20" s="15"/>
    </row>
    <row r="21" spans="1:8" ht="30.6" customHeight="1">
      <c r="A21" s="77" t="s">
        <v>1761</v>
      </c>
      <c r="B21" s="78" t="s">
        <v>2196</v>
      </c>
      <c r="C21" s="14" t="s">
        <v>1754</v>
      </c>
      <c r="D21" s="132">
        <f>(9.7*0.8*0.11)*2</f>
        <v>1.7072000000000001</v>
      </c>
      <c r="E21" s="15">
        <v>2126713</v>
      </c>
      <c r="F21" s="187">
        <v>0.2</v>
      </c>
      <c r="G21" s="79">
        <f>D21*E21*F21</f>
        <v>726144.88672000007</v>
      </c>
      <c r="H21" s="15"/>
    </row>
    <row r="22" spans="1:8" ht="30.6" customHeight="1">
      <c r="A22" s="77" t="s">
        <v>1761</v>
      </c>
      <c r="B22" s="78" t="s">
        <v>2197</v>
      </c>
      <c r="C22" s="14" t="s">
        <v>1754</v>
      </c>
      <c r="D22" s="132">
        <f>9.7*0.3*0.11</f>
        <v>0.3201</v>
      </c>
      <c r="E22" s="15">
        <v>1711642</v>
      </c>
      <c r="F22" s="187">
        <v>0.2</v>
      </c>
      <c r="G22" s="79">
        <f>D22*E22*F22</f>
        <v>109579.32084</v>
      </c>
      <c r="H22" s="15"/>
    </row>
    <row r="23" spans="1:8" ht="24" customHeight="1">
      <c r="A23" s="75" t="s">
        <v>19</v>
      </c>
      <c r="B23" s="426" t="s">
        <v>1727</v>
      </c>
      <c r="C23" s="426"/>
      <c r="D23" s="426"/>
      <c r="E23" s="426"/>
      <c r="F23" s="426"/>
      <c r="G23" s="76">
        <f>G24</f>
        <v>0</v>
      </c>
      <c r="H23" s="11"/>
    </row>
    <row r="24" spans="1:8" ht="30.6" customHeight="1">
      <c r="A24" s="77"/>
      <c r="B24" s="78" t="s">
        <v>1728</v>
      </c>
      <c r="C24" s="13"/>
      <c r="D24" s="13"/>
      <c r="E24" s="13"/>
      <c r="F24" s="13"/>
      <c r="G24" s="79"/>
      <c r="H24" s="15"/>
    </row>
    <row r="25" spans="1:8" ht="15.6">
      <c r="A25" s="80"/>
      <c r="B25" s="427" t="s">
        <v>62</v>
      </c>
      <c r="C25" s="428"/>
      <c r="D25" s="428"/>
      <c r="E25" s="428"/>
      <c r="F25" s="429"/>
      <c r="G25" s="81">
        <f>G13+G15+G23</f>
        <v>18390047.612059999</v>
      </c>
      <c r="H25" s="82"/>
    </row>
    <row r="26" spans="1:8" ht="15.6">
      <c r="A26" s="80"/>
      <c r="B26" s="427" t="s">
        <v>1726</v>
      </c>
      <c r="C26" s="428"/>
      <c r="D26" s="428"/>
      <c r="E26" s="428"/>
      <c r="F26" s="429"/>
      <c r="G26" s="81">
        <f>ROUND(G25,-3)</f>
        <v>18390000</v>
      </c>
      <c r="H26" s="82"/>
    </row>
    <row r="27" spans="1:8" ht="15.6">
      <c r="A27" s="430" t="e">
        <f ca="1">[21]!uni(G26)</f>
        <v>#NAME?</v>
      </c>
      <c r="B27" s="431"/>
      <c r="C27" s="431"/>
      <c r="D27" s="431"/>
      <c r="E27" s="431"/>
      <c r="F27" s="431"/>
      <c r="G27" s="431"/>
      <c r="H27" s="432"/>
    </row>
    <row r="28" spans="1:8">
      <c r="A28" s="17"/>
      <c r="B28" s="17"/>
      <c r="C28" s="97"/>
      <c r="D28" s="20"/>
      <c r="E28" s="19"/>
      <c r="F28" s="97"/>
      <c r="G28" s="19"/>
      <c r="H28" s="17"/>
    </row>
    <row r="29" spans="1:8" s="109" customFormat="1" ht="16.5" customHeight="1">
      <c r="A29" s="108"/>
      <c r="B29" s="108"/>
      <c r="C29" s="424" t="s">
        <v>1742</v>
      </c>
      <c r="D29" s="424"/>
      <c r="E29" s="424"/>
      <c r="F29" s="424"/>
      <c r="G29" s="424"/>
      <c r="H29" s="424"/>
    </row>
    <row r="30" spans="1:8" s="109" customFormat="1" ht="16.5" customHeight="1">
      <c r="A30" s="423" t="s">
        <v>63</v>
      </c>
      <c r="B30" s="423"/>
      <c r="C30" s="424" t="s">
        <v>1743</v>
      </c>
      <c r="D30" s="424"/>
      <c r="E30" s="424"/>
      <c r="F30" s="424" t="s">
        <v>1744</v>
      </c>
      <c r="G30" s="424"/>
      <c r="H30" s="424"/>
    </row>
    <row r="31" spans="1:8" s="109" customFormat="1" ht="15.6">
      <c r="A31" s="108"/>
      <c r="B31" s="108"/>
      <c r="C31" s="108"/>
      <c r="D31" s="110"/>
      <c r="E31" s="111"/>
      <c r="F31" s="112"/>
      <c r="G31" s="111"/>
      <c r="H31" s="113"/>
    </row>
    <row r="32" spans="1:8" s="109" customFormat="1" ht="15.6">
      <c r="A32" s="108"/>
      <c r="B32" s="108"/>
      <c r="C32" s="108"/>
      <c r="D32" s="110"/>
      <c r="E32" s="111"/>
      <c r="F32" s="112"/>
      <c r="G32" s="114"/>
      <c r="H32" s="113"/>
    </row>
    <row r="33" spans="1:8" s="109" customFormat="1" ht="15.6">
      <c r="A33" s="108"/>
      <c r="B33" s="108"/>
      <c r="C33" s="108"/>
      <c r="D33" s="110"/>
      <c r="E33" s="111"/>
      <c r="F33" s="112"/>
      <c r="G33" s="111"/>
      <c r="H33" s="113"/>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6.5" customHeight="1">
      <c r="A36" s="108"/>
      <c r="B36" s="198" t="s">
        <v>64</v>
      </c>
      <c r="C36" s="424"/>
      <c r="D36" s="424"/>
      <c r="E36" s="424"/>
      <c r="F36" s="424" t="s">
        <v>1745</v>
      </c>
      <c r="G36" s="424"/>
      <c r="H36" s="424"/>
    </row>
    <row r="37" spans="1:8" s="109" customFormat="1" ht="15.6">
      <c r="A37" s="108"/>
      <c r="B37" s="198"/>
      <c r="C37" s="199"/>
      <c r="D37" s="199"/>
      <c r="E37" s="199"/>
      <c r="F37" s="199"/>
      <c r="G37" s="199"/>
      <c r="H37" s="199"/>
    </row>
    <row r="38" spans="1:8" s="109" customFormat="1" ht="15" customHeight="1">
      <c r="A38" s="424" t="s">
        <v>1746</v>
      </c>
      <c r="B38" s="424"/>
      <c r="C38" s="424"/>
      <c r="D38" s="424"/>
      <c r="E38" s="424" t="s">
        <v>1747</v>
      </c>
      <c r="F38" s="424"/>
      <c r="G38" s="424"/>
      <c r="H38" s="424"/>
    </row>
    <row r="39" spans="1:8" s="109" customFormat="1" ht="33.6" customHeight="1">
      <c r="A39" s="424" t="s">
        <v>1748</v>
      </c>
      <c r="B39" s="424"/>
      <c r="C39" s="424"/>
      <c r="D39" s="424"/>
      <c r="E39" s="424" t="s">
        <v>65</v>
      </c>
      <c r="F39" s="424"/>
      <c r="G39" s="424"/>
      <c r="H39" s="424"/>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 r="A43" s="108"/>
      <c r="B43" s="108"/>
      <c r="C43" s="108"/>
      <c r="D43" s="110"/>
      <c r="E43" s="111"/>
      <c r="F43" s="112"/>
      <c r="G43" s="111"/>
      <c r="H43" s="113"/>
    </row>
    <row r="44" spans="1:8" s="109" customFormat="1" ht="15.6">
      <c r="A44" s="108"/>
      <c r="B44" s="108"/>
      <c r="C44" s="108"/>
      <c r="D44" s="110"/>
      <c r="E44" s="111"/>
      <c r="F44" s="112"/>
      <c r="G44" s="111"/>
      <c r="H44" s="113"/>
    </row>
    <row r="45" spans="1:8" s="109" customFormat="1" ht="15.6" customHeight="1">
      <c r="A45" s="108"/>
      <c r="B45" s="108"/>
      <c r="C45" s="108"/>
      <c r="D45" s="115"/>
      <c r="E45" s="439" t="s">
        <v>1749</v>
      </c>
      <c r="F45" s="439"/>
      <c r="G45" s="439"/>
      <c r="H45" s="439"/>
    </row>
    <row r="46" spans="1:8" s="109" customFormat="1" ht="16.5" customHeight="1">
      <c r="A46" s="424" t="s">
        <v>1751</v>
      </c>
      <c r="B46" s="424"/>
      <c r="C46" s="424"/>
      <c r="D46" s="424"/>
      <c r="E46" s="424" t="s">
        <v>1750</v>
      </c>
      <c r="F46" s="424"/>
      <c r="G46" s="424"/>
      <c r="H46" s="424"/>
    </row>
    <row r="47" spans="1:8" s="118" customFormat="1" ht="16.2" customHeight="1">
      <c r="A47" s="440"/>
      <c r="B47" s="440"/>
      <c r="C47" s="116"/>
      <c r="D47" s="117"/>
      <c r="E47" s="440"/>
      <c r="F47" s="440"/>
      <c r="G47" s="440"/>
      <c r="H47" s="440"/>
    </row>
    <row r="48" spans="1:8" s="118" customFormat="1" ht="15.75" customHeight="1">
      <c r="A48" s="440"/>
      <c r="B48" s="440"/>
      <c r="C48" s="440"/>
      <c r="D48" s="440"/>
      <c r="E48" s="440"/>
      <c r="F48" s="440"/>
      <c r="G48" s="440"/>
      <c r="H48" s="440"/>
    </row>
    <row r="49" spans="1:8" s="98" customFormat="1" ht="16.2" customHeight="1">
      <c r="A49" s="436"/>
      <c r="B49" s="436"/>
      <c r="C49" s="436"/>
      <c r="D49" s="436"/>
      <c r="E49" s="119"/>
      <c r="F49" s="120"/>
      <c r="G49" s="119"/>
      <c r="H49" s="121"/>
    </row>
    <row r="50" spans="1:8" s="98" customFormat="1" ht="16.2" customHeight="1">
      <c r="A50" s="436"/>
      <c r="B50" s="436"/>
      <c r="C50" s="436"/>
      <c r="D50" s="436"/>
      <c r="E50" s="119"/>
      <c r="F50" s="120"/>
      <c r="G50" s="119"/>
      <c r="H50" s="121"/>
    </row>
    <row r="51" spans="1:8" s="98" customFormat="1" ht="16.2" customHeight="1">
      <c r="A51" s="121"/>
      <c r="B51" s="121"/>
      <c r="C51" s="121"/>
      <c r="D51" s="122"/>
      <c r="E51" s="119"/>
      <c r="F51" s="120"/>
      <c r="G51" s="119"/>
      <c r="H51" s="121"/>
    </row>
    <row r="52" spans="1:8" ht="16.2" customHeight="1">
      <c r="A52" s="83"/>
      <c r="B52" s="83"/>
      <c r="C52" s="83"/>
      <c r="D52" s="84"/>
      <c r="E52" s="85"/>
      <c r="F52" s="86"/>
      <c r="G52" s="85"/>
      <c r="H52" s="83"/>
    </row>
    <row r="53" spans="1:8" ht="16.2" customHeight="1">
      <c r="A53" s="83"/>
      <c r="B53" s="83"/>
      <c r="C53" s="83"/>
      <c r="D53" s="84"/>
      <c r="E53" s="85"/>
      <c r="F53" s="86"/>
      <c r="G53" s="85"/>
      <c r="H53" s="83"/>
    </row>
    <row r="54" spans="1:8" ht="16.2" customHeight="1">
      <c r="A54" s="83"/>
      <c r="B54" s="83"/>
      <c r="C54" s="83"/>
      <c r="D54" s="84"/>
      <c r="E54" s="85"/>
      <c r="F54" s="86"/>
      <c r="G54" s="85"/>
      <c r="H54" s="83"/>
    </row>
    <row r="55" spans="1:8" ht="16.2" customHeight="1">
      <c r="A55" s="83"/>
      <c r="B55" s="83"/>
      <c r="C55" s="83"/>
      <c r="D55" s="84"/>
      <c r="E55" s="437"/>
      <c r="F55" s="437"/>
      <c r="G55" s="437"/>
      <c r="H55" s="437"/>
    </row>
    <row r="56" spans="1:8" ht="20.25" customHeight="1">
      <c r="A56" s="438"/>
      <c r="B56" s="438"/>
      <c r="C56" s="438"/>
      <c r="D56" s="438"/>
      <c r="E56" s="438"/>
      <c r="F56" s="438"/>
      <c r="G56" s="438"/>
      <c r="H56" s="438"/>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row r="232"/>
    <row r="233"/>
    <row r="234"/>
    <row r="235"/>
    <row r="236"/>
    <row r="237"/>
    <row r="238"/>
    <row r="239"/>
    <row r="240"/>
    <row r="241"/>
    <row r="242"/>
    <row r="243"/>
    <row r="244"/>
    <row r="245"/>
    <row r="246"/>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sheetData>
  <mergeCells count="40">
    <mergeCell ref="A4:B4"/>
    <mergeCell ref="C4:H4"/>
    <mergeCell ref="A1:B1"/>
    <mergeCell ref="C1:H1"/>
    <mergeCell ref="A2:B2"/>
    <mergeCell ref="C2:H2"/>
    <mergeCell ref="A3:B3"/>
    <mergeCell ref="A27:H27"/>
    <mergeCell ref="A6:H6"/>
    <mergeCell ref="A7:H7"/>
    <mergeCell ref="A8:H8"/>
    <mergeCell ref="A9:H9"/>
    <mergeCell ref="A10:H10"/>
    <mergeCell ref="A11:H11"/>
    <mergeCell ref="B13:F13"/>
    <mergeCell ref="B15:F15"/>
    <mergeCell ref="B23:F23"/>
    <mergeCell ref="B25:F25"/>
    <mergeCell ref="B26:F26"/>
    <mergeCell ref="A46:D46"/>
    <mergeCell ref="E46:H46"/>
    <mergeCell ref="C29:H29"/>
    <mergeCell ref="A30:B30"/>
    <mergeCell ref="C30:E30"/>
    <mergeCell ref="F30:H30"/>
    <mergeCell ref="C36:E36"/>
    <mergeCell ref="F36:H36"/>
    <mergeCell ref="A38:D38"/>
    <mergeCell ref="E38:H38"/>
    <mergeCell ref="A39:D39"/>
    <mergeCell ref="E39:H39"/>
    <mergeCell ref="E45:H45"/>
    <mergeCell ref="E55:H55"/>
    <mergeCell ref="A56:H56"/>
    <mergeCell ref="A47:B47"/>
    <mergeCell ref="E47:H47"/>
    <mergeCell ref="A48:D48"/>
    <mergeCell ref="E48:H48"/>
    <mergeCell ref="A49:D49"/>
    <mergeCell ref="A50:D50"/>
  </mergeCells>
  <dataValidations count="1">
    <dataValidation type="list" allowBlank="1" showInputMessage="1" showErrorMessage="1" sqref="WVJ983048:WVJ983065 B983048:B983065 IX983048:IX983065 ST983048:ST983065 ACP983048:ACP983065 AML983048:AML983065 AWH983048:AWH983065 BGD983048:BGD983065 BPZ983048:BPZ983065 BZV983048:BZV983065 CJR983048:CJR983065 CTN983048:CTN983065 DDJ983048:DDJ983065 DNF983048:DNF983065 DXB983048:DXB983065 EGX983048:EGX983065 EQT983048:EQT983065 FAP983048:FAP983065 FKL983048:FKL983065 FUH983048:FUH983065 GED983048:GED983065 GNZ983048:GNZ983065 GXV983048:GXV983065 HHR983048:HHR983065 HRN983048:HRN983065 IBJ983048:IBJ983065 ILF983048:ILF983065 IVB983048:IVB983065 JEX983048:JEX983065 JOT983048:JOT983065 JYP983048:JYP983065 KIL983048:KIL983065 KSH983048:KSH983065 LCD983048:LCD983065 LLZ983048:LLZ983065 LVV983048:LVV983065 MFR983048:MFR983065 MPN983048:MPN983065 MZJ983048:MZJ983065 NJF983048:NJF983065 NTB983048:NTB983065 OCX983048:OCX983065 OMT983048:OMT983065 OWP983048:OWP983065 PGL983048:PGL983065 PQH983048:PQH983065 QAD983048:QAD983065 QJZ983048:QJZ983065 QTV983048:QTV983065 RDR983048:RDR983065 RNN983048:RNN983065 RXJ983048:RXJ983065 SHF983048:SHF983065 SRB983048:SRB983065 TAX983048:TAX983065 TKT983048:TKT983065 TUP983048:TUP983065 UEL983048:UEL983065 UOH983048:UOH983065 UYD983048:UYD983065 VHZ983048:VHZ983065 VRV983048:VRV983065 WBR983048:WBR983065 WLN983048:WLN983065 B65544:B65561 IX65544:IX65561 ST65544:ST65561 ACP65544:ACP65561 AML65544:AML65561 AWH65544:AWH65561 BGD65544:BGD65561 BPZ65544:BPZ65561 BZV65544:BZV65561 CJR65544:CJR65561 CTN65544:CTN65561 DDJ65544:DDJ65561 DNF65544:DNF65561 DXB65544:DXB65561 EGX65544:EGX65561 EQT65544:EQT65561 FAP65544:FAP65561 FKL65544:FKL65561 FUH65544:FUH65561 GED65544:GED65561 GNZ65544:GNZ65561 GXV65544:GXV65561 HHR65544:HHR65561 HRN65544:HRN65561 IBJ65544:IBJ65561 ILF65544:ILF65561 IVB65544:IVB65561 JEX65544:JEX65561 JOT65544:JOT65561 JYP65544:JYP65561 KIL65544:KIL65561 KSH65544:KSH65561 LCD65544:LCD65561 LLZ65544:LLZ65561 LVV65544:LVV65561 MFR65544:MFR65561 MPN65544:MPN65561 MZJ65544:MZJ65561 NJF65544:NJF65561 NTB65544:NTB65561 OCX65544:OCX65561 OMT65544:OMT65561 OWP65544:OWP65561 PGL65544:PGL65561 PQH65544:PQH65561 QAD65544:QAD65561 QJZ65544:QJZ65561 QTV65544:QTV65561 RDR65544:RDR65561 RNN65544:RNN65561 RXJ65544:RXJ65561 SHF65544:SHF65561 SRB65544:SRB65561 TAX65544:TAX65561 TKT65544:TKT65561 TUP65544:TUP65561 UEL65544:UEL65561 UOH65544:UOH65561 UYD65544:UYD65561 VHZ65544:VHZ65561 VRV65544:VRV65561 WBR65544:WBR65561 WLN65544:WLN65561 WVJ65544:WVJ65561 B131080:B131097 IX131080:IX131097 ST131080:ST131097 ACP131080:ACP131097 AML131080:AML131097 AWH131080:AWH131097 BGD131080:BGD131097 BPZ131080:BPZ131097 BZV131080:BZV131097 CJR131080:CJR131097 CTN131080:CTN131097 DDJ131080:DDJ131097 DNF131080:DNF131097 DXB131080:DXB131097 EGX131080:EGX131097 EQT131080:EQT131097 FAP131080:FAP131097 FKL131080:FKL131097 FUH131080:FUH131097 GED131080:GED131097 GNZ131080:GNZ131097 GXV131080:GXV131097 HHR131080:HHR131097 HRN131080:HRN131097 IBJ131080:IBJ131097 ILF131080:ILF131097 IVB131080:IVB131097 JEX131080:JEX131097 JOT131080:JOT131097 JYP131080:JYP131097 KIL131080:KIL131097 KSH131080:KSH131097 LCD131080:LCD131097 LLZ131080:LLZ131097 LVV131080:LVV131097 MFR131080:MFR131097 MPN131080:MPN131097 MZJ131080:MZJ131097 NJF131080:NJF131097 NTB131080:NTB131097 OCX131080:OCX131097 OMT131080:OMT131097 OWP131080:OWP131097 PGL131080:PGL131097 PQH131080:PQH131097 QAD131080:QAD131097 QJZ131080:QJZ131097 QTV131080:QTV131097 RDR131080:RDR131097 RNN131080:RNN131097 RXJ131080:RXJ131097 SHF131080:SHF131097 SRB131080:SRB131097 TAX131080:TAX131097 TKT131080:TKT131097 TUP131080:TUP131097 UEL131080:UEL131097 UOH131080:UOH131097 UYD131080:UYD131097 VHZ131080:VHZ131097 VRV131080:VRV131097 WBR131080:WBR131097 WLN131080:WLN131097 WVJ131080:WVJ131097 B196616:B196633 IX196616:IX196633 ST196616:ST196633 ACP196616:ACP196633 AML196616:AML196633 AWH196616:AWH196633 BGD196616:BGD196633 BPZ196616:BPZ196633 BZV196616:BZV196633 CJR196616:CJR196633 CTN196616:CTN196633 DDJ196616:DDJ196633 DNF196616:DNF196633 DXB196616:DXB196633 EGX196616:EGX196633 EQT196616:EQT196633 FAP196616:FAP196633 FKL196616:FKL196633 FUH196616:FUH196633 GED196616:GED196633 GNZ196616:GNZ196633 GXV196616:GXV196633 HHR196616:HHR196633 HRN196616:HRN196633 IBJ196616:IBJ196633 ILF196616:ILF196633 IVB196616:IVB196633 JEX196616:JEX196633 JOT196616:JOT196633 JYP196616:JYP196633 KIL196616:KIL196633 KSH196616:KSH196633 LCD196616:LCD196633 LLZ196616:LLZ196633 LVV196616:LVV196633 MFR196616:MFR196633 MPN196616:MPN196633 MZJ196616:MZJ196633 NJF196616:NJF196633 NTB196616:NTB196633 OCX196616:OCX196633 OMT196616:OMT196633 OWP196616:OWP196633 PGL196616:PGL196633 PQH196616:PQH196633 QAD196616:QAD196633 QJZ196616:QJZ196633 QTV196616:QTV196633 RDR196616:RDR196633 RNN196616:RNN196633 RXJ196616:RXJ196633 SHF196616:SHF196633 SRB196616:SRB196633 TAX196616:TAX196633 TKT196616:TKT196633 TUP196616:TUP196633 UEL196616:UEL196633 UOH196616:UOH196633 UYD196616:UYD196633 VHZ196616:VHZ196633 VRV196616:VRV196633 WBR196616:WBR196633 WLN196616:WLN196633 WVJ196616:WVJ196633 B262152:B262169 IX262152:IX262169 ST262152:ST262169 ACP262152:ACP262169 AML262152:AML262169 AWH262152:AWH262169 BGD262152:BGD262169 BPZ262152:BPZ262169 BZV262152:BZV262169 CJR262152:CJR262169 CTN262152:CTN262169 DDJ262152:DDJ262169 DNF262152:DNF262169 DXB262152:DXB262169 EGX262152:EGX262169 EQT262152:EQT262169 FAP262152:FAP262169 FKL262152:FKL262169 FUH262152:FUH262169 GED262152:GED262169 GNZ262152:GNZ262169 GXV262152:GXV262169 HHR262152:HHR262169 HRN262152:HRN262169 IBJ262152:IBJ262169 ILF262152:ILF262169 IVB262152:IVB262169 JEX262152:JEX262169 JOT262152:JOT262169 JYP262152:JYP262169 KIL262152:KIL262169 KSH262152:KSH262169 LCD262152:LCD262169 LLZ262152:LLZ262169 LVV262152:LVV262169 MFR262152:MFR262169 MPN262152:MPN262169 MZJ262152:MZJ262169 NJF262152:NJF262169 NTB262152:NTB262169 OCX262152:OCX262169 OMT262152:OMT262169 OWP262152:OWP262169 PGL262152:PGL262169 PQH262152:PQH262169 QAD262152:QAD262169 QJZ262152:QJZ262169 QTV262152:QTV262169 RDR262152:RDR262169 RNN262152:RNN262169 RXJ262152:RXJ262169 SHF262152:SHF262169 SRB262152:SRB262169 TAX262152:TAX262169 TKT262152:TKT262169 TUP262152:TUP262169 UEL262152:UEL262169 UOH262152:UOH262169 UYD262152:UYD262169 VHZ262152:VHZ262169 VRV262152:VRV262169 WBR262152:WBR262169 WLN262152:WLN262169 WVJ262152:WVJ262169 B327688:B327705 IX327688:IX327705 ST327688:ST327705 ACP327688:ACP327705 AML327688:AML327705 AWH327688:AWH327705 BGD327688:BGD327705 BPZ327688:BPZ327705 BZV327688:BZV327705 CJR327688:CJR327705 CTN327688:CTN327705 DDJ327688:DDJ327705 DNF327688:DNF327705 DXB327688:DXB327705 EGX327688:EGX327705 EQT327688:EQT327705 FAP327688:FAP327705 FKL327688:FKL327705 FUH327688:FUH327705 GED327688:GED327705 GNZ327688:GNZ327705 GXV327688:GXV327705 HHR327688:HHR327705 HRN327688:HRN327705 IBJ327688:IBJ327705 ILF327688:ILF327705 IVB327688:IVB327705 JEX327688:JEX327705 JOT327688:JOT327705 JYP327688:JYP327705 KIL327688:KIL327705 KSH327688:KSH327705 LCD327688:LCD327705 LLZ327688:LLZ327705 LVV327688:LVV327705 MFR327688:MFR327705 MPN327688:MPN327705 MZJ327688:MZJ327705 NJF327688:NJF327705 NTB327688:NTB327705 OCX327688:OCX327705 OMT327688:OMT327705 OWP327688:OWP327705 PGL327688:PGL327705 PQH327688:PQH327705 QAD327688:QAD327705 QJZ327688:QJZ327705 QTV327688:QTV327705 RDR327688:RDR327705 RNN327688:RNN327705 RXJ327688:RXJ327705 SHF327688:SHF327705 SRB327688:SRB327705 TAX327688:TAX327705 TKT327688:TKT327705 TUP327688:TUP327705 UEL327688:UEL327705 UOH327688:UOH327705 UYD327688:UYD327705 VHZ327688:VHZ327705 VRV327688:VRV327705 WBR327688:WBR327705 WLN327688:WLN327705 WVJ327688:WVJ327705 B393224:B393241 IX393224:IX393241 ST393224:ST393241 ACP393224:ACP393241 AML393224:AML393241 AWH393224:AWH393241 BGD393224:BGD393241 BPZ393224:BPZ393241 BZV393224:BZV393241 CJR393224:CJR393241 CTN393224:CTN393241 DDJ393224:DDJ393241 DNF393224:DNF393241 DXB393224:DXB393241 EGX393224:EGX393241 EQT393224:EQT393241 FAP393224:FAP393241 FKL393224:FKL393241 FUH393224:FUH393241 GED393224:GED393241 GNZ393224:GNZ393241 GXV393224:GXV393241 HHR393224:HHR393241 HRN393224:HRN393241 IBJ393224:IBJ393241 ILF393224:ILF393241 IVB393224:IVB393241 JEX393224:JEX393241 JOT393224:JOT393241 JYP393224:JYP393241 KIL393224:KIL393241 KSH393224:KSH393241 LCD393224:LCD393241 LLZ393224:LLZ393241 LVV393224:LVV393241 MFR393224:MFR393241 MPN393224:MPN393241 MZJ393224:MZJ393241 NJF393224:NJF393241 NTB393224:NTB393241 OCX393224:OCX393241 OMT393224:OMT393241 OWP393224:OWP393241 PGL393224:PGL393241 PQH393224:PQH393241 QAD393224:QAD393241 QJZ393224:QJZ393241 QTV393224:QTV393241 RDR393224:RDR393241 RNN393224:RNN393241 RXJ393224:RXJ393241 SHF393224:SHF393241 SRB393224:SRB393241 TAX393224:TAX393241 TKT393224:TKT393241 TUP393224:TUP393241 UEL393224:UEL393241 UOH393224:UOH393241 UYD393224:UYD393241 VHZ393224:VHZ393241 VRV393224:VRV393241 WBR393224:WBR393241 WLN393224:WLN393241 WVJ393224:WVJ393241 B458760:B458777 IX458760:IX458777 ST458760:ST458777 ACP458760:ACP458777 AML458760:AML458777 AWH458760:AWH458777 BGD458760:BGD458777 BPZ458760:BPZ458777 BZV458760:BZV458777 CJR458760:CJR458777 CTN458760:CTN458777 DDJ458760:DDJ458777 DNF458760:DNF458777 DXB458760:DXB458777 EGX458760:EGX458777 EQT458760:EQT458777 FAP458760:FAP458777 FKL458760:FKL458777 FUH458760:FUH458777 GED458760:GED458777 GNZ458760:GNZ458777 GXV458760:GXV458777 HHR458760:HHR458777 HRN458760:HRN458777 IBJ458760:IBJ458777 ILF458760:ILF458777 IVB458760:IVB458777 JEX458760:JEX458777 JOT458760:JOT458777 JYP458760:JYP458777 KIL458760:KIL458777 KSH458760:KSH458777 LCD458760:LCD458777 LLZ458760:LLZ458777 LVV458760:LVV458777 MFR458760:MFR458777 MPN458760:MPN458777 MZJ458760:MZJ458777 NJF458760:NJF458777 NTB458760:NTB458777 OCX458760:OCX458777 OMT458760:OMT458777 OWP458760:OWP458777 PGL458760:PGL458777 PQH458760:PQH458777 QAD458760:QAD458777 QJZ458760:QJZ458777 QTV458760:QTV458777 RDR458760:RDR458777 RNN458760:RNN458777 RXJ458760:RXJ458777 SHF458760:SHF458777 SRB458760:SRB458777 TAX458760:TAX458777 TKT458760:TKT458777 TUP458760:TUP458777 UEL458760:UEL458777 UOH458760:UOH458777 UYD458760:UYD458777 VHZ458760:VHZ458777 VRV458760:VRV458777 WBR458760:WBR458777 WLN458760:WLN458777 WVJ458760:WVJ458777 B524296:B524313 IX524296:IX524313 ST524296:ST524313 ACP524296:ACP524313 AML524296:AML524313 AWH524296:AWH524313 BGD524296:BGD524313 BPZ524296:BPZ524313 BZV524296:BZV524313 CJR524296:CJR524313 CTN524296:CTN524313 DDJ524296:DDJ524313 DNF524296:DNF524313 DXB524296:DXB524313 EGX524296:EGX524313 EQT524296:EQT524313 FAP524296:FAP524313 FKL524296:FKL524313 FUH524296:FUH524313 GED524296:GED524313 GNZ524296:GNZ524313 GXV524296:GXV524313 HHR524296:HHR524313 HRN524296:HRN524313 IBJ524296:IBJ524313 ILF524296:ILF524313 IVB524296:IVB524313 JEX524296:JEX524313 JOT524296:JOT524313 JYP524296:JYP524313 KIL524296:KIL524313 KSH524296:KSH524313 LCD524296:LCD524313 LLZ524296:LLZ524313 LVV524296:LVV524313 MFR524296:MFR524313 MPN524296:MPN524313 MZJ524296:MZJ524313 NJF524296:NJF524313 NTB524296:NTB524313 OCX524296:OCX524313 OMT524296:OMT524313 OWP524296:OWP524313 PGL524296:PGL524313 PQH524296:PQH524313 QAD524296:QAD524313 QJZ524296:QJZ524313 QTV524296:QTV524313 RDR524296:RDR524313 RNN524296:RNN524313 RXJ524296:RXJ524313 SHF524296:SHF524313 SRB524296:SRB524313 TAX524296:TAX524313 TKT524296:TKT524313 TUP524296:TUP524313 UEL524296:UEL524313 UOH524296:UOH524313 UYD524296:UYD524313 VHZ524296:VHZ524313 VRV524296:VRV524313 WBR524296:WBR524313 WLN524296:WLN524313 WVJ524296:WVJ524313 B589832:B589849 IX589832:IX589849 ST589832:ST589849 ACP589832:ACP589849 AML589832:AML589849 AWH589832:AWH589849 BGD589832:BGD589849 BPZ589832:BPZ589849 BZV589832:BZV589849 CJR589832:CJR589849 CTN589832:CTN589849 DDJ589832:DDJ589849 DNF589832:DNF589849 DXB589832:DXB589849 EGX589832:EGX589849 EQT589832:EQT589849 FAP589832:FAP589849 FKL589832:FKL589849 FUH589832:FUH589849 GED589832:GED589849 GNZ589832:GNZ589849 GXV589832:GXV589849 HHR589832:HHR589849 HRN589832:HRN589849 IBJ589832:IBJ589849 ILF589832:ILF589849 IVB589832:IVB589849 JEX589832:JEX589849 JOT589832:JOT589849 JYP589832:JYP589849 KIL589832:KIL589849 KSH589832:KSH589849 LCD589832:LCD589849 LLZ589832:LLZ589849 LVV589832:LVV589849 MFR589832:MFR589849 MPN589832:MPN589849 MZJ589832:MZJ589849 NJF589832:NJF589849 NTB589832:NTB589849 OCX589832:OCX589849 OMT589832:OMT589849 OWP589832:OWP589849 PGL589832:PGL589849 PQH589832:PQH589849 QAD589832:QAD589849 QJZ589832:QJZ589849 QTV589832:QTV589849 RDR589832:RDR589849 RNN589832:RNN589849 RXJ589832:RXJ589849 SHF589832:SHF589849 SRB589832:SRB589849 TAX589832:TAX589849 TKT589832:TKT589849 TUP589832:TUP589849 UEL589832:UEL589849 UOH589832:UOH589849 UYD589832:UYD589849 VHZ589832:VHZ589849 VRV589832:VRV589849 WBR589832:WBR589849 WLN589832:WLN589849 WVJ589832:WVJ589849 B655368:B655385 IX655368:IX655385 ST655368:ST655385 ACP655368:ACP655385 AML655368:AML655385 AWH655368:AWH655385 BGD655368:BGD655385 BPZ655368:BPZ655385 BZV655368:BZV655385 CJR655368:CJR655385 CTN655368:CTN655385 DDJ655368:DDJ655385 DNF655368:DNF655385 DXB655368:DXB655385 EGX655368:EGX655385 EQT655368:EQT655385 FAP655368:FAP655385 FKL655368:FKL655385 FUH655368:FUH655385 GED655368:GED655385 GNZ655368:GNZ655385 GXV655368:GXV655385 HHR655368:HHR655385 HRN655368:HRN655385 IBJ655368:IBJ655385 ILF655368:ILF655385 IVB655368:IVB655385 JEX655368:JEX655385 JOT655368:JOT655385 JYP655368:JYP655385 KIL655368:KIL655385 KSH655368:KSH655385 LCD655368:LCD655385 LLZ655368:LLZ655385 LVV655368:LVV655385 MFR655368:MFR655385 MPN655368:MPN655385 MZJ655368:MZJ655385 NJF655368:NJF655385 NTB655368:NTB655385 OCX655368:OCX655385 OMT655368:OMT655385 OWP655368:OWP655385 PGL655368:PGL655385 PQH655368:PQH655385 QAD655368:QAD655385 QJZ655368:QJZ655385 QTV655368:QTV655385 RDR655368:RDR655385 RNN655368:RNN655385 RXJ655368:RXJ655385 SHF655368:SHF655385 SRB655368:SRB655385 TAX655368:TAX655385 TKT655368:TKT655385 TUP655368:TUP655385 UEL655368:UEL655385 UOH655368:UOH655385 UYD655368:UYD655385 VHZ655368:VHZ655385 VRV655368:VRV655385 WBR655368:WBR655385 WLN655368:WLN655385 WVJ655368:WVJ655385 B720904:B720921 IX720904:IX720921 ST720904:ST720921 ACP720904:ACP720921 AML720904:AML720921 AWH720904:AWH720921 BGD720904:BGD720921 BPZ720904:BPZ720921 BZV720904:BZV720921 CJR720904:CJR720921 CTN720904:CTN720921 DDJ720904:DDJ720921 DNF720904:DNF720921 DXB720904:DXB720921 EGX720904:EGX720921 EQT720904:EQT720921 FAP720904:FAP720921 FKL720904:FKL720921 FUH720904:FUH720921 GED720904:GED720921 GNZ720904:GNZ720921 GXV720904:GXV720921 HHR720904:HHR720921 HRN720904:HRN720921 IBJ720904:IBJ720921 ILF720904:ILF720921 IVB720904:IVB720921 JEX720904:JEX720921 JOT720904:JOT720921 JYP720904:JYP720921 KIL720904:KIL720921 KSH720904:KSH720921 LCD720904:LCD720921 LLZ720904:LLZ720921 LVV720904:LVV720921 MFR720904:MFR720921 MPN720904:MPN720921 MZJ720904:MZJ720921 NJF720904:NJF720921 NTB720904:NTB720921 OCX720904:OCX720921 OMT720904:OMT720921 OWP720904:OWP720921 PGL720904:PGL720921 PQH720904:PQH720921 QAD720904:QAD720921 QJZ720904:QJZ720921 QTV720904:QTV720921 RDR720904:RDR720921 RNN720904:RNN720921 RXJ720904:RXJ720921 SHF720904:SHF720921 SRB720904:SRB720921 TAX720904:TAX720921 TKT720904:TKT720921 TUP720904:TUP720921 UEL720904:UEL720921 UOH720904:UOH720921 UYD720904:UYD720921 VHZ720904:VHZ720921 VRV720904:VRV720921 WBR720904:WBR720921 WLN720904:WLN720921 WVJ720904:WVJ720921 B786440:B786457 IX786440:IX786457 ST786440:ST786457 ACP786440:ACP786457 AML786440:AML786457 AWH786440:AWH786457 BGD786440:BGD786457 BPZ786440:BPZ786457 BZV786440:BZV786457 CJR786440:CJR786457 CTN786440:CTN786457 DDJ786440:DDJ786457 DNF786440:DNF786457 DXB786440:DXB786457 EGX786440:EGX786457 EQT786440:EQT786457 FAP786440:FAP786457 FKL786440:FKL786457 FUH786440:FUH786457 GED786440:GED786457 GNZ786440:GNZ786457 GXV786440:GXV786457 HHR786440:HHR786457 HRN786440:HRN786457 IBJ786440:IBJ786457 ILF786440:ILF786457 IVB786440:IVB786457 JEX786440:JEX786457 JOT786440:JOT786457 JYP786440:JYP786457 KIL786440:KIL786457 KSH786440:KSH786457 LCD786440:LCD786457 LLZ786440:LLZ786457 LVV786440:LVV786457 MFR786440:MFR786457 MPN786440:MPN786457 MZJ786440:MZJ786457 NJF786440:NJF786457 NTB786440:NTB786457 OCX786440:OCX786457 OMT786440:OMT786457 OWP786440:OWP786457 PGL786440:PGL786457 PQH786440:PQH786457 QAD786440:QAD786457 QJZ786440:QJZ786457 QTV786440:QTV786457 RDR786440:RDR786457 RNN786440:RNN786457 RXJ786440:RXJ786457 SHF786440:SHF786457 SRB786440:SRB786457 TAX786440:TAX786457 TKT786440:TKT786457 TUP786440:TUP786457 UEL786440:UEL786457 UOH786440:UOH786457 UYD786440:UYD786457 VHZ786440:VHZ786457 VRV786440:VRV786457 WBR786440:WBR786457 WLN786440:WLN786457 WVJ786440:WVJ786457 B851976:B851993 IX851976:IX851993 ST851976:ST851993 ACP851976:ACP851993 AML851976:AML851993 AWH851976:AWH851993 BGD851976:BGD851993 BPZ851976:BPZ851993 BZV851976:BZV851993 CJR851976:CJR851993 CTN851976:CTN851993 DDJ851976:DDJ851993 DNF851976:DNF851993 DXB851976:DXB851993 EGX851976:EGX851993 EQT851976:EQT851993 FAP851976:FAP851993 FKL851976:FKL851993 FUH851976:FUH851993 GED851976:GED851993 GNZ851976:GNZ851993 GXV851976:GXV851993 HHR851976:HHR851993 HRN851976:HRN851993 IBJ851976:IBJ851993 ILF851976:ILF851993 IVB851976:IVB851993 JEX851976:JEX851993 JOT851976:JOT851993 JYP851976:JYP851993 KIL851976:KIL851993 KSH851976:KSH851993 LCD851976:LCD851993 LLZ851976:LLZ851993 LVV851976:LVV851993 MFR851976:MFR851993 MPN851976:MPN851993 MZJ851976:MZJ851993 NJF851976:NJF851993 NTB851976:NTB851993 OCX851976:OCX851993 OMT851976:OMT851993 OWP851976:OWP851993 PGL851976:PGL851993 PQH851976:PQH851993 QAD851976:QAD851993 QJZ851976:QJZ851993 QTV851976:QTV851993 RDR851976:RDR851993 RNN851976:RNN851993 RXJ851976:RXJ851993 SHF851976:SHF851993 SRB851976:SRB851993 TAX851976:TAX851993 TKT851976:TKT851993 TUP851976:TUP851993 UEL851976:UEL851993 UOH851976:UOH851993 UYD851976:UYD851993 VHZ851976:VHZ851993 VRV851976:VRV851993 WBR851976:WBR851993 WLN851976:WLN851993 WVJ851976:WVJ851993 B917512:B917529 IX917512:IX917529 ST917512:ST917529 ACP917512:ACP917529 AML917512:AML917529 AWH917512:AWH917529 BGD917512:BGD917529 BPZ917512:BPZ917529 BZV917512:BZV917529 CJR917512:CJR917529 CTN917512:CTN917529 DDJ917512:DDJ917529 DNF917512:DNF917529 DXB917512:DXB917529 EGX917512:EGX917529 EQT917512:EQT917529 FAP917512:FAP917529 FKL917512:FKL917529 FUH917512:FUH917529 GED917512:GED917529 GNZ917512:GNZ917529 GXV917512:GXV917529 HHR917512:HHR917529 HRN917512:HRN917529 IBJ917512:IBJ917529 ILF917512:ILF917529 IVB917512:IVB917529 JEX917512:JEX917529 JOT917512:JOT917529 JYP917512:JYP917529 KIL917512:KIL917529 KSH917512:KSH917529 LCD917512:LCD917529 LLZ917512:LLZ917529 LVV917512:LVV917529 MFR917512:MFR917529 MPN917512:MPN917529 MZJ917512:MZJ917529 NJF917512:NJF917529 NTB917512:NTB917529 OCX917512:OCX917529 OMT917512:OMT917529 OWP917512:OWP917529 PGL917512:PGL917529 PQH917512:PQH917529 QAD917512:QAD917529 QJZ917512:QJZ917529 QTV917512:QTV917529 RDR917512:RDR917529 RNN917512:RNN917529 RXJ917512:RXJ917529 SHF917512:SHF917529 SRB917512:SRB917529 TAX917512:TAX917529 TKT917512:TKT917529 TUP917512:TUP917529 UEL917512:UEL917529 UOH917512:UOH917529 UYD917512:UYD917529 VHZ917512:VHZ917529 VRV917512:VRV917529 WBR917512:WBR917529 WLN917512:WLN917529 WVJ917512:WVJ917529" xr:uid="{00000000-0002-0000-2C00-000000000000}">
      <formula1>trung</formula1>
    </dataValidation>
  </dataValidation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315"/>
  <sheetViews>
    <sheetView topLeftCell="A17"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2198</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2199</v>
      </c>
      <c r="C13" s="425"/>
      <c r="D13" s="425"/>
      <c r="E13" s="425"/>
      <c r="F13" s="425"/>
      <c r="G13" s="73">
        <f>G14</f>
        <v>16284000</v>
      </c>
      <c r="H13" s="74"/>
    </row>
    <row r="14" spans="1:8" s="131" customFormat="1" ht="140.4">
      <c r="A14" s="123"/>
      <c r="B14" s="124" t="s">
        <v>2059</v>
      </c>
      <c r="C14" s="125" t="s">
        <v>1753</v>
      </c>
      <c r="D14" s="126">
        <v>6.9</v>
      </c>
      <c r="E14" s="127">
        <v>11800000</v>
      </c>
      <c r="F14" s="188">
        <v>0.2</v>
      </c>
      <c r="G14" s="129">
        <f>D14*E14*F14</f>
        <v>16284000</v>
      </c>
      <c r="H14" s="130"/>
    </row>
    <row r="15" spans="1:8" ht="27" customHeight="1">
      <c r="A15" s="75" t="s">
        <v>18</v>
      </c>
      <c r="B15" s="426" t="s">
        <v>1725</v>
      </c>
      <c r="C15" s="426"/>
      <c r="D15" s="426"/>
      <c r="E15" s="426"/>
      <c r="F15" s="426"/>
      <c r="G15" s="76">
        <f>SUM(G16:G21)</f>
        <v>2326025.7653999999</v>
      </c>
      <c r="H15" s="11"/>
    </row>
    <row r="16" spans="1:8" ht="30.6" customHeight="1">
      <c r="A16" s="77">
        <v>1</v>
      </c>
      <c r="B16" s="78" t="s">
        <v>2200</v>
      </c>
      <c r="C16" s="14" t="s">
        <v>1754</v>
      </c>
      <c r="D16" s="132">
        <f>(3.3*1.2*0.11)+(1.1*1.8*0.11)</f>
        <v>0.65339999999999998</v>
      </c>
      <c r="E16" s="15">
        <v>2126713</v>
      </c>
      <c r="F16" s="187">
        <v>0.2</v>
      </c>
      <c r="G16" s="79">
        <f t="shared" ref="G16:G21" si="0">D16*E16*F16</f>
        <v>277918.85483999999</v>
      </c>
      <c r="H16" s="15"/>
    </row>
    <row r="17" spans="1:8" ht="30.6" customHeight="1">
      <c r="A17" s="77">
        <v>2</v>
      </c>
      <c r="B17" s="78" t="s">
        <v>2201</v>
      </c>
      <c r="C17" s="14" t="s">
        <v>1754</v>
      </c>
      <c r="D17" s="132">
        <f>(0.45*0.5*2.3)*2</f>
        <v>1.0349999999999999</v>
      </c>
      <c r="E17" s="15">
        <v>2623803</v>
      </c>
      <c r="F17" s="187">
        <v>0.2</v>
      </c>
      <c r="G17" s="79">
        <f t="shared" si="0"/>
        <v>543127.22100000002</v>
      </c>
      <c r="H17" s="15"/>
    </row>
    <row r="18" spans="1:8" ht="30.6" customHeight="1">
      <c r="A18" s="77">
        <v>3</v>
      </c>
      <c r="B18" s="78" t="s">
        <v>2202</v>
      </c>
      <c r="C18" s="14" t="s">
        <v>1754</v>
      </c>
      <c r="D18" s="132">
        <f>0.3*0.22*2.3</f>
        <v>0.15179999999999999</v>
      </c>
      <c r="E18" s="15">
        <v>2623803</v>
      </c>
      <c r="F18" s="187">
        <v>0.2</v>
      </c>
      <c r="G18" s="79">
        <f t="shared" si="0"/>
        <v>79658.659080000012</v>
      </c>
      <c r="H18" s="15"/>
    </row>
    <row r="19" spans="1:8" ht="46.8">
      <c r="A19" s="77">
        <v>4</v>
      </c>
      <c r="B19" s="78" t="s">
        <v>2203</v>
      </c>
      <c r="C19" s="14" t="s">
        <v>1754</v>
      </c>
      <c r="D19" s="132">
        <f>(0.03*0.1*30)+(0.03*0.1*3.3*2)</f>
        <v>0.10979999999999999</v>
      </c>
      <c r="E19" s="15">
        <v>7050138</v>
      </c>
      <c r="F19" s="187">
        <v>0.2</v>
      </c>
      <c r="G19" s="79">
        <f t="shared" si="0"/>
        <v>154821.03048000002</v>
      </c>
      <c r="H19" s="15"/>
    </row>
    <row r="20" spans="1:8" ht="30.6" customHeight="1">
      <c r="A20" s="77">
        <v>5</v>
      </c>
      <c r="B20" s="78" t="s">
        <v>2204</v>
      </c>
      <c r="C20" s="14" t="s">
        <v>66</v>
      </c>
      <c r="D20" s="132">
        <f>2.5*2.3</f>
        <v>5.75</v>
      </c>
      <c r="E20" s="15">
        <v>550000</v>
      </c>
      <c r="F20" s="187">
        <v>0.2</v>
      </c>
      <c r="G20" s="79">
        <f t="shared" si="0"/>
        <v>632500</v>
      </c>
      <c r="H20" s="15"/>
    </row>
    <row r="21" spans="1:8" ht="30.6" customHeight="1">
      <c r="A21" s="77">
        <v>6</v>
      </c>
      <c r="B21" s="78" t="s">
        <v>2205</v>
      </c>
      <c r="C21" s="14" t="s">
        <v>66</v>
      </c>
      <c r="D21" s="132">
        <f>5.8*1</f>
        <v>5.8</v>
      </c>
      <c r="E21" s="15">
        <v>550000</v>
      </c>
      <c r="F21" s="187">
        <v>0.2</v>
      </c>
      <c r="G21" s="79">
        <f t="shared" si="0"/>
        <v>638000</v>
      </c>
      <c r="H21" s="15"/>
    </row>
    <row r="22" spans="1:8" ht="24" customHeight="1">
      <c r="A22" s="75" t="s">
        <v>19</v>
      </c>
      <c r="B22" s="426" t="s">
        <v>1727</v>
      </c>
      <c r="C22" s="426"/>
      <c r="D22" s="426"/>
      <c r="E22" s="426"/>
      <c r="F22" s="426"/>
      <c r="G22" s="76">
        <f>G23</f>
        <v>208500</v>
      </c>
      <c r="H22" s="11"/>
    </row>
    <row r="23" spans="1:8" s="12" customFormat="1" ht="34.200000000000003" customHeight="1">
      <c r="A23" s="94">
        <v>1</v>
      </c>
      <c r="B23" s="13" t="s">
        <v>794</v>
      </c>
      <c r="C23" s="14" t="s">
        <v>1724</v>
      </c>
      <c r="D23" s="14">
        <v>1</v>
      </c>
      <c r="E23" s="79" t="str">
        <f>VLOOKUP(B23,'[20]Đơn giá cây cối'!$A$2:$C$1361,3,0)</f>
        <v>834.000</v>
      </c>
      <c r="F23" s="132">
        <v>0.25</v>
      </c>
      <c r="G23" s="79">
        <f>D23*E23*F23</f>
        <v>208500</v>
      </c>
      <c r="H23" s="95"/>
    </row>
    <row r="24" spans="1:8" s="12" customFormat="1" ht="34.200000000000003" customHeight="1">
      <c r="A24" s="94">
        <v>2</v>
      </c>
      <c r="B24" s="13" t="s">
        <v>1489</v>
      </c>
      <c r="C24" s="14" t="s">
        <v>2206</v>
      </c>
      <c r="D24" s="14">
        <v>1</v>
      </c>
      <c r="E24" s="79" t="str">
        <f>VLOOKUP(B24,'[20]Đơn giá cây cối'!$A$2:$C$1361,3,0)</f>
        <v>250.000</v>
      </c>
      <c r="F24" s="132">
        <v>0.25</v>
      </c>
      <c r="G24" s="79">
        <f>D24*E24*F24</f>
        <v>62500</v>
      </c>
      <c r="H24" s="95"/>
    </row>
    <row r="25" spans="1:8" ht="15.6">
      <c r="A25" s="80"/>
      <c r="B25" s="427" t="s">
        <v>62</v>
      </c>
      <c r="C25" s="428"/>
      <c r="D25" s="428"/>
      <c r="E25" s="428"/>
      <c r="F25" s="429"/>
      <c r="G25" s="81">
        <f>G13+G15+G22</f>
        <v>18818525.7654</v>
      </c>
      <c r="H25" s="82"/>
    </row>
    <row r="26" spans="1:8" ht="15.6">
      <c r="A26" s="80"/>
      <c r="B26" s="427" t="s">
        <v>1726</v>
      </c>
      <c r="C26" s="428"/>
      <c r="D26" s="428"/>
      <c r="E26" s="428"/>
      <c r="F26" s="429"/>
      <c r="G26" s="81">
        <f>ROUND(G25,-3)</f>
        <v>18819000</v>
      </c>
      <c r="H26" s="82"/>
    </row>
    <row r="27" spans="1:8" ht="15.6">
      <c r="A27" s="430" t="e">
        <f ca="1">[21]!uni(G26)</f>
        <v>#NAME?</v>
      </c>
      <c r="B27" s="431"/>
      <c r="C27" s="431"/>
      <c r="D27" s="431"/>
      <c r="E27" s="431"/>
      <c r="F27" s="431"/>
      <c r="G27" s="431"/>
      <c r="H27" s="432"/>
    </row>
    <row r="28" spans="1:8">
      <c r="A28" s="17"/>
      <c r="B28" s="17"/>
      <c r="C28" s="97"/>
      <c r="D28" s="20"/>
      <c r="E28" s="19"/>
      <c r="F28" s="97"/>
      <c r="G28" s="19"/>
      <c r="H28" s="17"/>
    </row>
    <row r="29" spans="1:8" s="109" customFormat="1" ht="16.5" customHeight="1">
      <c r="A29" s="108"/>
      <c r="B29" s="108"/>
      <c r="C29" s="424" t="s">
        <v>1742</v>
      </c>
      <c r="D29" s="424"/>
      <c r="E29" s="424"/>
      <c r="F29" s="424"/>
      <c r="G29" s="424"/>
      <c r="H29" s="424"/>
    </row>
    <row r="30" spans="1:8" s="109" customFormat="1" ht="16.5" customHeight="1">
      <c r="A30" s="423" t="s">
        <v>63</v>
      </c>
      <c r="B30" s="423"/>
      <c r="C30" s="424" t="s">
        <v>1743</v>
      </c>
      <c r="D30" s="424"/>
      <c r="E30" s="424"/>
      <c r="F30" s="424" t="s">
        <v>1744</v>
      </c>
      <c r="G30" s="424"/>
      <c r="H30" s="424"/>
    </row>
    <row r="31" spans="1:8" s="109" customFormat="1" ht="15.6">
      <c r="A31" s="108"/>
      <c r="B31" s="108"/>
      <c r="C31" s="108"/>
      <c r="D31" s="110"/>
      <c r="E31" s="111"/>
      <c r="F31" s="112"/>
      <c r="G31" s="111"/>
      <c r="H31" s="113"/>
    </row>
    <row r="32" spans="1:8" s="109" customFormat="1" ht="15.6">
      <c r="A32" s="108"/>
      <c r="B32" s="108"/>
      <c r="C32" s="108"/>
      <c r="D32" s="110"/>
      <c r="E32" s="111"/>
      <c r="F32" s="112"/>
      <c r="G32" s="114"/>
      <c r="H32" s="113"/>
    </row>
    <row r="33" spans="1:8" s="109" customFormat="1" ht="15.6">
      <c r="A33" s="108"/>
      <c r="B33" s="108"/>
      <c r="C33" s="108"/>
      <c r="D33" s="110"/>
      <c r="E33" s="111"/>
      <c r="F33" s="112"/>
      <c r="G33" s="111"/>
      <c r="H33" s="113"/>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6.5" customHeight="1">
      <c r="A36" s="108"/>
      <c r="B36" s="198" t="s">
        <v>64</v>
      </c>
      <c r="C36" s="424"/>
      <c r="D36" s="424"/>
      <c r="E36" s="424"/>
      <c r="F36" s="424" t="s">
        <v>1745</v>
      </c>
      <c r="G36" s="424"/>
      <c r="H36" s="424"/>
    </row>
    <row r="37" spans="1:8" s="109" customFormat="1" ht="15.6">
      <c r="A37" s="108"/>
      <c r="B37" s="198"/>
      <c r="C37" s="199"/>
      <c r="D37" s="199"/>
      <c r="E37" s="199"/>
      <c r="F37" s="199"/>
      <c r="G37" s="199"/>
      <c r="H37" s="199"/>
    </row>
    <row r="38" spans="1:8" s="109" customFormat="1" ht="15" customHeight="1">
      <c r="A38" s="424" t="s">
        <v>1746</v>
      </c>
      <c r="B38" s="424"/>
      <c r="C38" s="424"/>
      <c r="D38" s="424"/>
      <c r="E38" s="424" t="s">
        <v>1747</v>
      </c>
      <c r="F38" s="424"/>
      <c r="G38" s="424"/>
      <c r="H38" s="424"/>
    </row>
    <row r="39" spans="1:8" s="109" customFormat="1" ht="33.6" customHeight="1">
      <c r="A39" s="424" t="s">
        <v>1748</v>
      </c>
      <c r="B39" s="424"/>
      <c r="C39" s="424"/>
      <c r="D39" s="424"/>
      <c r="E39" s="424" t="s">
        <v>65</v>
      </c>
      <c r="F39" s="424"/>
      <c r="G39" s="424"/>
      <c r="H39" s="424"/>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 r="A43" s="108"/>
      <c r="B43" s="108"/>
      <c r="C43" s="108"/>
      <c r="D43" s="110"/>
      <c r="E43" s="111"/>
      <c r="F43" s="112"/>
      <c r="G43" s="111"/>
      <c r="H43" s="113"/>
    </row>
    <row r="44" spans="1:8" s="109" customFormat="1" ht="15.6">
      <c r="A44" s="108"/>
      <c r="B44" s="108"/>
      <c r="C44" s="108"/>
      <c r="D44" s="110"/>
      <c r="E44" s="111"/>
      <c r="F44" s="112"/>
      <c r="G44" s="111"/>
      <c r="H44" s="113"/>
    </row>
    <row r="45" spans="1:8" s="109" customFormat="1" ht="15.6" customHeight="1">
      <c r="A45" s="108"/>
      <c r="B45" s="108"/>
      <c r="C45" s="108"/>
      <c r="D45" s="115"/>
      <c r="E45" s="439" t="s">
        <v>1749</v>
      </c>
      <c r="F45" s="439"/>
      <c r="G45" s="439"/>
      <c r="H45" s="439"/>
    </row>
    <row r="46" spans="1:8" s="109" customFormat="1" ht="16.5" customHeight="1">
      <c r="A46" s="424" t="s">
        <v>1751</v>
      </c>
      <c r="B46" s="424"/>
      <c r="C46" s="424"/>
      <c r="D46" s="424"/>
      <c r="E46" s="424" t="s">
        <v>1750</v>
      </c>
      <c r="F46" s="424"/>
      <c r="G46" s="424"/>
      <c r="H46" s="424"/>
    </row>
    <row r="47" spans="1:8" s="118" customFormat="1" ht="16.2" customHeight="1">
      <c r="A47" s="440"/>
      <c r="B47" s="440"/>
      <c r="C47" s="116"/>
      <c r="D47" s="117"/>
      <c r="E47" s="440"/>
      <c r="F47" s="440"/>
      <c r="G47" s="440"/>
      <c r="H47" s="440"/>
    </row>
    <row r="48" spans="1:8" s="118" customFormat="1" ht="15.75" customHeight="1">
      <c r="A48" s="440"/>
      <c r="B48" s="440"/>
      <c r="C48" s="440"/>
      <c r="D48" s="440"/>
      <c r="E48" s="440"/>
      <c r="F48" s="440"/>
      <c r="G48" s="440"/>
      <c r="H48" s="440"/>
    </row>
    <row r="49" spans="1:8" s="98" customFormat="1" ht="16.2" customHeight="1">
      <c r="A49" s="436"/>
      <c r="B49" s="436"/>
      <c r="C49" s="436"/>
      <c r="D49" s="436"/>
      <c r="E49" s="119"/>
      <c r="F49" s="120"/>
      <c r="G49" s="119"/>
      <c r="H49" s="121"/>
    </row>
    <row r="50" spans="1:8" s="98" customFormat="1" ht="16.2" customHeight="1">
      <c r="A50" s="436"/>
      <c r="B50" s="436"/>
      <c r="C50" s="436"/>
      <c r="D50" s="436"/>
      <c r="E50" s="119"/>
      <c r="F50" s="120"/>
      <c r="G50" s="119"/>
      <c r="H50" s="121"/>
    </row>
    <row r="51" spans="1:8" s="98" customFormat="1" ht="16.2" customHeight="1">
      <c r="A51" s="121"/>
      <c r="B51" s="121"/>
      <c r="C51" s="121"/>
      <c r="D51" s="122"/>
      <c r="E51" s="119"/>
      <c r="F51" s="120"/>
      <c r="G51" s="119"/>
      <c r="H51" s="121"/>
    </row>
    <row r="52" spans="1:8" ht="16.2" customHeight="1">
      <c r="A52" s="83"/>
      <c r="B52" s="83"/>
      <c r="C52" s="83"/>
      <c r="D52" s="84"/>
      <c r="E52" s="85"/>
      <c r="F52" s="86"/>
      <c r="G52" s="85"/>
      <c r="H52" s="83"/>
    </row>
    <row r="53" spans="1:8" ht="16.2" customHeight="1">
      <c r="A53" s="83"/>
      <c r="B53" s="83"/>
      <c r="C53" s="83"/>
      <c r="D53" s="84"/>
      <c r="E53" s="85"/>
      <c r="F53" s="86"/>
      <c r="G53" s="85"/>
      <c r="H53" s="83"/>
    </row>
    <row r="54" spans="1:8" ht="16.2" customHeight="1">
      <c r="A54" s="83"/>
      <c r="B54" s="83"/>
      <c r="C54" s="83"/>
      <c r="D54" s="84"/>
      <c r="E54" s="85"/>
      <c r="F54" s="86"/>
      <c r="G54" s="85"/>
      <c r="H54" s="83"/>
    </row>
    <row r="55" spans="1:8" ht="16.2" customHeight="1">
      <c r="A55" s="83"/>
      <c r="B55" s="83"/>
      <c r="C55" s="83"/>
      <c r="D55" s="84"/>
      <c r="E55" s="437"/>
      <c r="F55" s="437"/>
      <c r="G55" s="437"/>
      <c r="H55" s="437"/>
    </row>
    <row r="56" spans="1:8" ht="20.25" customHeight="1">
      <c r="A56" s="438"/>
      <c r="B56" s="438"/>
      <c r="C56" s="438"/>
      <c r="D56" s="438"/>
      <c r="E56" s="438"/>
      <c r="F56" s="438"/>
      <c r="G56" s="438"/>
      <c r="H56" s="438"/>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row r="232"/>
    <row r="233"/>
    <row r="234"/>
    <row r="235"/>
    <row r="236"/>
    <row r="237"/>
    <row r="238"/>
    <row r="239"/>
    <row r="240"/>
    <row r="241"/>
    <row r="242"/>
    <row r="243"/>
    <row r="244"/>
    <row r="245"/>
    <row r="246"/>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sheetData>
  <mergeCells count="40">
    <mergeCell ref="A4:B4"/>
    <mergeCell ref="C4:H4"/>
    <mergeCell ref="A1:B1"/>
    <mergeCell ref="C1:H1"/>
    <mergeCell ref="A2:B2"/>
    <mergeCell ref="C2:H2"/>
    <mergeCell ref="A3:B3"/>
    <mergeCell ref="A27:H27"/>
    <mergeCell ref="A6:H6"/>
    <mergeCell ref="A7:H7"/>
    <mergeCell ref="A8:H8"/>
    <mergeCell ref="A9:H9"/>
    <mergeCell ref="A10:H10"/>
    <mergeCell ref="A11:H11"/>
    <mergeCell ref="B13:F13"/>
    <mergeCell ref="B15:F15"/>
    <mergeCell ref="B22:F22"/>
    <mergeCell ref="B25:F25"/>
    <mergeCell ref="B26:F26"/>
    <mergeCell ref="A46:D46"/>
    <mergeCell ref="E46:H46"/>
    <mergeCell ref="C29:H29"/>
    <mergeCell ref="A30:B30"/>
    <mergeCell ref="C30:E30"/>
    <mergeCell ref="F30:H30"/>
    <mergeCell ref="C36:E36"/>
    <mergeCell ref="F36:H36"/>
    <mergeCell ref="A38:D38"/>
    <mergeCell ref="E38:H38"/>
    <mergeCell ref="A39:D39"/>
    <mergeCell ref="E39:H39"/>
    <mergeCell ref="E45:H45"/>
    <mergeCell ref="E55:H55"/>
    <mergeCell ref="A56:H56"/>
    <mergeCell ref="A47:B47"/>
    <mergeCell ref="E47:H47"/>
    <mergeCell ref="A48:D48"/>
    <mergeCell ref="E48:H48"/>
    <mergeCell ref="A49:D49"/>
    <mergeCell ref="A50:D50"/>
  </mergeCells>
  <dataValidations count="2">
    <dataValidation type="list" allowBlank="1" showInputMessage="1" showErrorMessage="1" sqref="WVJ983048:WVJ983065 B983048:B983065 IX983048:IX983065 ST983048:ST983065 ACP983048:ACP983065 AML983048:AML983065 AWH983048:AWH983065 BGD983048:BGD983065 BPZ983048:BPZ983065 BZV983048:BZV983065 CJR983048:CJR983065 CTN983048:CTN983065 DDJ983048:DDJ983065 DNF983048:DNF983065 DXB983048:DXB983065 EGX983048:EGX983065 EQT983048:EQT983065 FAP983048:FAP983065 FKL983048:FKL983065 FUH983048:FUH983065 GED983048:GED983065 GNZ983048:GNZ983065 GXV983048:GXV983065 HHR983048:HHR983065 HRN983048:HRN983065 IBJ983048:IBJ983065 ILF983048:ILF983065 IVB983048:IVB983065 JEX983048:JEX983065 JOT983048:JOT983065 JYP983048:JYP983065 KIL983048:KIL983065 KSH983048:KSH983065 LCD983048:LCD983065 LLZ983048:LLZ983065 LVV983048:LVV983065 MFR983048:MFR983065 MPN983048:MPN983065 MZJ983048:MZJ983065 NJF983048:NJF983065 NTB983048:NTB983065 OCX983048:OCX983065 OMT983048:OMT983065 OWP983048:OWP983065 PGL983048:PGL983065 PQH983048:PQH983065 QAD983048:QAD983065 QJZ983048:QJZ983065 QTV983048:QTV983065 RDR983048:RDR983065 RNN983048:RNN983065 RXJ983048:RXJ983065 SHF983048:SHF983065 SRB983048:SRB983065 TAX983048:TAX983065 TKT983048:TKT983065 TUP983048:TUP983065 UEL983048:UEL983065 UOH983048:UOH983065 UYD983048:UYD983065 VHZ983048:VHZ983065 VRV983048:VRV983065 WBR983048:WBR983065 WLN983048:WLN983065 B65544:B65561 IX65544:IX65561 ST65544:ST65561 ACP65544:ACP65561 AML65544:AML65561 AWH65544:AWH65561 BGD65544:BGD65561 BPZ65544:BPZ65561 BZV65544:BZV65561 CJR65544:CJR65561 CTN65544:CTN65561 DDJ65544:DDJ65561 DNF65544:DNF65561 DXB65544:DXB65561 EGX65544:EGX65561 EQT65544:EQT65561 FAP65544:FAP65561 FKL65544:FKL65561 FUH65544:FUH65561 GED65544:GED65561 GNZ65544:GNZ65561 GXV65544:GXV65561 HHR65544:HHR65561 HRN65544:HRN65561 IBJ65544:IBJ65561 ILF65544:ILF65561 IVB65544:IVB65561 JEX65544:JEX65561 JOT65544:JOT65561 JYP65544:JYP65561 KIL65544:KIL65561 KSH65544:KSH65561 LCD65544:LCD65561 LLZ65544:LLZ65561 LVV65544:LVV65561 MFR65544:MFR65561 MPN65544:MPN65561 MZJ65544:MZJ65561 NJF65544:NJF65561 NTB65544:NTB65561 OCX65544:OCX65561 OMT65544:OMT65561 OWP65544:OWP65561 PGL65544:PGL65561 PQH65544:PQH65561 QAD65544:QAD65561 QJZ65544:QJZ65561 QTV65544:QTV65561 RDR65544:RDR65561 RNN65544:RNN65561 RXJ65544:RXJ65561 SHF65544:SHF65561 SRB65544:SRB65561 TAX65544:TAX65561 TKT65544:TKT65561 TUP65544:TUP65561 UEL65544:UEL65561 UOH65544:UOH65561 UYD65544:UYD65561 VHZ65544:VHZ65561 VRV65544:VRV65561 WBR65544:WBR65561 WLN65544:WLN65561 WVJ65544:WVJ65561 B131080:B131097 IX131080:IX131097 ST131080:ST131097 ACP131080:ACP131097 AML131080:AML131097 AWH131080:AWH131097 BGD131080:BGD131097 BPZ131080:BPZ131097 BZV131080:BZV131097 CJR131080:CJR131097 CTN131080:CTN131097 DDJ131080:DDJ131097 DNF131080:DNF131097 DXB131080:DXB131097 EGX131080:EGX131097 EQT131080:EQT131097 FAP131080:FAP131097 FKL131080:FKL131097 FUH131080:FUH131097 GED131080:GED131097 GNZ131080:GNZ131097 GXV131080:GXV131097 HHR131080:HHR131097 HRN131080:HRN131097 IBJ131080:IBJ131097 ILF131080:ILF131097 IVB131080:IVB131097 JEX131080:JEX131097 JOT131080:JOT131097 JYP131080:JYP131097 KIL131080:KIL131097 KSH131080:KSH131097 LCD131080:LCD131097 LLZ131080:LLZ131097 LVV131080:LVV131097 MFR131080:MFR131097 MPN131080:MPN131097 MZJ131080:MZJ131097 NJF131080:NJF131097 NTB131080:NTB131097 OCX131080:OCX131097 OMT131080:OMT131097 OWP131080:OWP131097 PGL131080:PGL131097 PQH131080:PQH131097 QAD131080:QAD131097 QJZ131080:QJZ131097 QTV131080:QTV131097 RDR131080:RDR131097 RNN131080:RNN131097 RXJ131080:RXJ131097 SHF131080:SHF131097 SRB131080:SRB131097 TAX131080:TAX131097 TKT131080:TKT131097 TUP131080:TUP131097 UEL131080:UEL131097 UOH131080:UOH131097 UYD131080:UYD131097 VHZ131080:VHZ131097 VRV131080:VRV131097 WBR131080:WBR131097 WLN131080:WLN131097 WVJ131080:WVJ131097 B196616:B196633 IX196616:IX196633 ST196616:ST196633 ACP196616:ACP196633 AML196616:AML196633 AWH196616:AWH196633 BGD196616:BGD196633 BPZ196616:BPZ196633 BZV196616:BZV196633 CJR196616:CJR196633 CTN196616:CTN196633 DDJ196616:DDJ196633 DNF196616:DNF196633 DXB196616:DXB196633 EGX196616:EGX196633 EQT196616:EQT196633 FAP196616:FAP196633 FKL196616:FKL196633 FUH196616:FUH196633 GED196616:GED196633 GNZ196616:GNZ196633 GXV196616:GXV196633 HHR196616:HHR196633 HRN196616:HRN196633 IBJ196616:IBJ196633 ILF196616:ILF196633 IVB196616:IVB196633 JEX196616:JEX196633 JOT196616:JOT196633 JYP196616:JYP196633 KIL196616:KIL196633 KSH196616:KSH196633 LCD196616:LCD196633 LLZ196616:LLZ196633 LVV196616:LVV196633 MFR196616:MFR196633 MPN196616:MPN196633 MZJ196616:MZJ196633 NJF196616:NJF196633 NTB196616:NTB196633 OCX196616:OCX196633 OMT196616:OMT196633 OWP196616:OWP196633 PGL196616:PGL196633 PQH196616:PQH196633 QAD196616:QAD196633 QJZ196616:QJZ196633 QTV196616:QTV196633 RDR196616:RDR196633 RNN196616:RNN196633 RXJ196616:RXJ196633 SHF196616:SHF196633 SRB196616:SRB196633 TAX196616:TAX196633 TKT196616:TKT196633 TUP196616:TUP196633 UEL196616:UEL196633 UOH196616:UOH196633 UYD196616:UYD196633 VHZ196616:VHZ196633 VRV196616:VRV196633 WBR196616:WBR196633 WLN196616:WLN196633 WVJ196616:WVJ196633 B262152:B262169 IX262152:IX262169 ST262152:ST262169 ACP262152:ACP262169 AML262152:AML262169 AWH262152:AWH262169 BGD262152:BGD262169 BPZ262152:BPZ262169 BZV262152:BZV262169 CJR262152:CJR262169 CTN262152:CTN262169 DDJ262152:DDJ262169 DNF262152:DNF262169 DXB262152:DXB262169 EGX262152:EGX262169 EQT262152:EQT262169 FAP262152:FAP262169 FKL262152:FKL262169 FUH262152:FUH262169 GED262152:GED262169 GNZ262152:GNZ262169 GXV262152:GXV262169 HHR262152:HHR262169 HRN262152:HRN262169 IBJ262152:IBJ262169 ILF262152:ILF262169 IVB262152:IVB262169 JEX262152:JEX262169 JOT262152:JOT262169 JYP262152:JYP262169 KIL262152:KIL262169 KSH262152:KSH262169 LCD262152:LCD262169 LLZ262152:LLZ262169 LVV262152:LVV262169 MFR262152:MFR262169 MPN262152:MPN262169 MZJ262152:MZJ262169 NJF262152:NJF262169 NTB262152:NTB262169 OCX262152:OCX262169 OMT262152:OMT262169 OWP262152:OWP262169 PGL262152:PGL262169 PQH262152:PQH262169 QAD262152:QAD262169 QJZ262152:QJZ262169 QTV262152:QTV262169 RDR262152:RDR262169 RNN262152:RNN262169 RXJ262152:RXJ262169 SHF262152:SHF262169 SRB262152:SRB262169 TAX262152:TAX262169 TKT262152:TKT262169 TUP262152:TUP262169 UEL262152:UEL262169 UOH262152:UOH262169 UYD262152:UYD262169 VHZ262152:VHZ262169 VRV262152:VRV262169 WBR262152:WBR262169 WLN262152:WLN262169 WVJ262152:WVJ262169 B327688:B327705 IX327688:IX327705 ST327688:ST327705 ACP327688:ACP327705 AML327688:AML327705 AWH327688:AWH327705 BGD327688:BGD327705 BPZ327688:BPZ327705 BZV327688:BZV327705 CJR327688:CJR327705 CTN327688:CTN327705 DDJ327688:DDJ327705 DNF327688:DNF327705 DXB327688:DXB327705 EGX327688:EGX327705 EQT327688:EQT327705 FAP327688:FAP327705 FKL327688:FKL327705 FUH327688:FUH327705 GED327688:GED327705 GNZ327688:GNZ327705 GXV327688:GXV327705 HHR327688:HHR327705 HRN327688:HRN327705 IBJ327688:IBJ327705 ILF327688:ILF327705 IVB327688:IVB327705 JEX327688:JEX327705 JOT327688:JOT327705 JYP327688:JYP327705 KIL327688:KIL327705 KSH327688:KSH327705 LCD327688:LCD327705 LLZ327688:LLZ327705 LVV327688:LVV327705 MFR327688:MFR327705 MPN327688:MPN327705 MZJ327688:MZJ327705 NJF327688:NJF327705 NTB327688:NTB327705 OCX327688:OCX327705 OMT327688:OMT327705 OWP327688:OWP327705 PGL327688:PGL327705 PQH327688:PQH327705 QAD327688:QAD327705 QJZ327688:QJZ327705 QTV327688:QTV327705 RDR327688:RDR327705 RNN327688:RNN327705 RXJ327688:RXJ327705 SHF327688:SHF327705 SRB327688:SRB327705 TAX327688:TAX327705 TKT327688:TKT327705 TUP327688:TUP327705 UEL327688:UEL327705 UOH327688:UOH327705 UYD327688:UYD327705 VHZ327688:VHZ327705 VRV327688:VRV327705 WBR327688:WBR327705 WLN327688:WLN327705 WVJ327688:WVJ327705 B393224:B393241 IX393224:IX393241 ST393224:ST393241 ACP393224:ACP393241 AML393224:AML393241 AWH393224:AWH393241 BGD393224:BGD393241 BPZ393224:BPZ393241 BZV393224:BZV393241 CJR393224:CJR393241 CTN393224:CTN393241 DDJ393224:DDJ393241 DNF393224:DNF393241 DXB393224:DXB393241 EGX393224:EGX393241 EQT393224:EQT393241 FAP393224:FAP393241 FKL393224:FKL393241 FUH393224:FUH393241 GED393224:GED393241 GNZ393224:GNZ393241 GXV393224:GXV393241 HHR393224:HHR393241 HRN393224:HRN393241 IBJ393224:IBJ393241 ILF393224:ILF393241 IVB393224:IVB393241 JEX393224:JEX393241 JOT393224:JOT393241 JYP393224:JYP393241 KIL393224:KIL393241 KSH393224:KSH393241 LCD393224:LCD393241 LLZ393224:LLZ393241 LVV393224:LVV393241 MFR393224:MFR393241 MPN393224:MPN393241 MZJ393224:MZJ393241 NJF393224:NJF393241 NTB393224:NTB393241 OCX393224:OCX393241 OMT393224:OMT393241 OWP393224:OWP393241 PGL393224:PGL393241 PQH393224:PQH393241 QAD393224:QAD393241 QJZ393224:QJZ393241 QTV393224:QTV393241 RDR393224:RDR393241 RNN393224:RNN393241 RXJ393224:RXJ393241 SHF393224:SHF393241 SRB393224:SRB393241 TAX393224:TAX393241 TKT393224:TKT393241 TUP393224:TUP393241 UEL393224:UEL393241 UOH393224:UOH393241 UYD393224:UYD393241 VHZ393224:VHZ393241 VRV393224:VRV393241 WBR393224:WBR393241 WLN393224:WLN393241 WVJ393224:WVJ393241 B458760:B458777 IX458760:IX458777 ST458760:ST458777 ACP458760:ACP458777 AML458760:AML458777 AWH458760:AWH458777 BGD458760:BGD458777 BPZ458760:BPZ458777 BZV458760:BZV458777 CJR458760:CJR458777 CTN458760:CTN458777 DDJ458760:DDJ458777 DNF458760:DNF458777 DXB458760:DXB458777 EGX458760:EGX458777 EQT458760:EQT458777 FAP458760:FAP458777 FKL458760:FKL458777 FUH458760:FUH458777 GED458760:GED458777 GNZ458760:GNZ458777 GXV458760:GXV458777 HHR458760:HHR458777 HRN458760:HRN458777 IBJ458760:IBJ458777 ILF458760:ILF458777 IVB458760:IVB458777 JEX458760:JEX458777 JOT458760:JOT458777 JYP458760:JYP458777 KIL458760:KIL458777 KSH458760:KSH458777 LCD458760:LCD458777 LLZ458760:LLZ458777 LVV458760:LVV458777 MFR458760:MFR458777 MPN458760:MPN458777 MZJ458760:MZJ458777 NJF458760:NJF458777 NTB458760:NTB458777 OCX458760:OCX458777 OMT458760:OMT458777 OWP458760:OWP458777 PGL458760:PGL458777 PQH458760:PQH458777 QAD458760:QAD458777 QJZ458760:QJZ458777 QTV458760:QTV458777 RDR458760:RDR458777 RNN458760:RNN458777 RXJ458760:RXJ458777 SHF458760:SHF458777 SRB458760:SRB458777 TAX458760:TAX458777 TKT458760:TKT458777 TUP458760:TUP458777 UEL458760:UEL458777 UOH458760:UOH458777 UYD458760:UYD458777 VHZ458760:VHZ458777 VRV458760:VRV458777 WBR458760:WBR458777 WLN458760:WLN458777 WVJ458760:WVJ458777 B524296:B524313 IX524296:IX524313 ST524296:ST524313 ACP524296:ACP524313 AML524296:AML524313 AWH524296:AWH524313 BGD524296:BGD524313 BPZ524296:BPZ524313 BZV524296:BZV524313 CJR524296:CJR524313 CTN524296:CTN524313 DDJ524296:DDJ524313 DNF524296:DNF524313 DXB524296:DXB524313 EGX524296:EGX524313 EQT524296:EQT524313 FAP524296:FAP524313 FKL524296:FKL524313 FUH524296:FUH524313 GED524296:GED524313 GNZ524296:GNZ524313 GXV524296:GXV524313 HHR524296:HHR524313 HRN524296:HRN524313 IBJ524296:IBJ524313 ILF524296:ILF524313 IVB524296:IVB524313 JEX524296:JEX524313 JOT524296:JOT524313 JYP524296:JYP524313 KIL524296:KIL524313 KSH524296:KSH524313 LCD524296:LCD524313 LLZ524296:LLZ524313 LVV524296:LVV524313 MFR524296:MFR524313 MPN524296:MPN524313 MZJ524296:MZJ524313 NJF524296:NJF524313 NTB524296:NTB524313 OCX524296:OCX524313 OMT524296:OMT524313 OWP524296:OWP524313 PGL524296:PGL524313 PQH524296:PQH524313 QAD524296:QAD524313 QJZ524296:QJZ524313 QTV524296:QTV524313 RDR524296:RDR524313 RNN524296:RNN524313 RXJ524296:RXJ524313 SHF524296:SHF524313 SRB524296:SRB524313 TAX524296:TAX524313 TKT524296:TKT524313 TUP524296:TUP524313 UEL524296:UEL524313 UOH524296:UOH524313 UYD524296:UYD524313 VHZ524296:VHZ524313 VRV524296:VRV524313 WBR524296:WBR524313 WLN524296:WLN524313 WVJ524296:WVJ524313 B589832:B589849 IX589832:IX589849 ST589832:ST589849 ACP589832:ACP589849 AML589832:AML589849 AWH589832:AWH589849 BGD589832:BGD589849 BPZ589832:BPZ589849 BZV589832:BZV589849 CJR589832:CJR589849 CTN589832:CTN589849 DDJ589832:DDJ589849 DNF589832:DNF589849 DXB589832:DXB589849 EGX589832:EGX589849 EQT589832:EQT589849 FAP589832:FAP589849 FKL589832:FKL589849 FUH589832:FUH589849 GED589832:GED589849 GNZ589832:GNZ589849 GXV589832:GXV589849 HHR589832:HHR589849 HRN589832:HRN589849 IBJ589832:IBJ589849 ILF589832:ILF589849 IVB589832:IVB589849 JEX589832:JEX589849 JOT589832:JOT589849 JYP589832:JYP589849 KIL589832:KIL589849 KSH589832:KSH589849 LCD589832:LCD589849 LLZ589832:LLZ589849 LVV589832:LVV589849 MFR589832:MFR589849 MPN589832:MPN589849 MZJ589832:MZJ589849 NJF589832:NJF589849 NTB589832:NTB589849 OCX589832:OCX589849 OMT589832:OMT589849 OWP589832:OWP589849 PGL589832:PGL589849 PQH589832:PQH589849 QAD589832:QAD589849 QJZ589832:QJZ589849 QTV589832:QTV589849 RDR589832:RDR589849 RNN589832:RNN589849 RXJ589832:RXJ589849 SHF589832:SHF589849 SRB589832:SRB589849 TAX589832:TAX589849 TKT589832:TKT589849 TUP589832:TUP589849 UEL589832:UEL589849 UOH589832:UOH589849 UYD589832:UYD589849 VHZ589832:VHZ589849 VRV589832:VRV589849 WBR589832:WBR589849 WLN589832:WLN589849 WVJ589832:WVJ589849 B655368:B655385 IX655368:IX655385 ST655368:ST655385 ACP655368:ACP655385 AML655368:AML655385 AWH655368:AWH655385 BGD655368:BGD655385 BPZ655368:BPZ655385 BZV655368:BZV655385 CJR655368:CJR655385 CTN655368:CTN655385 DDJ655368:DDJ655385 DNF655368:DNF655385 DXB655368:DXB655385 EGX655368:EGX655385 EQT655368:EQT655385 FAP655368:FAP655385 FKL655368:FKL655385 FUH655368:FUH655385 GED655368:GED655385 GNZ655368:GNZ655385 GXV655368:GXV655385 HHR655368:HHR655385 HRN655368:HRN655385 IBJ655368:IBJ655385 ILF655368:ILF655385 IVB655368:IVB655385 JEX655368:JEX655385 JOT655368:JOT655385 JYP655368:JYP655385 KIL655368:KIL655385 KSH655368:KSH655385 LCD655368:LCD655385 LLZ655368:LLZ655385 LVV655368:LVV655385 MFR655368:MFR655385 MPN655368:MPN655385 MZJ655368:MZJ655385 NJF655368:NJF655385 NTB655368:NTB655385 OCX655368:OCX655385 OMT655368:OMT655385 OWP655368:OWP655385 PGL655368:PGL655385 PQH655368:PQH655385 QAD655368:QAD655385 QJZ655368:QJZ655385 QTV655368:QTV655385 RDR655368:RDR655385 RNN655368:RNN655385 RXJ655368:RXJ655385 SHF655368:SHF655385 SRB655368:SRB655385 TAX655368:TAX655385 TKT655368:TKT655385 TUP655368:TUP655385 UEL655368:UEL655385 UOH655368:UOH655385 UYD655368:UYD655385 VHZ655368:VHZ655385 VRV655368:VRV655385 WBR655368:WBR655385 WLN655368:WLN655385 WVJ655368:WVJ655385 B720904:B720921 IX720904:IX720921 ST720904:ST720921 ACP720904:ACP720921 AML720904:AML720921 AWH720904:AWH720921 BGD720904:BGD720921 BPZ720904:BPZ720921 BZV720904:BZV720921 CJR720904:CJR720921 CTN720904:CTN720921 DDJ720904:DDJ720921 DNF720904:DNF720921 DXB720904:DXB720921 EGX720904:EGX720921 EQT720904:EQT720921 FAP720904:FAP720921 FKL720904:FKL720921 FUH720904:FUH720921 GED720904:GED720921 GNZ720904:GNZ720921 GXV720904:GXV720921 HHR720904:HHR720921 HRN720904:HRN720921 IBJ720904:IBJ720921 ILF720904:ILF720921 IVB720904:IVB720921 JEX720904:JEX720921 JOT720904:JOT720921 JYP720904:JYP720921 KIL720904:KIL720921 KSH720904:KSH720921 LCD720904:LCD720921 LLZ720904:LLZ720921 LVV720904:LVV720921 MFR720904:MFR720921 MPN720904:MPN720921 MZJ720904:MZJ720921 NJF720904:NJF720921 NTB720904:NTB720921 OCX720904:OCX720921 OMT720904:OMT720921 OWP720904:OWP720921 PGL720904:PGL720921 PQH720904:PQH720921 QAD720904:QAD720921 QJZ720904:QJZ720921 QTV720904:QTV720921 RDR720904:RDR720921 RNN720904:RNN720921 RXJ720904:RXJ720921 SHF720904:SHF720921 SRB720904:SRB720921 TAX720904:TAX720921 TKT720904:TKT720921 TUP720904:TUP720921 UEL720904:UEL720921 UOH720904:UOH720921 UYD720904:UYD720921 VHZ720904:VHZ720921 VRV720904:VRV720921 WBR720904:WBR720921 WLN720904:WLN720921 WVJ720904:WVJ720921 B786440:B786457 IX786440:IX786457 ST786440:ST786457 ACP786440:ACP786457 AML786440:AML786457 AWH786440:AWH786457 BGD786440:BGD786457 BPZ786440:BPZ786457 BZV786440:BZV786457 CJR786440:CJR786457 CTN786440:CTN786457 DDJ786440:DDJ786457 DNF786440:DNF786457 DXB786440:DXB786457 EGX786440:EGX786457 EQT786440:EQT786457 FAP786440:FAP786457 FKL786440:FKL786457 FUH786440:FUH786457 GED786440:GED786457 GNZ786440:GNZ786457 GXV786440:GXV786457 HHR786440:HHR786457 HRN786440:HRN786457 IBJ786440:IBJ786457 ILF786440:ILF786457 IVB786440:IVB786457 JEX786440:JEX786457 JOT786440:JOT786457 JYP786440:JYP786457 KIL786440:KIL786457 KSH786440:KSH786457 LCD786440:LCD786457 LLZ786440:LLZ786457 LVV786440:LVV786457 MFR786440:MFR786457 MPN786440:MPN786457 MZJ786440:MZJ786457 NJF786440:NJF786457 NTB786440:NTB786457 OCX786440:OCX786457 OMT786440:OMT786457 OWP786440:OWP786457 PGL786440:PGL786457 PQH786440:PQH786457 QAD786440:QAD786457 QJZ786440:QJZ786457 QTV786440:QTV786457 RDR786440:RDR786457 RNN786440:RNN786457 RXJ786440:RXJ786457 SHF786440:SHF786457 SRB786440:SRB786457 TAX786440:TAX786457 TKT786440:TKT786457 TUP786440:TUP786457 UEL786440:UEL786457 UOH786440:UOH786457 UYD786440:UYD786457 VHZ786440:VHZ786457 VRV786440:VRV786457 WBR786440:WBR786457 WLN786440:WLN786457 WVJ786440:WVJ786457 B851976:B851993 IX851976:IX851993 ST851976:ST851993 ACP851976:ACP851993 AML851976:AML851993 AWH851976:AWH851993 BGD851976:BGD851993 BPZ851976:BPZ851993 BZV851976:BZV851993 CJR851976:CJR851993 CTN851976:CTN851993 DDJ851976:DDJ851993 DNF851976:DNF851993 DXB851976:DXB851993 EGX851976:EGX851993 EQT851976:EQT851993 FAP851976:FAP851993 FKL851976:FKL851993 FUH851976:FUH851993 GED851976:GED851993 GNZ851976:GNZ851993 GXV851976:GXV851993 HHR851976:HHR851993 HRN851976:HRN851993 IBJ851976:IBJ851993 ILF851976:ILF851993 IVB851976:IVB851993 JEX851976:JEX851993 JOT851976:JOT851993 JYP851976:JYP851993 KIL851976:KIL851993 KSH851976:KSH851993 LCD851976:LCD851993 LLZ851976:LLZ851993 LVV851976:LVV851993 MFR851976:MFR851993 MPN851976:MPN851993 MZJ851976:MZJ851993 NJF851976:NJF851993 NTB851976:NTB851993 OCX851976:OCX851993 OMT851976:OMT851993 OWP851976:OWP851993 PGL851976:PGL851993 PQH851976:PQH851993 QAD851976:QAD851993 QJZ851976:QJZ851993 QTV851976:QTV851993 RDR851976:RDR851993 RNN851976:RNN851993 RXJ851976:RXJ851993 SHF851976:SHF851993 SRB851976:SRB851993 TAX851976:TAX851993 TKT851976:TKT851993 TUP851976:TUP851993 UEL851976:UEL851993 UOH851976:UOH851993 UYD851976:UYD851993 VHZ851976:VHZ851993 VRV851976:VRV851993 WBR851976:WBR851993 WLN851976:WLN851993 WVJ851976:WVJ851993 B917512:B917529 IX917512:IX917529 ST917512:ST917529 ACP917512:ACP917529 AML917512:AML917529 AWH917512:AWH917529 BGD917512:BGD917529 BPZ917512:BPZ917529 BZV917512:BZV917529 CJR917512:CJR917529 CTN917512:CTN917529 DDJ917512:DDJ917529 DNF917512:DNF917529 DXB917512:DXB917529 EGX917512:EGX917529 EQT917512:EQT917529 FAP917512:FAP917529 FKL917512:FKL917529 FUH917512:FUH917529 GED917512:GED917529 GNZ917512:GNZ917529 GXV917512:GXV917529 HHR917512:HHR917529 HRN917512:HRN917529 IBJ917512:IBJ917529 ILF917512:ILF917529 IVB917512:IVB917529 JEX917512:JEX917529 JOT917512:JOT917529 JYP917512:JYP917529 KIL917512:KIL917529 KSH917512:KSH917529 LCD917512:LCD917529 LLZ917512:LLZ917529 LVV917512:LVV917529 MFR917512:MFR917529 MPN917512:MPN917529 MZJ917512:MZJ917529 NJF917512:NJF917529 NTB917512:NTB917529 OCX917512:OCX917529 OMT917512:OMT917529 OWP917512:OWP917529 PGL917512:PGL917529 PQH917512:PQH917529 QAD917512:QAD917529 QJZ917512:QJZ917529 QTV917512:QTV917529 RDR917512:RDR917529 RNN917512:RNN917529 RXJ917512:RXJ917529 SHF917512:SHF917529 SRB917512:SRB917529 TAX917512:TAX917529 TKT917512:TKT917529 TUP917512:TUP917529 UEL917512:UEL917529 UOH917512:UOH917529 UYD917512:UYD917529 VHZ917512:VHZ917529 VRV917512:VRV917529 WBR917512:WBR917529 WLN917512:WLN917529 WVJ917512:WVJ917529" xr:uid="{00000000-0002-0000-2D00-000000000000}">
      <formula1>trung</formula1>
    </dataValidation>
    <dataValidation type="list" allowBlank="1" showInputMessage="1" showErrorMessage="1" sqref="B23:B24" xr:uid="{00000000-0002-0000-2D00-000001000000}">
      <formula1>bichphuong</formula1>
    </dataValidation>
  </dataValidation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317"/>
  <sheetViews>
    <sheetView topLeftCell="A10" workbookViewId="0">
      <selection activeCell="C35" sqref="C35:E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2207</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2208</v>
      </c>
      <c r="C13" s="425"/>
      <c r="D13" s="425"/>
      <c r="E13" s="425"/>
      <c r="F13" s="425"/>
      <c r="G13" s="73">
        <f>G14</f>
        <v>8260000</v>
      </c>
      <c r="H13" s="74"/>
    </row>
    <row r="14" spans="1:8" s="131" customFormat="1" ht="140.4">
      <c r="A14" s="123"/>
      <c r="B14" s="124" t="s">
        <v>2059</v>
      </c>
      <c r="C14" s="125" t="s">
        <v>1753</v>
      </c>
      <c r="D14" s="126">
        <v>3.5</v>
      </c>
      <c r="E14" s="127">
        <v>11800000</v>
      </c>
      <c r="F14" s="188">
        <v>0.2</v>
      </c>
      <c r="G14" s="129">
        <f>D14*E14*F14</f>
        <v>8260000</v>
      </c>
      <c r="H14" s="130"/>
    </row>
    <row r="15" spans="1:8" ht="27" customHeight="1">
      <c r="A15" s="75" t="s">
        <v>18</v>
      </c>
      <c r="B15" s="426" t="s">
        <v>1725</v>
      </c>
      <c r="C15" s="426"/>
      <c r="D15" s="426"/>
      <c r="E15" s="426"/>
      <c r="F15" s="426"/>
      <c r="G15" s="76">
        <f>SUM(G16:G21)</f>
        <v>2594515.5544000003</v>
      </c>
      <c r="H15" s="11"/>
    </row>
    <row r="16" spans="1:8" ht="46.8">
      <c r="A16" s="77">
        <v>1</v>
      </c>
      <c r="B16" s="78" t="s">
        <v>2209</v>
      </c>
      <c r="C16" s="14" t="s">
        <v>1754</v>
      </c>
      <c r="D16" s="132">
        <f>(4*1.75*0.11)+(4*1.1*0.11)</f>
        <v>1.254</v>
      </c>
      <c r="E16" s="15">
        <v>2126713</v>
      </c>
      <c r="F16" s="187">
        <v>0.2</v>
      </c>
      <c r="G16" s="79">
        <f t="shared" ref="G16:G21" si="0">D16*E16*F16</f>
        <v>533379.62040000001</v>
      </c>
      <c r="H16" s="15"/>
    </row>
    <row r="17" spans="1:8" ht="30.6" customHeight="1">
      <c r="A17" s="77"/>
      <c r="B17" s="78" t="s">
        <v>2210</v>
      </c>
      <c r="C17" s="14" t="s">
        <v>66</v>
      </c>
      <c r="D17" s="132">
        <f>4*1.1*2</f>
        <v>8.8000000000000007</v>
      </c>
      <c r="E17" s="15">
        <v>141099</v>
      </c>
      <c r="F17" s="187">
        <v>0.2</v>
      </c>
      <c r="G17" s="79">
        <f t="shared" si="0"/>
        <v>248334.24000000005</v>
      </c>
      <c r="H17" s="15"/>
    </row>
    <row r="18" spans="1:8" ht="30.6" customHeight="1">
      <c r="A18" s="77">
        <v>2</v>
      </c>
      <c r="B18" s="78" t="s">
        <v>2211</v>
      </c>
      <c r="C18" s="14" t="s">
        <v>1754</v>
      </c>
      <c r="D18" s="132">
        <f>(0.35*0.5*2.2)*2</f>
        <v>0.77</v>
      </c>
      <c r="E18" s="15">
        <v>2623803</v>
      </c>
      <c r="F18" s="187">
        <v>0.2</v>
      </c>
      <c r="G18" s="79">
        <f t="shared" si="0"/>
        <v>404065.66200000001</v>
      </c>
      <c r="H18" s="15"/>
    </row>
    <row r="19" spans="1:8" ht="30.6" customHeight="1">
      <c r="A19" s="77"/>
      <c r="B19" s="78" t="s">
        <v>2212</v>
      </c>
      <c r="C19" s="14" t="s">
        <v>66</v>
      </c>
      <c r="D19" s="132">
        <f>(0.35+0.5)*2.2*2*2</f>
        <v>7.48</v>
      </c>
      <c r="E19" s="15">
        <v>250492</v>
      </c>
      <c r="F19" s="187">
        <v>0.2</v>
      </c>
      <c r="G19" s="79">
        <f t="shared" si="0"/>
        <v>374736.03200000006</v>
      </c>
      <c r="H19" s="15"/>
    </row>
    <row r="20" spans="1:8" ht="30.6" customHeight="1">
      <c r="A20" s="77">
        <v>3</v>
      </c>
      <c r="B20" s="78" t="s">
        <v>2213</v>
      </c>
      <c r="C20" s="14" t="s">
        <v>66</v>
      </c>
      <c r="D20" s="132">
        <f>2*1.9</f>
        <v>3.8</v>
      </c>
      <c r="E20" s="15">
        <v>550000</v>
      </c>
      <c r="F20" s="187">
        <v>0.2</v>
      </c>
      <c r="G20" s="79">
        <f t="shared" si="0"/>
        <v>418000</v>
      </c>
      <c r="H20" s="15"/>
    </row>
    <row r="21" spans="1:8" ht="30.6" customHeight="1">
      <c r="A21" s="77">
        <v>4</v>
      </c>
      <c r="B21" s="78" t="s">
        <v>2214</v>
      </c>
      <c r="C21" s="14" t="s">
        <v>66</v>
      </c>
      <c r="D21" s="132">
        <f>4*1.4</f>
        <v>5.6</v>
      </c>
      <c r="E21" s="15">
        <v>550000</v>
      </c>
      <c r="F21" s="187">
        <v>0.2</v>
      </c>
      <c r="G21" s="79">
        <f t="shared" si="0"/>
        <v>616000</v>
      </c>
      <c r="H21" s="15"/>
    </row>
    <row r="22" spans="1:8" ht="24" customHeight="1">
      <c r="A22" s="75" t="s">
        <v>19</v>
      </c>
      <c r="B22" s="426" t="s">
        <v>1727</v>
      </c>
      <c r="C22" s="426"/>
      <c r="D22" s="426"/>
      <c r="E22" s="426"/>
      <c r="F22" s="426"/>
      <c r="G22" s="76">
        <f>G23</f>
        <v>684250</v>
      </c>
      <c r="H22" s="11"/>
    </row>
    <row r="23" spans="1:8" s="12" customFormat="1" ht="34.200000000000003" customHeight="1">
      <c r="A23" s="94">
        <v>1</v>
      </c>
      <c r="B23" s="13" t="s">
        <v>816</v>
      </c>
      <c r="C23" s="14" t="s">
        <v>1724</v>
      </c>
      <c r="D23" s="14">
        <v>1</v>
      </c>
      <c r="E23" s="79" t="str">
        <f>VLOOKUP(B23,'[20]Đơn giá cây cối'!$A$2:$C$1361,3,0)</f>
        <v>2.737.000</v>
      </c>
      <c r="F23" s="132">
        <v>0.25</v>
      </c>
      <c r="G23" s="79">
        <f>D23*E23*F23</f>
        <v>684250</v>
      </c>
      <c r="H23" s="95"/>
    </row>
    <row r="24" spans="1:8" ht="15.6">
      <c r="A24" s="80"/>
      <c r="B24" s="427" t="s">
        <v>62</v>
      </c>
      <c r="C24" s="428"/>
      <c r="D24" s="428"/>
      <c r="E24" s="428"/>
      <c r="F24" s="429"/>
      <c r="G24" s="81">
        <f>G13+G15+G22</f>
        <v>11538765.554400001</v>
      </c>
      <c r="H24" s="82"/>
    </row>
    <row r="25" spans="1:8" ht="15.6">
      <c r="A25" s="80"/>
      <c r="B25" s="427" t="s">
        <v>1726</v>
      </c>
      <c r="C25" s="428"/>
      <c r="D25" s="428"/>
      <c r="E25" s="428"/>
      <c r="F25" s="429"/>
      <c r="G25" s="81">
        <f>ROUND(G24,-3)</f>
        <v>11539000</v>
      </c>
      <c r="H25" s="82"/>
    </row>
    <row r="26" spans="1:8" ht="15.6">
      <c r="A26" s="430" t="e">
        <f ca="1">[21]!uni(G25)</f>
        <v>#NAME?</v>
      </c>
      <c r="B26" s="431"/>
      <c r="C26" s="431"/>
      <c r="D26" s="431"/>
      <c r="E26" s="431"/>
      <c r="F26" s="431"/>
      <c r="G26" s="431"/>
      <c r="H26" s="432"/>
    </row>
    <row r="27" spans="1:8">
      <c r="A27" s="17"/>
      <c r="B27" s="17"/>
      <c r="C27" s="97"/>
      <c r="D27" s="20"/>
      <c r="E27" s="19"/>
      <c r="F27" s="97"/>
      <c r="G27" s="19"/>
      <c r="H27" s="17"/>
    </row>
    <row r="28" spans="1:8" s="109" customFormat="1" ht="16.5" customHeight="1">
      <c r="A28" s="108"/>
      <c r="B28" s="108"/>
      <c r="C28" s="424" t="s">
        <v>1742</v>
      </c>
      <c r="D28" s="424"/>
      <c r="E28" s="424"/>
      <c r="F28" s="424"/>
      <c r="G28" s="424"/>
      <c r="H28" s="424"/>
    </row>
    <row r="29" spans="1:8" s="109" customFormat="1" ht="16.5" customHeight="1">
      <c r="A29" s="423" t="s">
        <v>63</v>
      </c>
      <c r="B29" s="423"/>
      <c r="C29" s="424" t="s">
        <v>1743</v>
      </c>
      <c r="D29" s="424"/>
      <c r="E29" s="424"/>
      <c r="F29" s="424" t="s">
        <v>1744</v>
      </c>
      <c r="G29" s="424"/>
      <c r="H29" s="424"/>
    </row>
    <row r="30" spans="1:8" s="109" customFormat="1" ht="15.6">
      <c r="A30" s="108"/>
      <c r="B30" s="108"/>
      <c r="C30" s="108"/>
      <c r="D30" s="110"/>
      <c r="E30" s="111"/>
      <c r="F30" s="112"/>
      <c r="G30" s="111"/>
      <c r="H30" s="113"/>
    </row>
    <row r="31" spans="1:8" s="109" customFormat="1" ht="15.6">
      <c r="A31" s="108"/>
      <c r="B31" s="108"/>
      <c r="C31" s="108"/>
      <c r="D31" s="110"/>
      <c r="E31" s="111"/>
      <c r="F31" s="112"/>
      <c r="G31" s="114"/>
      <c r="H31" s="113"/>
    </row>
    <row r="32" spans="1:8" s="109" customFormat="1" ht="15.6">
      <c r="A32" s="108"/>
      <c r="B32" s="108"/>
      <c r="C32" s="108"/>
      <c r="D32" s="110"/>
      <c r="E32" s="111"/>
      <c r="F32" s="112"/>
      <c r="G32" s="111"/>
      <c r="H32" s="113"/>
    </row>
    <row r="33" spans="1:8" s="109" customFormat="1" ht="15.6">
      <c r="A33" s="108"/>
      <c r="B33" s="108"/>
      <c r="C33" s="108"/>
      <c r="D33" s="110"/>
      <c r="E33" s="111"/>
      <c r="F33" s="112"/>
      <c r="G33" s="111"/>
      <c r="H33" s="113"/>
    </row>
    <row r="34" spans="1:8" s="109" customFormat="1" ht="15.6">
      <c r="A34" s="108"/>
      <c r="B34" s="108"/>
      <c r="C34" s="108"/>
      <c r="D34" s="110"/>
      <c r="E34" s="111"/>
      <c r="F34" s="112"/>
      <c r="G34" s="111"/>
      <c r="H34" s="113"/>
    </row>
    <row r="35" spans="1:8" s="109" customFormat="1" ht="16.5" customHeight="1">
      <c r="A35" s="108"/>
      <c r="B35" s="198" t="s">
        <v>64</v>
      </c>
      <c r="C35" s="424"/>
      <c r="D35" s="424"/>
      <c r="E35" s="424"/>
      <c r="F35" s="424" t="s">
        <v>1745</v>
      </c>
      <c r="G35" s="424"/>
      <c r="H35" s="424"/>
    </row>
    <row r="36" spans="1:8" s="109" customFormat="1" ht="15.6">
      <c r="A36" s="108"/>
      <c r="B36" s="198"/>
      <c r="C36" s="199"/>
      <c r="D36" s="199"/>
      <c r="E36" s="199"/>
      <c r="F36" s="199"/>
      <c r="G36" s="199"/>
      <c r="H36" s="199"/>
    </row>
    <row r="37" spans="1:8" s="109" customFormat="1" ht="15" customHeight="1">
      <c r="A37" s="424" t="s">
        <v>1746</v>
      </c>
      <c r="B37" s="424"/>
      <c r="C37" s="424"/>
      <c r="D37" s="424"/>
      <c r="E37" s="424" t="s">
        <v>1747</v>
      </c>
      <c r="F37" s="424"/>
      <c r="G37" s="424"/>
      <c r="H37" s="424"/>
    </row>
    <row r="38" spans="1:8" s="109" customFormat="1" ht="33.6" customHeight="1">
      <c r="A38" s="424" t="s">
        <v>1748</v>
      </c>
      <c r="B38" s="424"/>
      <c r="C38" s="424"/>
      <c r="D38" s="424"/>
      <c r="E38" s="424" t="s">
        <v>65</v>
      </c>
      <c r="F38" s="424"/>
      <c r="G38" s="424"/>
      <c r="H38" s="424"/>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 r="A43" s="108"/>
      <c r="B43" s="108"/>
      <c r="C43" s="108"/>
      <c r="D43" s="110"/>
      <c r="E43" s="111"/>
      <c r="F43" s="112"/>
      <c r="G43" s="111"/>
      <c r="H43" s="113"/>
    </row>
    <row r="44" spans="1:8" s="109" customFormat="1" ht="15.6" customHeight="1">
      <c r="A44" s="108"/>
      <c r="B44" s="108"/>
      <c r="C44" s="108"/>
      <c r="D44" s="115"/>
      <c r="E44" s="439" t="s">
        <v>1749</v>
      </c>
      <c r="F44" s="439"/>
      <c r="G44" s="439"/>
      <c r="H44" s="439"/>
    </row>
    <row r="45" spans="1:8" s="109" customFormat="1" ht="16.5" customHeight="1">
      <c r="A45" s="424" t="s">
        <v>1751</v>
      </c>
      <c r="B45" s="424"/>
      <c r="C45" s="424"/>
      <c r="D45" s="424"/>
      <c r="E45" s="424" t="s">
        <v>1750</v>
      </c>
      <c r="F45" s="424"/>
      <c r="G45" s="424"/>
      <c r="H45" s="424"/>
    </row>
    <row r="46" spans="1:8" s="118" customFormat="1" ht="16.2" customHeight="1">
      <c r="A46" s="440"/>
      <c r="B46" s="440"/>
      <c r="C46" s="116"/>
      <c r="D46" s="117"/>
      <c r="E46" s="440"/>
      <c r="F46" s="440"/>
      <c r="G46" s="440"/>
      <c r="H46" s="440"/>
    </row>
    <row r="47" spans="1:8" s="118" customFormat="1" ht="15.75" customHeight="1">
      <c r="A47" s="440"/>
      <c r="B47" s="440"/>
      <c r="C47" s="440"/>
      <c r="D47" s="440"/>
      <c r="E47" s="440"/>
      <c r="F47" s="440"/>
      <c r="G47" s="440"/>
      <c r="H47" s="440"/>
    </row>
    <row r="48" spans="1:8" s="98" customFormat="1" ht="16.2" customHeight="1">
      <c r="A48" s="436"/>
      <c r="B48" s="436"/>
      <c r="C48" s="436"/>
      <c r="D48" s="436"/>
      <c r="E48" s="119"/>
      <c r="F48" s="120"/>
      <c r="G48" s="119"/>
      <c r="H48" s="121"/>
    </row>
    <row r="49" spans="1:8" s="98" customFormat="1" ht="16.2" customHeight="1">
      <c r="A49" s="436"/>
      <c r="B49" s="436"/>
      <c r="C49" s="436"/>
      <c r="D49" s="436"/>
      <c r="E49" s="119"/>
      <c r="F49" s="120"/>
      <c r="G49" s="119"/>
      <c r="H49" s="121"/>
    </row>
    <row r="50" spans="1:8" s="98" customFormat="1" ht="16.2" customHeight="1">
      <c r="A50" s="121"/>
      <c r="B50" s="121"/>
      <c r="C50" s="121"/>
      <c r="D50" s="122"/>
      <c r="E50" s="119"/>
      <c r="F50" s="120"/>
      <c r="G50" s="119"/>
      <c r="H50" s="121"/>
    </row>
    <row r="51" spans="1:8" ht="16.2" customHeight="1">
      <c r="A51" s="83"/>
      <c r="B51" s="83"/>
      <c r="C51" s="83"/>
      <c r="D51" s="84"/>
      <c r="E51" s="85"/>
      <c r="F51" s="86"/>
      <c r="G51" s="85"/>
      <c r="H51" s="83"/>
    </row>
    <row r="52" spans="1:8" ht="16.2" customHeight="1">
      <c r="A52" s="83"/>
      <c r="B52" s="83"/>
      <c r="C52" s="83"/>
      <c r="D52" s="84"/>
      <c r="E52" s="85"/>
      <c r="F52" s="86"/>
      <c r="G52" s="85"/>
      <c r="H52" s="83"/>
    </row>
    <row r="53" spans="1:8" ht="16.2" customHeight="1">
      <c r="A53" s="83"/>
      <c r="B53" s="83"/>
      <c r="C53" s="83"/>
      <c r="D53" s="84"/>
      <c r="E53" s="85"/>
      <c r="F53" s="86"/>
      <c r="G53" s="85"/>
      <c r="H53" s="83"/>
    </row>
    <row r="54" spans="1:8" ht="16.2" customHeight="1">
      <c r="A54" s="83"/>
      <c r="B54" s="83"/>
      <c r="C54" s="83"/>
      <c r="D54" s="84"/>
      <c r="E54" s="437"/>
      <c r="F54" s="437"/>
      <c r="G54" s="437"/>
      <c r="H54" s="437"/>
    </row>
    <row r="55" spans="1:8" ht="20.25" customHeight="1">
      <c r="A55" s="438"/>
      <c r="B55" s="438"/>
      <c r="C55" s="438"/>
      <c r="D55" s="438"/>
      <c r="E55" s="438"/>
      <c r="F55" s="438"/>
      <c r="G55" s="438"/>
      <c r="H55" s="438"/>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ht="16.2" customHeight="1"/>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row r="231"/>
    <row r="232"/>
    <row r="233"/>
    <row r="234"/>
    <row r="235"/>
    <row r="236"/>
    <row r="237"/>
    <row r="238"/>
    <row r="239"/>
    <row r="240"/>
    <row r="241"/>
    <row r="242"/>
    <row r="243"/>
    <row r="244"/>
    <row r="245"/>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sheetData>
  <mergeCells count="40">
    <mergeCell ref="A4:B4"/>
    <mergeCell ref="C4:H4"/>
    <mergeCell ref="A1:B1"/>
    <mergeCell ref="C1:H1"/>
    <mergeCell ref="A2:B2"/>
    <mergeCell ref="C2:H2"/>
    <mergeCell ref="A3:B3"/>
    <mergeCell ref="A26:H26"/>
    <mergeCell ref="A6:H6"/>
    <mergeCell ref="A7:H7"/>
    <mergeCell ref="A8:H8"/>
    <mergeCell ref="A9:H9"/>
    <mergeCell ref="A10:H10"/>
    <mergeCell ref="A11:H11"/>
    <mergeCell ref="B13:F13"/>
    <mergeCell ref="B15:F15"/>
    <mergeCell ref="B22:F22"/>
    <mergeCell ref="B24:F24"/>
    <mergeCell ref="B25:F25"/>
    <mergeCell ref="A45:D45"/>
    <mergeCell ref="E45:H45"/>
    <mergeCell ref="C28:H28"/>
    <mergeCell ref="A29:B29"/>
    <mergeCell ref="C29:E29"/>
    <mergeCell ref="F29:H29"/>
    <mergeCell ref="C35:E35"/>
    <mergeCell ref="F35:H35"/>
    <mergeCell ref="A37:D37"/>
    <mergeCell ref="E37:H37"/>
    <mergeCell ref="A38:D38"/>
    <mergeCell ref="E38:H38"/>
    <mergeCell ref="E44:H44"/>
    <mergeCell ref="E54:H54"/>
    <mergeCell ref="A55:H55"/>
    <mergeCell ref="A46:B46"/>
    <mergeCell ref="E46:H46"/>
    <mergeCell ref="A47:D47"/>
    <mergeCell ref="E47:H47"/>
    <mergeCell ref="A48:D48"/>
    <mergeCell ref="A49:D49"/>
  </mergeCells>
  <dataValidations count="2">
    <dataValidation type="list" allowBlank="1" showInputMessage="1" showErrorMessage="1" sqref="B23" xr:uid="{00000000-0002-0000-2E00-000000000000}">
      <formula1>bichphuong</formula1>
    </dataValidation>
    <dataValidation type="list" allowBlank="1" showInputMessage="1" showErrorMessage="1" sqref="WVJ983047:WVJ983064 B983047:B983064 IX983047:IX983064 ST983047:ST983064 ACP983047:ACP983064 AML983047:AML983064 AWH983047:AWH983064 BGD983047:BGD983064 BPZ983047:BPZ983064 BZV983047:BZV983064 CJR983047:CJR983064 CTN983047:CTN983064 DDJ983047:DDJ983064 DNF983047:DNF983064 DXB983047:DXB983064 EGX983047:EGX983064 EQT983047:EQT983064 FAP983047:FAP983064 FKL983047:FKL983064 FUH983047:FUH983064 GED983047:GED983064 GNZ983047:GNZ983064 GXV983047:GXV983064 HHR983047:HHR983064 HRN983047:HRN983064 IBJ983047:IBJ983064 ILF983047:ILF983064 IVB983047:IVB983064 JEX983047:JEX983064 JOT983047:JOT983064 JYP983047:JYP983064 KIL983047:KIL983064 KSH983047:KSH983064 LCD983047:LCD983064 LLZ983047:LLZ983064 LVV983047:LVV983064 MFR983047:MFR983064 MPN983047:MPN983064 MZJ983047:MZJ983064 NJF983047:NJF983064 NTB983047:NTB983064 OCX983047:OCX983064 OMT983047:OMT983064 OWP983047:OWP983064 PGL983047:PGL983064 PQH983047:PQH983064 QAD983047:QAD983064 QJZ983047:QJZ983064 QTV983047:QTV983064 RDR983047:RDR983064 RNN983047:RNN983064 RXJ983047:RXJ983064 SHF983047:SHF983064 SRB983047:SRB983064 TAX983047:TAX983064 TKT983047:TKT983064 TUP983047:TUP983064 UEL983047:UEL983064 UOH983047:UOH983064 UYD983047:UYD983064 VHZ983047:VHZ983064 VRV983047:VRV983064 WBR983047:WBR983064 WLN983047:WLN983064 B65543:B65560 IX65543:IX65560 ST65543:ST65560 ACP65543:ACP65560 AML65543:AML65560 AWH65543:AWH65560 BGD65543:BGD65560 BPZ65543:BPZ65560 BZV65543:BZV65560 CJR65543:CJR65560 CTN65543:CTN65560 DDJ65543:DDJ65560 DNF65543:DNF65560 DXB65543:DXB65560 EGX65543:EGX65560 EQT65543:EQT65560 FAP65543:FAP65560 FKL65543:FKL65560 FUH65543:FUH65560 GED65543:GED65560 GNZ65543:GNZ65560 GXV65543:GXV65560 HHR65543:HHR65560 HRN65543:HRN65560 IBJ65543:IBJ65560 ILF65543:ILF65560 IVB65543:IVB65560 JEX65543:JEX65560 JOT65543:JOT65560 JYP65543:JYP65560 KIL65543:KIL65560 KSH65543:KSH65560 LCD65543:LCD65560 LLZ65543:LLZ65560 LVV65543:LVV65560 MFR65543:MFR65560 MPN65543:MPN65560 MZJ65543:MZJ65560 NJF65543:NJF65560 NTB65543:NTB65560 OCX65543:OCX65560 OMT65543:OMT65560 OWP65543:OWP65560 PGL65543:PGL65560 PQH65543:PQH65560 QAD65543:QAD65560 QJZ65543:QJZ65560 QTV65543:QTV65560 RDR65543:RDR65560 RNN65543:RNN65560 RXJ65543:RXJ65560 SHF65543:SHF65560 SRB65543:SRB65560 TAX65543:TAX65560 TKT65543:TKT65560 TUP65543:TUP65560 UEL65543:UEL65560 UOH65543:UOH65560 UYD65543:UYD65560 VHZ65543:VHZ65560 VRV65543:VRV65560 WBR65543:WBR65560 WLN65543:WLN65560 WVJ65543:WVJ65560 B131079:B131096 IX131079:IX131096 ST131079:ST131096 ACP131079:ACP131096 AML131079:AML131096 AWH131079:AWH131096 BGD131079:BGD131096 BPZ131079:BPZ131096 BZV131079:BZV131096 CJR131079:CJR131096 CTN131079:CTN131096 DDJ131079:DDJ131096 DNF131079:DNF131096 DXB131079:DXB131096 EGX131079:EGX131096 EQT131079:EQT131096 FAP131079:FAP131096 FKL131079:FKL131096 FUH131079:FUH131096 GED131079:GED131096 GNZ131079:GNZ131096 GXV131079:GXV131096 HHR131079:HHR131096 HRN131079:HRN131096 IBJ131079:IBJ131096 ILF131079:ILF131096 IVB131079:IVB131096 JEX131079:JEX131096 JOT131079:JOT131096 JYP131079:JYP131096 KIL131079:KIL131096 KSH131079:KSH131096 LCD131079:LCD131096 LLZ131079:LLZ131096 LVV131079:LVV131096 MFR131079:MFR131096 MPN131079:MPN131096 MZJ131079:MZJ131096 NJF131079:NJF131096 NTB131079:NTB131096 OCX131079:OCX131096 OMT131079:OMT131096 OWP131079:OWP131096 PGL131079:PGL131096 PQH131079:PQH131096 QAD131079:QAD131096 QJZ131079:QJZ131096 QTV131079:QTV131096 RDR131079:RDR131096 RNN131079:RNN131096 RXJ131079:RXJ131096 SHF131079:SHF131096 SRB131079:SRB131096 TAX131079:TAX131096 TKT131079:TKT131096 TUP131079:TUP131096 UEL131079:UEL131096 UOH131079:UOH131096 UYD131079:UYD131096 VHZ131079:VHZ131096 VRV131079:VRV131096 WBR131079:WBR131096 WLN131079:WLN131096 WVJ131079:WVJ131096 B196615:B196632 IX196615:IX196632 ST196615:ST196632 ACP196615:ACP196632 AML196615:AML196632 AWH196615:AWH196632 BGD196615:BGD196632 BPZ196615:BPZ196632 BZV196615:BZV196632 CJR196615:CJR196632 CTN196615:CTN196632 DDJ196615:DDJ196632 DNF196615:DNF196632 DXB196615:DXB196632 EGX196615:EGX196632 EQT196615:EQT196632 FAP196615:FAP196632 FKL196615:FKL196632 FUH196615:FUH196632 GED196615:GED196632 GNZ196615:GNZ196632 GXV196615:GXV196632 HHR196615:HHR196632 HRN196615:HRN196632 IBJ196615:IBJ196632 ILF196615:ILF196632 IVB196615:IVB196632 JEX196615:JEX196632 JOT196615:JOT196632 JYP196615:JYP196632 KIL196615:KIL196632 KSH196615:KSH196632 LCD196615:LCD196632 LLZ196615:LLZ196632 LVV196615:LVV196632 MFR196615:MFR196632 MPN196615:MPN196632 MZJ196615:MZJ196632 NJF196615:NJF196632 NTB196615:NTB196632 OCX196615:OCX196632 OMT196615:OMT196632 OWP196615:OWP196632 PGL196615:PGL196632 PQH196615:PQH196632 QAD196615:QAD196632 QJZ196615:QJZ196632 QTV196615:QTV196632 RDR196615:RDR196632 RNN196615:RNN196632 RXJ196615:RXJ196632 SHF196615:SHF196632 SRB196615:SRB196632 TAX196615:TAX196632 TKT196615:TKT196632 TUP196615:TUP196632 UEL196615:UEL196632 UOH196615:UOH196632 UYD196615:UYD196632 VHZ196615:VHZ196632 VRV196615:VRV196632 WBR196615:WBR196632 WLN196615:WLN196632 WVJ196615:WVJ196632 B262151:B262168 IX262151:IX262168 ST262151:ST262168 ACP262151:ACP262168 AML262151:AML262168 AWH262151:AWH262168 BGD262151:BGD262168 BPZ262151:BPZ262168 BZV262151:BZV262168 CJR262151:CJR262168 CTN262151:CTN262168 DDJ262151:DDJ262168 DNF262151:DNF262168 DXB262151:DXB262168 EGX262151:EGX262168 EQT262151:EQT262168 FAP262151:FAP262168 FKL262151:FKL262168 FUH262151:FUH262168 GED262151:GED262168 GNZ262151:GNZ262168 GXV262151:GXV262168 HHR262151:HHR262168 HRN262151:HRN262168 IBJ262151:IBJ262168 ILF262151:ILF262168 IVB262151:IVB262168 JEX262151:JEX262168 JOT262151:JOT262168 JYP262151:JYP262168 KIL262151:KIL262168 KSH262151:KSH262168 LCD262151:LCD262168 LLZ262151:LLZ262168 LVV262151:LVV262168 MFR262151:MFR262168 MPN262151:MPN262168 MZJ262151:MZJ262168 NJF262151:NJF262168 NTB262151:NTB262168 OCX262151:OCX262168 OMT262151:OMT262168 OWP262151:OWP262168 PGL262151:PGL262168 PQH262151:PQH262168 QAD262151:QAD262168 QJZ262151:QJZ262168 QTV262151:QTV262168 RDR262151:RDR262168 RNN262151:RNN262168 RXJ262151:RXJ262168 SHF262151:SHF262168 SRB262151:SRB262168 TAX262151:TAX262168 TKT262151:TKT262168 TUP262151:TUP262168 UEL262151:UEL262168 UOH262151:UOH262168 UYD262151:UYD262168 VHZ262151:VHZ262168 VRV262151:VRV262168 WBR262151:WBR262168 WLN262151:WLN262168 WVJ262151:WVJ262168 B327687:B327704 IX327687:IX327704 ST327687:ST327704 ACP327687:ACP327704 AML327687:AML327704 AWH327687:AWH327704 BGD327687:BGD327704 BPZ327687:BPZ327704 BZV327687:BZV327704 CJR327687:CJR327704 CTN327687:CTN327704 DDJ327687:DDJ327704 DNF327687:DNF327704 DXB327687:DXB327704 EGX327687:EGX327704 EQT327687:EQT327704 FAP327687:FAP327704 FKL327687:FKL327704 FUH327687:FUH327704 GED327687:GED327704 GNZ327687:GNZ327704 GXV327687:GXV327704 HHR327687:HHR327704 HRN327687:HRN327704 IBJ327687:IBJ327704 ILF327687:ILF327704 IVB327687:IVB327704 JEX327687:JEX327704 JOT327687:JOT327704 JYP327687:JYP327704 KIL327687:KIL327704 KSH327687:KSH327704 LCD327687:LCD327704 LLZ327687:LLZ327704 LVV327687:LVV327704 MFR327687:MFR327704 MPN327687:MPN327704 MZJ327687:MZJ327704 NJF327687:NJF327704 NTB327687:NTB327704 OCX327687:OCX327704 OMT327687:OMT327704 OWP327687:OWP327704 PGL327687:PGL327704 PQH327687:PQH327704 QAD327687:QAD327704 QJZ327687:QJZ327704 QTV327687:QTV327704 RDR327687:RDR327704 RNN327687:RNN327704 RXJ327687:RXJ327704 SHF327687:SHF327704 SRB327687:SRB327704 TAX327687:TAX327704 TKT327687:TKT327704 TUP327687:TUP327704 UEL327687:UEL327704 UOH327687:UOH327704 UYD327687:UYD327704 VHZ327687:VHZ327704 VRV327687:VRV327704 WBR327687:WBR327704 WLN327687:WLN327704 WVJ327687:WVJ327704 B393223:B393240 IX393223:IX393240 ST393223:ST393240 ACP393223:ACP393240 AML393223:AML393240 AWH393223:AWH393240 BGD393223:BGD393240 BPZ393223:BPZ393240 BZV393223:BZV393240 CJR393223:CJR393240 CTN393223:CTN393240 DDJ393223:DDJ393240 DNF393223:DNF393240 DXB393223:DXB393240 EGX393223:EGX393240 EQT393223:EQT393240 FAP393223:FAP393240 FKL393223:FKL393240 FUH393223:FUH393240 GED393223:GED393240 GNZ393223:GNZ393240 GXV393223:GXV393240 HHR393223:HHR393240 HRN393223:HRN393240 IBJ393223:IBJ393240 ILF393223:ILF393240 IVB393223:IVB393240 JEX393223:JEX393240 JOT393223:JOT393240 JYP393223:JYP393240 KIL393223:KIL393240 KSH393223:KSH393240 LCD393223:LCD393240 LLZ393223:LLZ393240 LVV393223:LVV393240 MFR393223:MFR393240 MPN393223:MPN393240 MZJ393223:MZJ393240 NJF393223:NJF393240 NTB393223:NTB393240 OCX393223:OCX393240 OMT393223:OMT393240 OWP393223:OWP393240 PGL393223:PGL393240 PQH393223:PQH393240 QAD393223:QAD393240 QJZ393223:QJZ393240 QTV393223:QTV393240 RDR393223:RDR393240 RNN393223:RNN393240 RXJ393223:RXJ393240 SHF393223:SHF393240 SRB393223:SRB393240 TAX393223:TAX393240 TKT393223:TKT393240 TUP393223:TUP393240 UEL393223:UEL393240 UOH393223:UOH393240 UYD393223:UYD393240 VHZ393223:VHZ393240 VRV393223:VRV393240 WBR393223:WBR393240 WLN393223:WLN393240 WVJ393223:WVJ393240 B458759:B458776 IX458759:IX458776 ST458759:ST458776 ACP458759:ACP458776 AML458759:AML458776 AWH458759:AWH458776 BGD458759:BGD458776 BPZ458759:BPZ458776 BZV458759:BZV458776 CJR458759:CJR458776 CTN458759:CTN458776 DDJ458759:DDJ458776 DNF458759:DNF458776 DXB458759:DXB458776 EGX458759:EGX458776 EQT458759:EQT458776 FAP458759:FAP458776 FKL458759:FKL458776 FUH458759:FUH458776 GED458759:GED458776 GNZ458759:GNZ458776 GXV458759:GXV458776 HHR458759:HHR458776 HRN458759:HRN458776 IBJ458759:IBJ458776 ILF458759:ILF458776 IVB458759:IVB458776 JEX458759:JEX458776 JOT458759:JOT458776 JYP458759:JYP458776 KIL458759:KIL458776 KSH458759:KSH458776 LCD458759:LCD458776 LLZ458759:LLZ458776 LVV458759:LVV458776 MFR458759:MFR458776 MPN458759:MPN458776 MZJ458759:MZJ458776 NJF458759:NJF458776 NTB458759:NTB458776 OCX458759:OCX458776 OMT458759:OMT458776 OWP458759:OWP458776 PGL458759:PGL458776 PQH458759:PQH458776 QAD458759:QAD458776 QJZ458759:QJZ458776 QTV458759:QTV458776 RDR458759:RDR458776 RNN458759:RNN458776 RXJ458759:RXJ458776 SHF458759:SHF458776 SRB458759:SRB458776 TAX458759:TAX458776 TKT458759:TKT458776 TUP458759:TUP458776 UEL458759:UEL458776 UOH458759:UOH458776 UYD458759:UYD458776 VHZ458759:VHZ458776 VRV458759:VRV458776 WBR458759:WBR458776 WLN458759:WLN458776 WVJ458759:WVJ458776 B524295:B524312 IX524295:IX524312 ST524295:ST524312 ACP524295:ACP524312 AML524295:AML524312 AWH524295:AWH524312 BGD524295:BGD524312 BPZ524295:BPZ524312 BZV524295:BZV524312 CJR524295:CJR524312 CTN524295:CTN524312 DDJ524295:DDJ524312 DNF524295:DNF524312 DXB524295:DXB524312 EGX524295:EGX524312 EQT524295:EQT524312 FAP524295:FAP524312 FKL524295:FKL524312 FUH524295:FUH524312 GED524295:GED524312 GNZ524295:GNZ524312 GXV524295:GXV524312 HHR524295:HHR524312 HRN524295:HRN524312 IBJ524295:IBJ524312 ILF524295:ILF524312 IVB524295:IVB524312 JEX524295:JEX524312 JOT524295:JOT524312 JYP524295:JYP524312 KIL524295:KIL524312 KSH524295:KSH524312 LCD524295:LCD524312 LLZ524295:LLZ524312 LVV524295:LVV524312 MFR524295:MFR524312 MPN524295:MPN524312 MZJ524295:MZJ524312 NJF524295:NJF524312 NTB524295:NTB524312 OCX524295:OCX524312 OMT524295:OMT524312 OWP524295:OWP524312 PGL524295:PGL524312 PQH524295:PQH524312 QAD524295:QAD524312 QJZ524295:QJZ524312 QTV524295:QTV524312 RDR524295:RDR524312 RNN524295:RNN524312 RXJ524295:RXJ524312 SHF524295:SHF524312 SRB524295:SRB524312 TAX524295:TAX524312 TKT524295:TKT524312 TUP524295:TUP524312 UEL524295:UEL524312 UOH524295:UOH524312 UYD524295:UYD524312 VHZ524295:VHZ524312 VRV524295:VRV524312 WBR524295:WBR524312 WLN524295:WLN524312 WVJ524295:WVJ524312 B589831:B589848 IX589831:IX589848 ST589831:ST589848 ACP589831:ACP589848 AML589831:AML589848 AWH589831:AWH589848 BGD589831:BGD589848 BPZ589831:BPZ589848 BZV589831:BZV589848 CJR589831:CJR589848 CTN589831:CTN589848 DDJ589831:DDJ589848 DNF589831:DNF589848 DXB589831:DXB589848 EGX589831:EGX589848 EQT589831:EQT589848 FAP589831:FAP589848 FKL589831:FKL589848 FUH589831:FUH589848 GED589831:GED589848 GNZ589831:GNZ589848 GXV589831:GXV589848 HHR589831:HHR589848 HRN589831:HRN589848 IBJ589831:IBJ589848 ILF589831:ILF589848 IVB589831:IVB589848 JEX589831:JEX589848 JOT589831:JOT589848 JYP589831:JYP589848 KIL589831:KIL589848 KSH589831:KSH589848 LCD589831:LCD589848 LLZ589831:LLZ589848 LVV589831:LVV589848 MFR589831:MFR589848 MPN589831:MPN589848 MZJ589831:MZJ589848 NJF589831:NJF589848 NTB589831:NTB589848 OCX589831:OCX589848 OMT589831:OMT589848 OWP589831:OWP589848 PGL589831:PGL589848 PQH589831:PQH589848 QAD589831:QAD589848 QJZ589831:QJZ589848 QTV589831:QTV589848 RDR589831:RDR589848 RNN589831:RNN589848 RXJ589831:RXJ589848 SHF589831:SHF589848 SRB589831:SRB589848 TAX589831:TAX589848 TKT589831:TKT589848 TUP589831:TUP589848 UEL589831:UEL589848 UOH589831:UOH589848 UYD589831:UYD589848 VHZ589831:VHZ589848 VRV589831:VRV589848 WBR589831:WBR589848 WLN589831:WLN589848 WVJ589831:WVJ589848 B655367:B655384 IX655367:IX655384 ST655367:ST655384 ACP655367:ACP655384 AML655367:AML655384 AWH655367:AWH655384 BGD655367:BGD655384 BPZ655367:BPZ655384 BZV655367:BZV655384 CJR655367:CJR655384 CTN655367:CTN655384 DDJ655367:DDJ655384 DNF655367:DNF655384 DXB655367:DXB655384 EGX655367:EGX655384 EQT655367:EQT655384 FAP655367:FAP655384 FKL655367:FKL655384 FUH655367:FUH655384 GED655367:GED655384 GNZ655367:GNZ655384 GXV655367:GXV655384 HHR655367:HHR655384 HRN655367:HRN655384 IBJ655367:IBJ655384 ILF655367:ILF655384 IVB655367:IVB655384 JEX655367:JEX655384 JOT655367:JOT655384 JYP655367:JYP655384 KIL655367:KIL655384 KSH655367:KSH655384 LCD655367:LCD655384 LLZ655367:LLZ655384 LVV655367:LVV655384 MFR655367:MFR655384 MPN655367:MPN655384 MZJ655367:MZJ655384 NJF655367:NJF655384 NTB655367:NTB655384 OCX655367:OCX655384 OMT655367:OMT655384 OWP655367:OWP655384 PGL655367:PGL655384 PQH655367:PQH655384 QAD655367:QAD655384 QJZ655367:QJZ655384 QTV655367:QTV655384 RDR655367:RDR655384 RNN655367:RNN655384 RXJ655367:RXJ655384 SHF655367:SHF655384 SRB655367:SRB655384 TAX655367:TAX655384 TKT655367:TKT655384 TUP655367:TUP655384 UEL655367:UEL655384 UOH655367:UOH655384 UYD655367:UYD655384 VHZ655367:VHZ655384 VRV655367:VRV655384 WBR655367:WBR655384 WLN655367:WLN655384 WVJ655367:WVJ655384 B720903:B720920 IX720903:IX720920 ST720903:ST720920 ACP720903:ACP720920 AML720903:AML720920 AWH720903:AWH720920 BGD720903:BGD720920 BPZ720903:BPZ720920 BZV720903:BZV720920 CJR720903:CJR720920 CTN720903:CTN720920 DDJ720903:DDJ720920 DNF720903:DNF720920 DXB720903:DXB720920 EGX720903:EGX720920 EQT720903:EQT720920 FAP720903:FAP720920 FKL720903:FKL720920 FUH720903:FUH720920 GED720903:GED720920 GNZ720903:GNZ720920 GXV720903:GXV720920 HHR720903:HHR720920 HRN720903:HRN720920 IBJ720903:IBJ720920 ILF720903:ILF720920 IVB720903:IVB720920 JEX720903:JEX720920 JOT720903:JOT720920 JYP720903:JYP720920 KIL720903:KIL720920 KSH720903:KSH720920 LCD720903:LCD720920 LLZ720903:LLZ720920 LVV720903:LVV720920 MFR720903:MFR720920 MPN720903:MPN720920 MZJ720903:MZJ720920 NJF720903:NJF720920 NTB720903:NTB720920 OCX720903:OCX720920 OMT720903:OMT720920 OWP720903:OWP720920 PGL720903:PGL720920 PQH720903:PQH720920 QAD720903:QAD720920 QJZ720903:QJZ720920 QTV720903:QTV720920 RDR720903:RDR720920 RNN720903:RNN720920 RXJ720903:RXJ720920 SHF720903:SHF720920 SRB720903:SRB720920 TAX720903:TAX720920 TKT720903:TKT720920 TUP720903:TUP720920 UEL720903:UEL720920 UOH720903:UOH720920 UYD720903:UYD720920 VHZ720903:VHZ720920 VRV720903:VRV720920 WBR720903:WBR720920 WLN720903:WLN720920 WVJ720903:WVJ720920 B786439:B786456 IX786439:IX786456 ST786439:ST786456 ACP786439:ACP786456 AML786439:AML786456 AWH786439:AWH786456 BGD786439:BGD786456 BPZ786439:BPZ786456 BZV786439:BZV786456 CJR786439:CJR786456 CTN786439:CTN786456 DDJ786439:DDJ786456 DNF786439:DNF786456 DXB786439:DXB786456 EGX786439:EGX786456 EQT786439:EQT786456 FAP786439:FAP786456 FKL786439:FKL786456 FUH786439:FUH786456 GED786439:GED786456 GNZ786439:GNZ786456 GXV786439:GXV786456 HHR786439:HHR786456 HRN786439:HRN786456 IBJ786439:IBJ786456 ILF786439:ILF786456 IVB786439:IVB786456 JEX786439:JEX786456 JOT786439:JOT786456 JYP786439:JYP786456 KIL786439:KIL786456 KSH786439:KSH786456 LCD786439:LCD786456 LLZ786439:LLZ786456 LVV786439:LVV786456 MFR786439:MFR786456 MPN786439:MPN786456 MZJ786439:MZJ786456 NJF786439:NJF786456 NTB786439:NTB786456 OCX786439:OCX786456 OMT786439:OMT786456 OWP786439:OWP786456 PGL786439:PGL786456 PQH786439:PQH786456 QAD786439:QAD786456 QJZ786439:QJZ786456 QTV786439:QTV786456 RDR786439:RDR786456 RNN786439:RNN786456 RXJ786439:RXJ786456 SHF786439:SHF786456 SRB786439:SRB786456 TAX786439:TAX786456 TKT786439:TKT786456 TUP786439:TUP786456 UEL786439:UEL786456 UOH786439:UOH786456 UYD786439:UYD786456 VHZ786439:VHZ786456 VRV786439:VRV786456 WBR786439:WBR786456 WLN786439:WLN786456 WVJ786439:WVJ786456 B851975:B851992 IX851975:IX851992 ST851975:ST851992 ACP851975:ACP851992 AML851975:AML851992 AWH851975:AWH851992 BGD851975:BGD851992 BPZ851975:BPZ851992 BZV851975:BZV851992 CJR851975:CJR851992 CTN851975:CTN851992 DDJ851975:DDJ851992 DNF851975:DNF851992 DXB851975:DXB851992 EGX851975:EGX851992 EQT851975:EQT851992 FAP851975:FAP851992 FKL851975:FKL851992 FUH851975:FUH851992 GED851975:GED851992 GNZ851975:GNZ851992 GXV851975:GXV851992 HHR851975:HHR851992 HRN851975:HRN851992 IBJ851975:IBJ851992 ILF851975:ILF851992 IVB851975:IVB851992 JEX851975:JEX851992 JOT851975:JOT851992 JYP851975:JYP851992 KIL851975:KIL851992 KSH851975:KSH851992 LCD851975:LCD851992 LLZ851975:LLZ851992 LVV851975:LVV851992 MFR851975:MFR851992 MPN851975:MPN851992 MZJ851975:MZJ851992 NJF851975:NJF851992 NTB851975:NTB851992 OCX851975:OCX851992 OMT851975:OMT851992 OWP851975:OWP851992 PGL851975:PGL851992 PQH851975:PQH851992 QAD851975:QAD851992 QJZ851975:QJZ851992 QTV851975:QTV851992 RDR851975:RDR851992 RNN851975:RNN851992 RXJ851975:RXJ851992 SHF851975:SHF851992 SRB851975:SRB851992 TAX851975:TAX851992 TKT851975:TKT851992 TUP851975:TUP851992 UEL851975:UEL851992 UOH851975:UOH851992 UYD851975:UYD851992 VHZ851975:VHZ851992 VRV851975:VRV851992 WBR851975:WBR851992 WLN851975:WLN851992 WVJ851975:WVJ851992 B917511:B917528 IX917511:IX917528 ST917511:ST917528 ACP917511:ACP917528 AML917511:AML917528 AWH917511:AWH917528 BGD917511:BGD917528 BPZ917511:BPZ917528 BZV917511:BZV917528 CJR917511:CJR917528 CTN917511:CTN917528 DDJ917511:DDJ917528 DNF917511:DNF917528 DXB917511:DXB917528 EGX917511:EGX917528 EQT917511:EQT917528 FAP917511:FAP917528 FKL917511:FKL917528 FUH917511:FUH917528 GED917511:GED917528 GNZ917511:GNZ917528 GXV917511:GXV917528 HHR917511:HHR917528 HRN917511:HRN917528 IBJ917511:IBJ917528 ILF917511:ILF917528 IVB917511:IVB917528 JEX917511:JEX917528 JOT917511:JOT917528 JYP917511:JYP917528 KIL917511:KIL917528 KSH917511:KSH917528 LCD917511:LCD917528 LLZ917511:LLZ917528 LVV917511:LVV917528 MFR917511:MFR917528 MPN917511:MPN917528 MZJ917511:MZJ917528 NJF917511:NJF917528 NTB917511:NTB917528 OCX917511:OCX917528 OMT917511:OMT917528 OWP917511:OWP917528 PGL917511:PGL917528 PQH917511:PQH917528 QAD917511:QAD917528 QJZ917511:QJZ917528 QTV917511:QTV917528 RDR917511:RDR917528 RNN917511:RNN917528 RXJ917511:RXJ917528 SHF917511:SHF917528 SRB917511:SRB917528 TAX917511:TAX917528 TKT917511:TKT917528 TUP917511:TUP917528 UEL917511:UEL917528 UOH917511:UOH917528 UYD917511:UYD917528 VHZ917511:VHZ917528 VRV917511:VRV917528 WBR917511:WBR917528 WLN917511:WLN917528 WVJ917511:WVJ917528" xr:uid="{00000000-0002-0000-2E00-000001000000}">
      <formula1>trung</formula1>
    </dataValidation>
  </dataValidation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321"/>
  <sheetViews>
    <sheetView topLeftCell="A17"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2220</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2221</v>
      </c>
      <c r="C13" s="425"/>
      <c r="D13" s="425"/>
      <c r="E13" s="425"/>
      <c r="F13" s="425"/>
      <c r="G13" s="73">
        <f>G14</f>
        <v>13216000</v>
      </c>
      <c r="H13" s="74"/>
    </row>
    <row r="14" spans="1:8" s="131" customFormat="1" ht="140.4">
      <c r="A14" s="123"/>
      <c r="B14" s="124" t="s">
        <v>2059</v>
      </c>
      <c r="C14" s="125" t="s">
        <v>1753</v>
      </c>
      <c r="D14" s="126">
        <v>5.6</v>
      </c>
      <c r="E14" s="127">
        <v>11800000</v>
      </c>
      <c r="F14" s="188">
        <v>0.2</v>
      </c>
      <c r="G14" s="129">
        <f>D14*E14*F14</f>
        <v>13216000</v>
      </c>
      <c r="H14" s="130"/>
    </row>
    <row r="15" spans="1:8" ht="27" customHeight="1">
      <c r="A15" s="75" t="s">
        <v>18</v>
      </c>
      <c r="B15" s="426" t="s">
        <v>1725</v>
      </c>
      <c r="C15" s="426"/>
      <c r="D15" s="426"/>
      <c r="E15" s="426"/>
      <c r="F15" s="426"/>
      <c r="G15" s="76">
        <f>SUM(G16:G25)</f>
        <v>3553411.5277866665</v>
      </c>
      <c r="H15" s="11"/>
    </row>
    <row r="16" spans="1:8" ht="31.2">
      <c r="A16" s="77">
        <v>1</v>
      </c>
      <c r="B16" s="78" t="s">
        <v>2222</v>
      </c>
      <c r="C16" s="14" t="s">
        <v>1754</v>
      </c>
      <c r="D16" s="132">
        <f>0.7*5.8*0.22</f>
        <v>0.89319999999999988</v>
      </c>
      <c r="E16" s="15">
        <v>1919493</v>
      </c>
      <c r="F16" s="187">
        <v>0.2</v>
      </c>
      <c r="G16" s="79">
        <f t="shared" ref="G16:G25" si="0">D16*E16*F16</f>
        <v>342898.22951999999</v>
      </c>
      <c r="H16" s="15"/>
    </row>
    <row r="17" spans="1:8" ht="15.6">
      <c r="A17" s="77"/>
      <c r="B17" s="78" t="s">
        <v>2223</v>
      </c>
      <c r="C17" s="14" t="s">
        <v>66</v>
      </c>
      <c r="D17" s="132">
        <f>0.7*5.8*2</f>
        <v>8.1199999999999992</v>
      </c>
      <c r="E17" s="15">
        <v>141099</v>
      </c>
      <c r="F17" s="187">
        <v>0.2</v>
      </c>
      <c r="G17" s="79">
        <f t="shared" si="0"/>
        <v>229144.77599999998</v>
      </c>
      <c r="H17" s="15"/>
    </row>
    <row r="18" spans="1:8" ht="30.6" customHeight="1">
      <c r="A18" s="77">
        <v>2</v>
      </c>
      <c r="B18" s="78" t="s">
        <v>2224</v>
      </c>
      <c r="C18" s="14" t="s">
        <v>66</v>
      </c>
      <c r="D18" s="132">
        <f>1.2*5.8</f>
        <v>6.96</v>
      </c>
      <c r="E18" s="15">
        <v>550000</v>
      </c>
      <c r="F18" s="187">
        <v>0.2</v>
      </c>
      <c r="G18" s="79">
        <f t="shared" si="0"/>
        <v>765600</v>
      </c>
      <c r="H18" s="15"/>
    </row>
    <row r="19" spans="1:8" ht="30.6" customHeight="1">
      <c r="A19" s="77">
        <v>3</v>
      </c>
      <c r="B19" s="78" t="s">
        <v>2225</v>
      </c>
      <c r="C19" s="14" t="s">
        <v>66</v>
      </c>
      <c r="D19" s="132">
        <f>2.4*4.5</f>
        <v>10.799999999999999</v>
      </c>
      <c r="E19" s="15">
        <v>379477</v>
      </c>
      <c r="F19" s="187">
        <v>0.2</v>
      </c>
      <c r="G19" s="79">
        <f t="shared" si="0"/>
        <v>819670.32</v>
      </c>
      <c r="H19" s="15"/>
    </row>
    <row r="20" spans="1:8" ht="30.6" customHeight="1">
      <c r="A20" s="77">
        <v>4</v>
      </c>
      <c r="B20" s="78" t="s">
        <v>2226</v>
      </c>
      <c r="C20" s="14" t="s">
        <v>66</v>
      </c>
      <c r="D20" s="132">
        <f>0.5*4.5</f>
        <v>2.25</v>
      </c>
      <c r="E20" s="15">
        <v>214934</v>
      </c>
      <c r="F20" s="187">
        <v>0.2</v>
      </c>
      <c r="G20" s="79">
        <f t="shared" si="0"/>
        <v>96720.3</v>
      </c>
      <c r="H20" s="15"/>
    </row>
    <row r="21" spans="1:8" ht="46.8">
      <c r="A21" s="77">
        <v>5</v>
      </c>
      <c r="B21" s="78" t="s">
        <v>2227</v>
      </c>
      <c r="C21" s="14" t="s">
        <v>1755</v>
      </c>
      <c r="D21" s="132">
        <f>(10.76/6)*2.9*2</f>
        <v>10.401333333333332</v>
      </c>
      <c r="E21" s="15">
        <v>19900</v>
      </c>
      <c r="F21" s="187">
        <v>0.2</v>
      </c>
      <c r="G21" s="79">
        <f t="shared" si="0"/>
        <v>41397.306666666664</v>
      </c>
      <c r="H21" s="15"/>
    </row>
    <row r="22" spans="1:8" ht="23.25" customHeight="1">
      <c r="A22" s="77">
        <v>6</v>
      </c>
      <c r="B22" s="78" t="s">
        <v>2228</v>
      </c>
      <c r="C22" s="14" t="s">
        <v>66</v>
      </c>
      <c r="D22" s="132">
        <f>(0.5*7.7)*2</f>
        <v>7.7</v>
      </c>
      <c r="E22" s="15">
        <v>379477</v>
      </c>
      <c r="F22" s="187">
        <v>0.2</v>
      </c>
      <c r="G22" s="79">
        <f t="shared" si="0"/>
        <v>584394.57999999996</v>
      </c>
      <c r="H22" s="15"/>
    </row>
    <row r="23" spans="1:8" ht="46.8">
      <c r="A23" s="77">
        <v>7</v>
      </c>
      <c r="B23" s="78" t="s">
        <v>2229</v>
      </c>
      <c r="C23" s="14" t="s">
        <v>1755</v>
      </c>
      <c r="D23" s="132">
        <f>(15.47/6)*3.3*2</f>
        <v>17.016999999999999</v>
      </c>
      <c r="E23" s="15">
        <v>19900</v>
      </c>
      <c r="F23" s="187">
        <v>0.2</v>
      </c>
      <c r="G23" s="79">
        <f t="shared" si="0"/>
        <v>67727.66</v>
      </c>
      <c r="H23" s="15"/>
    </row>
    <row r="24" spans="1:8" ht="30.6" customHeight="1">
      <c r="A24" s="77">
        <v>8</v>
      </c>
      <c r="B24" s="78" t="s">
        <v>2230</v>
      </c>
      <c r="C24" s="14" t="s">
        <v>1754</v>
      </c>
      <c r="D24" s="132">
        <f>(2*1.7*0.22)+(0.5*1.8*0.22)</f>
        <v>0.94599999999999995</v>
      </c>
      <c r="E24" s="15">
        <v>1919493</v>
      </c>
      <c r="F24" s="187">
        <v>0.2</v>
      </c>
      <c r="G24" s="79">
        <f t="shared" si="0"/>
        <v>363168.07559999998</v>
      </c>
      <c r="H24" s="15"/>
    </row>
    <row r="25" spans="1:8" ht="31.2">
      <c r="A25" s="77"/>
      <c r="B25" s="78" t="s">
        <v>2231</v>
      </c>
      <c r="C25" s="14" t="s">
        <v>66</v>
      </c>
      <c r="D25" s="132">
        <f>(2*1.7*2)+(0.5*1.8*2)</f>
        <v>8.6</v>
      </c>
      <c r="E25" s="15">
        <v>141099</v>
      </c>
      <c r="F25" s="187">
        <v>0.2</v>
      </c>
      <c r="G25" s="79">
        <f t="shared" si="0"/>
        <v>242690.28</v>
      </c>
      <c r="H25" s="15"/>
    </row>
    <row r="26" spans="1:8" ht="24" customHeight="1">
      <c r="A26" s="75" t="s">
        <v>19</v>
      </c>
      <c r="B26" s="426" t="s">
        <v>1727</v>
      </c>
      <c r="C26" s="426"/>
      <c r="D26" s="426"/>
      <c r="E26" s="426"/>
      <c r="F26" s="426"/>
      <c r="G26" s="76">
        <f>G27</f>
        <v>466500</v>
      </c>
      <c r="H26" s="11"/>
    </row>
    <row r="27" spans="1:8" s="12" customFormat="1" ht="34.200000000000003" customHeight="1">
      <c r="A27" s="94">
        <v>1</v>
      </c>
      <c r="B27" s="13" t="s">
        <v>819</v>
      </c>
      <c r="C27" s="14" t="s">
        <v>1724</v>
      </c>
      <c r="D27" s="14">
        <v>2</v>
      </c>
      <c r="E27" s="79" t="str">
        <f>VLOOKUP(B27,'[20]Đơn giá cây cối'!$A$2:$C$1361,3,0)</f>
        <v>933.000</v>
      </c>
      <c r="F27" s="132">
        <v>0.25</v>
      </c>
      <c r="G27" s="79">
        <f>D27*E27*F27</f>
        <v>466500</v>
      </c>
      <c r="H27" s="95"/>
    </row>
    <row r="28" spans="1:8" ht="15.6">
      <c r="A28" s="80"/>
      <c r="B28" s="427" t="s">
        <v>62</v>
      </c>
      <c r="C28" s="428"/>
      <c r="D28" s="428"/>
      <c r="E28" s="428"/>
      <c r="F28" s="429"/>
      <c r="G28" s="81">
        <f>G13+G15+G26</f>
        <v>17235911.527786665</v>
      </c>
      <c r="H28" s="82"/>
    </row>
    <row r="29" spans="1:8" ht="15.6">
      <c r="A29" s="80"/>
      <c r="B29" s="427" t="s">
        <v>1726</v>
      </c>
      <c r="C29" s="428"/>
      <c r="D29" s="428"/>
      <c r="E29" s="428"/>
      <c r="F29" s="429"/>
      <c r="G29" s="81">
        <f>ROUND(G28,-3)</f>
        <v>17236000</v>
      </c>
      <c r="H29" s="82"/>
    </row>
    <row r="30" spans="1:8" ht="15.6">
      <c r="A30" s="430" t="e">
        <f ca="1">[21]!uni(G29)</f>
        <v>#NAME?</v>
      </c>
      <c r="B30" s="431"/>
      <c r="C30" s="431"/>
      <c r="D30" s="431"/>
      <c r="E30" s="431"/>
      <c r="F30" s="431"/>
      <c r="G30" s="431"/>
      <c r="H30" s="432"/>
    </row>
    <row r="31" spans="1:8">
      <c r="A31" s="17"/>
      <c r="B31" s="17"/>
      <c r="C31" s="97"/>
      <c r="D31" s="20"/>
      <c r="E31" s="19"/>
      <c r="F31" s="97"/>
      <c r="G31" s="19"/>
      <c r="H31" s="17"/>
    </row>
    <row r="32" spans="1:8" s="109" customFormat="1" ht="16.5" customHeight="1">
      <c r="A32" s="108"/>
      <c r="B32" s="108"/>
      <c r="C32" s="424" t="s">
        <v>1742</v>
      </c>
      <c r="D32" s="424"/>
      <c r="E32" s="424"/>
      <c r="F32" s="424"/>
      <c r="G32" s="424"/>
      <c r="H32" s="424"/>
    </row>
    <row r="33" spans="1:8" s="109" customFormat="1" ht="16.5" customHeight="1">
      <c r="A33" s="423" t="s">
        <v>63</v>
      </c>
      <c r="B33" s="423"/>
      <c r="C33" s="424" t="s">
        <v>1743</v>
      </c>
      <c r="D33" s="424"/>
      <c r="E33" s="424"/>
      <c r="F33" s="424" t="s">
        <v>1744</v>
      </c>
      <c r="G33" s="424"/>
      <c r="H33" s="424"/>
    </row>
    <row r="34" spans="1:8" s="109" customFormat="1" ht="15.6">
      <c r="A34" s="108"/>
      <c r="B34" s="108"/>
      <c r="C34" s="108"/>
      <c r="D34" s="110"/>
      <c r="E34" s="111"/>
      <c r="F34" s="112"/>
      <c r="G34" s="111"/>
      <c r="H34" s="113"/>
    </row>
    <row r="35" spans="1:8" s="109" customFormat="1" ht="15.6">
      <c r="A35" s="108"/>
      <c r="B35" s="108"/>
      <c r="C35" s="108"/>
      <c r="D35" s="110"/>
      <c r="E35" s="111"/>
      <c r="F35" s="112"/>
      <c r="G35" s="114"/>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6.5" customHeight="1">
      <c r="A39" s="108"/>
      <c r="B39" s="198" t="s">
        <v>64</v>
      </c>
      <c r="C39" s="424"/>
      <c r="D39" s="424"/>
      <c r="E39" s="424"/>
      <c r="F39" s="424" t="s">
        <v>1745</v>
      </c>
      <c r="G39" s="424"/>
      <c r="H39" s="424"/>
    </row>
    <row r="40" spans="1:8" s="109" customFormat="1" ht="15.6">
      <c r="A40" s="108"/>
      <c r="B40" s="198"/>
      <c r="C40" s="199"/>
      <c r="D40" s="199"/>
      <c r="E40" s="199"/>
      <c r="F40" s="199"/>
      <c r="G40" s="199"/>
      <c r="H40" s="199"/>
    </row>
    <row r="41" spans="1:8" s="109" customFormat="1" ht="15" customHeight="1">
      <c r="A41" s="424" t="s">
        <v>1746</v>
      </c>
      <c r="B41" s="424"/>
      <c r="C41" s="424"/>
      <c r="D41" s="424"/>
      <c r="E41" s="424" t="s">
        <v>1747</v>
      </c>
      <c r="F41" s="424"/>
      <c r="G41" s="424"/>
      <c r="H41" s="424"/>
    </row>
    <row r="42" spans="1:8" s="109" customFormat="1" ht="33.6" customHeight="1">
      <c r="A42" s="424" t="s">
        <v>1748</v>
      </c>
      <c r="B42" s="424"/>
      <c r="C42" s="424"/>
      <c r="D42" s="424"/>
      <c r="E42" s="424" t="s">
        <v>65</v>
      </c>
      <c r="F42" s="424"/>
      <c r="G42" s="424"/>
      <c r="H42" s="424"/>
    </row>
    <row r="43" spans="1:8" s="109" customFormat="1" ht="15.6">
      <c r="A43" s="108"/>
      <c r="B43" s="108"/>
      <c r="C43" s="108"/>
      <c r="D43" s="110"/>
      <c r="E43" s="111"/>
      <c r="F43" s="112"/>
      <c r="G43" s="111"/>
      <c r="H43" s="113"/>
    </row>
    <row r="44" spans="1:8" s="109" customFormat="1" ht="15.6">
      <c r="A44" s="108"/>
      <c r="B44" s="108"/>
      <c r="C44" s="108"/>
      <c r="D44" s="110"/>
      <c r="E44" s="111"/>
      <c r="F44" s="112"/>
      <c r="G44" s="111"/>
      <c r="H44" s="113"/>
    </row>
    <row r="45" spans="1:8" s="109" customFormat="1" ht="15.6">
      <c r="A45" s="108"/>
      <c r="B45" s="108"/>
      <c r="C45" s="108"/>
      <c r="D45" s="110"/>
      <c r="E45" s="111"/>
      <c r="F45" s="112"/>
      <c r="G45" s="111"/>
      <c r="H45" s="113"/>
    </row>
    <row r="46" spans="1:8" s="109" customFormat="1" ht="15.6">
      <c r="A46" s="108"/>
      <c r="B46" s="108"/>
      <c r="C46" s="108"/>
      <c r="D46" s="110"/>
      <c r="E46" s="111"/>
      <c r="F46" s="112"/>
      <c r="G46" s="111"/>
      <c r="H46" s="113"/>
    </row>
    <row r="47" spans="1:8" s="109" customFormat="1" ht="15.6">
      <c r="A47" s="108"/>
      <c r="B47" s="108"/>
      <c r="C47" s="108"/>
      <c r="D47" s="110"/>
      <c r="E47" s="111"/>
      <c r="F47" s="112"/>
      <c r="G47" s="111"/>
      <c r="H47" s="113"/>
    </row>
    <row r="48" spans="1:8" s="109" customFormat="1" ht="15.6" customHeight="1">
      <c r="A48" s="108"/>
      <c r="B48" s="108"/>
      <c r="C48" s="108"/>
      <c r="D48" s="115"/>
      <c r="E48" s="439" t="s">
        <v>1749</v>
      </c>
      <c r="F48" s="439"/>
      <c r="G48" s="439"/>
      <c r="H48" s="439"/>
    </row>
    <row r="49" spans="1:8" s="109" customFormat="1" ht="16.5" customHeight="1">
      <c r="A49" s="424" t="s">
        <v>1751</v>
      </c>
      <c r="B49" s="424"/>
      <c r="C49" s="424"/>
      <c r="D49" s="424"/>
      <c r="E49" s="424" t="s">
        <v>1750</v>
      </c>
      <c r="F49" s="424"/>
      <c r="G49" s="424"/>
      <c r="H49" s="424"/>
    </row>
    <row r="50" spans="1:8" s="118" customFormat="1" ht="16.2" customHeight="1">
      <c r="A50" s="440"/>
      <c r="B50" s="440"/>
      <c r="C50" s="116"/>
      <c r="D50" s="117"/>
      <c r="E50" s="440"/>
      <c r="F50" s="440"/>
      <c r="G50" s="440"/>
      <c r="H50" s="440"/>
    </row>
    <row r="51" spans="1:8" s="118" customFormat="1" ht="15.75" customHeight="1">
      <c r="A51" s="440"/>
      <c r="B51" s="440"/>
      <c r="C51" s="440"/>
      <c r="D51" s="440"/>
      <c r="E51" s="440"/>
      <c r="F51" s="440"/>
      <c r="G51" s="440"/>
      <c r="H51" s="440"/>
    </row>
    <row r="52" spans="1:8" s="98" customFormat="1" ht="16.2" customHeight="1">
      <c r="A52" s="436"/>
      <c r="B52" s="436"/>
      <c r="C52" s="436"/>
      <c r="D52" s="436"/>
      <c r="E52" s="119"/>
      <c r="F52" s="120"/>
      <c r="G52" s="119"/>
      <c r="H52" s="121"/>
    </row>
    <row r="53" spans="1:8" s="98" customFormat="1" ht="16.2" customHeight="1">
      <c r="A53" s="436"/>
      <c r="B53" s="436"/>
      <c r="C53" s="436"/>
      <c r="D53" s="436"/>
      <c r="E53" s="119"/>
      <c r="F53" s="120"/>
      <c r="G53" s="119"/>
      <c r="H53" s="121"/>
    </row>
    <row r="54" spans="1:8" s="98" customFormat="1" ht="16.2" customHeight="1">
      <c r="A54" s="121"/>
      <c r="B54" s="121"/>
      <c r="C54" s="121"/>
      <c r="D54" s="122"/>
      <c r="E54" s="119"/>
      <c r="F54" s="120"/>
      <c r="G54" s="119"/>
      <c r="H54" s="121"/>
    </row>
    <row r="55" spans="1:8" ht="16.2" customHeight="1">
      <c r="A55" s="83"/>
      <c r="B55" s="83"/>
      <c r="C55" s="83"/>
      <c r="D55" s="84"/>
      <c r="E55" s="85"/>
      <c r="F55" s="86"/>
      <c r="G55" s="85"/>
      <c r="H55" s="83"/>
    </row>
    <row r="56" spans="1:8" ht="16.2" customHeight="1">
      <c r="A56" s="83"/>
      <c r="B56" s="83"/>
      <c r="C56" s="83"/>
      <c r="D56" s="84"/>
      <c r="E56" s="85"/>
      <c r="F56" s="86"/>
      <c r="G56" s="85"/>
      <c r="H56" s="83"/>
    </row>
    <row r="57" spans="1:8" ht="16.2" customHeight="1">
      <c r="A57" s="83"/>
      <c r="B57" s="83"/>
      <c r="C57" s="83"/>
      <c r="D57" s="84"/>
      <c r="E57" s="85"/>
      <c r="F57" s="86"/>
      <c r="G57" s="85"/>
      <c r="H57" s="83"/>
    </row>
    <row r="58" spans="1:8" ht="16.2" customHeight="1">
      <c r="A58" s="83"/>
      <c r="B58" s="83"/>
      <c r="C58" s="83"/>
      <c r="D58" s="84"/>
      <c r="E58" s="437"/>
      <c r="F58" s="437"/>
      <c r="G58" s="437"/>
      <c r="H58" s="437"/>
    </row>
    <row r="59" spans="1:8" ht="20.25" customHeight="1">
      <c r="A59" s="438"/>
      <c r="B59" s="438"/>
      <c r="C59" s="438"/>
      <c r="D59" s="438"/>
      <c r="E59" s="438"/>
      <c r="F59" s="438"/>
      <c r="G59" s="438"/>
      <c r="H59" s="438"/>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D73" s="18"/>
      <c r="E73" s="19"/>
      <c r="F73" s="97"/>
      <c r="G73" s="19"/>
    </row>
    <row r="74" spans="3:7" s="17" customFormat="1" ht="16.2" customHeight="1">
      <c r="D74" s="18"/>
      <c r="E74" s="19"/>
      <c r="F74" s="97"/>
      <c r="G74" s="19"/>
    </row>
    <row r="75" spans="3:7" s="17" customFormat="1" ht="16.2" customHeight="1">
      <c r="D75" s="18"/>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s="17" customFormat="1" ht="16.2" customHeight="1">
      <c r="C87" s="97"/>
      <c r="D87" s="20"/>
      <c r="E87" s="19"/>
      <c r="F87" s="97"/>
      <c r="G87" s="19"/>
    </row>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row r="235"/>
    <row r="236"/>
    <row r="237"/>
    <row r="238"/>
    <row r="239"/>
    <row r="240"/>
    <row r="241"/>
    <row r="242"/>
    <row r="243"/>
    <row r="244"/>
    <row r="245"/>
    <row r="246"/>
    <row r="247"/>
    <row r="248"/>
    <row r="249"/>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sheetData>
  <mergeCells count="40">
    <mergeCell ref="A4:B4"/>
    <mergeCell ref="C4:H4"/>
    <mergeCell ref="A1:B1"/>
    <mergeCell ref="C1:H1"/>
    <mergeCell ref="A2:B2"/>
    <mergeCell ref="C2:H2"/>
    <mergeCell ref="A3:B3"/>
    <mergeCell ref="A30:H30"/>
    <mergeCell ref="A6:H6"/>
    <mergeCell ref="A7:H7"/>
    <mergeCell ref="A8:H8"/>
    <mergeCell ref="A9:H9"/>
    <mergeCell ref="A10:H10"/>
    <mergeCell ref="A11:H11"/>
    <mergeCell ref="B13:F13"/>
    <mergeCell ref="B15:F15"/>
    <mergeCell ref="B26:F26"/>
    <mergeCell ref="B28:F28"/>
    <mergeCell ref="B29:F29"/>
    <mergeCell ref="A49:D49"/>
    <mergeCell ref="E49:H49"/>
    <mergeCell ref="C32:H32"/>
    <mergeCell ref="A33:B33"/>
    <mergeCell ref="C33:E33"/>
    <mergeCell ref="F33:H33"/>
    <mergeCell ref="C39:E39"/>
    <mergeCell ref="F39:H39"/>
    <mergeCell ref="A41:D41"/>
    <mergeCell ref="E41:H41"/>
    <mergeCell ref="A42:D42"/>
    <mergeCell ref="E42:H42"/>
    <mergeCell ref="E48:H48"/>
    <mergeCell ref="E58:H58"/>
    <mergeCell ref="A59:H59"/>
    <mergeCell ref="A50:B50"/>
    <mergeCell ref="E50:H50"/>
    <mergeCell ref="A51:D51"/>
    <mergeCell ref="E51:H51"/>
    <mergeCell ref="A52:D52"/>
    <mergeCell ref="A53:D53"/>
  </mergeCells>
  <dataValidations count="2">
    <dataValidation type="list" allowBlank="1" showInputMessage="1" showErrorMessage="1" sqref="WVJ983051:WVJ983068 B983051:B983068 IX983051:IX983068 ST983051:ST983068 ACP983051:ACP983068 AML983051:AML983068 AWH983051:AWH983068 BGD983051:BGD983068 BPZ983051:BPZ983068 BZV983051:BZV983068 CJR983051:CJR983068 CTN983051:CTN983068 DDJ983051:DDJ983068 DNF983051:DNF983068 DXB983051:DXB983068 EGX983051:EGX983068 EQT983051:EQT983068 FAP983051:FAP983068 FKL983051:FKL983068 FUH983051:FUH983068 GED983051:GED983068 GNZ983051:GNZ983068 GXV983051:GXV983068 HHR983051:HHR983068 HRN983051:HRN983068 IBJ983051:IBJ983068 ILF983051:ILF983068 IVB983051:IVB983068 JEX983051:JEX983068 JOT983051:JOT983068 JYP983051:JYP983068 KIL983051:KIL983068 KSH983051:KSH983068 LCD983051:LCD983068 LLZ983051:LLZ983068 LVV983051:LVV983068 MFR983051:MFR983068 MPN983051:MPN983068 MZJ983051:MZJ983068 NJF983051:NJF983068 NTB983051:NTB983068 OCX983051:OCX983068 OMT983051:OMT983068 OWP983051:OWP983068 PGL983051:PGL983068 PQH983051:PQH983068 QAD983051:QAD983068 QJZ983051:QJZ983068 QTV983051:QTV983068 RDR983051:RDR983068 RNN983051:RNN983068 RXJ983051:RXJ983068 SHF983051:SHF983068 SRB983051:SRB983068 TAX983051:TAX983068 TKT983051:TKT983068 TUP983051:TUP983068 UEL983051:UEL983068 UOH983051:UOH983068 UYD983051:UYD983068 VHZ983051:VHZ983068 VRV983051:VRV983068 WBR983051:WBR983068 WLN983051:WLN983068 B65547:B65564 IX65547:IX65564 ST65547:ST65564 ACP65547:ACP65564 AML65547:AML65564 AWH65547:AWH65564 BGD65547:BGD65564 BPZ65547:BPZ65564 BZV65547:BZV65564 CJR65547:CJR65564 CTN65547:CTN65564 DDJ65547:DDJ65564 DNF65547:DNF65564 DXB65547:DXB65564 EGX65547:EGX65564 EQT65547:EQT65564 FAP65547:FAP65564 FKL65547:FKL65564 FUH65547:FUH65564 GED65547:GED65564 GNZ65547:GNZ65564 GXV65547:GXV65564 HHR65547:HHR65564 HRN65547:HRN65564 IBJ65547:IBJ65564 ILF65547:ILF65564 IVB65547:IVB65564 JEX65547:JEX65564 JOT65547:JOT65564 JYP65547:JYP65564 KIL65547:KIL65564 KSH65547:KSH65564 LCD65547:LCD65564 LLZ65547:LLZ65564 LVV65547:LVV65564 MFR65547:MFR65564 MPN65547:MPN65564 MZJ65547:MZJ65564 NJF65547:NJF65564 NTB65547:NTB65564 OCX65547:OCX65564 OMT65547:OMT65564 OWP65547:OWP65564 PGL65547:PGL65564 PQH65547:PQH65564 QAD65547:QAD65564 QJZ65547:QJZ65564 QTV65547:QTV65564 RDR65547:RDR65564 RNN65547:RNN65564 RXJ65547:RXJ65564 SHF65547:SHF65564 SRB65547:SRB65564 TAX65547:TAX65564 TKT65547:TKT65564 TUP65547:TUP65564 UEL65547:UEL65564 UOH65547:UOH65564 UYD65547:UYD65564 VHZ65547:VHZ65564 VRV65547:VRV65564 WBR65547:WBR65564 WLN65547:WLN65564 WVJ65547:WVJ65564 B131083:B131100 IX131083:IX131100 ST131083:ST131100 ACP131083:ACP131100 AML131083:AML131100 AWH131083:AWH131100 BGD131083:BGD131100 BPZ131083:BPZ131100 BZV131083:BZV131100 CJR131083:CJR131100 CTN131083:CTN131100 DDJ131083:DDJ131100 DNF131083:DNF131100 DXB131083:DXB131100 EGX131083:EGX131100 EQT131083:EQT131100 FAP131083:FAP131100 FKL131083:FKL131100 FUH131083:FUH131100 GED131083:GED131100 GNZ131083:GNZ131100 GXV131083:GXV131100 HHR131083:HHR131100 HRN131083:HRN131100 IBJ131083:IBJ131100 ILF131083:ILF131100 IVB131083:IVB131100 JEX131083:JEX131100 JOT131083:JOT131100 JYP131083:JYP131100 KIL131083:KIL131100 KSH131083:KSH131100 LCD131083:LCD131100 LLZ131083:LLZ131100 LVV131083:LVV131100 MFR131083:MFR131100 MPN131083:MPN131100 MZJ131083:MZJ131100 NJF131083:NJF131100 NTB131083:NTB131100 OCX131083:OCX131100 OMT131083:OMT131100 OWP131083:OWP131100 PGL131083:PGL131100 PQH131083:PQH131100 QAD131083:QAD131100 QJZ131083:QJZ131100 QTV131083:QTV131100 RDR131083:RDR131100 RNN131083:RNN131100 RXJ131083:RXJ131100 SHF131083:SHF131100 SRB131083:SRB131100 TAX131083:TAX131100 TKT131083:TKT131100 TUP131083:TUP131100 UEL131083:UEL131100 UOH131083:UOH131100 UYD131083:UYD131100 VHZ131083:VHZ131100 VRV131083:VRV131100 WBR131083:WBR131100 WLN131083:WLN131100 WVJ131083:WVJ131100 B196619:B196636 IX196619:IX196636 ST196619:ST196636 ACP196619:ACP196636 AML196619:AML196636 AWH196619:AWH196636 BGD196619:BGD196636 BPZ196619:BPZ196636 BZV196619:BZV196636 CJR196619:CJR196636 CTN196619:CTN196636 DDJ196619:DDJ196636 DNF196619:DNF196636 DXB196619:DXB196636 EGX196619:EGX196636 EQT196619:EQT196636 FAP196619:FAP196636 FKL196619:FKL196636 FUH196619:FUH196636 GED196619:GED196636 GNZ196619:GNZ196636 GXV196619:GXV196636 HHR196619:HHR196636 HRN196619:HRN196636 IBJ196619:IBJ196636 ILF196619:ILF196636 IVB196619:IVB196636 JEX196619:JEX196636 JOT196619:JOT196636 JYP196619:JYP196636 KIL196619:KIL196636 KSH196619:KSH196636 LCD196619:LCD196636 LLZ196619:LLZ196636 LVV196619:LVV196636 MFR196619:MFR196636 MPN196619:MPN196636 MZJ196619:MZJ196636 NJF196619:NJF196636 NTB196619:NTB196636 OCX196619:OCX196636 OMT196619:OMT196636 OWP196619:OWP196636 PGL196619:PGL196636 PQH196619:PQH196636 QAD196619:QAD196636 QJZ196619:QJZ196636 QTV196619:QTV196636 RDR196619:RDR196636 RNN196619:RNN196636 RXJ196619:RXJ196636 SHF196619:SHF196636 SRB196619:SRB196636 TAX196619:TAX196636 TKT196619:TKT196636 TUP196619:TUP196636 UEL196619:UEL196636 UOH196619:UOH196636 UYD196619:UYD196636 VHZ196619:VHZ196636 VRV196619:VRV196636 WBR196619:WBR196636 WLN196619:WLN196636 WVJ196619:WVJ196636 B262155:B262172 IX262155:IX262172 ST262155:ST262172 ACP262155:ACP262172 AML262155:AML262172 AWH262155:AWH262172 BGD262155:BGD262172 BPZ262155:BPZ262172 BZV262155:BZV262172 CJR262155:CJR262172 CTN262155:CTN262172 DDJ262155:DDJ262172 DNF262155:DNF262172 DXB262155:DXB262172 EGX262155:EGX262172 EQT262155:EQT262172 FAP262155:FAP262172 FKL262155:FKL262172 FUH262155:FUH262172 GED262155:GED262172 GNZ262155:GNZ262172 GXV262155:GXV262172 HHR262155:HHR262172 HRN262155:HRN262172 IBJ262155:IBJ262172 ILF262155:ILF262172 IVB262155:IVB262172 JEX262155:JEX262172 JOT262155:JOT262172 JYP262155:JYP262172 KIL262155:KIL262172 KSH262155:KSH262172 LCD262155:LCD262172 LLZ262155:LLZ262172 LVV262155:LVV262172 MFR262155:MFR262172 MPN262155:MPN262172 MZJ262155:MZJ262172 NJF262155:NJF262172 NTB262155:NTB262172 OCX262155:OCX262172 OMT262155:OMT262172 OWP262155:OWP262172 PGL262155:PGL262172 PQH262155:PQH262172 QAD262155:QAD262172 QJZ262155:QJZ262172 QTV262155:QTV262172 RDR262155:RDR262172 RNN262155:RNN262172 RXJ262155:RXJ262172 SHF262155:SHF262172 SRB262155:SRB262172 TAX262155:TAX262172 TKT262155:TKT262172 TUP262155:TUP262172 UEL262155:UEL262172 UOH262155:UOH262172 UYD262155:UYD262172 VHZ262155:VHZ262172 VRV262155:VRV262172 WBR262155:WBR262172 WLN262155:WLN262172 WVJ262155:WVJ262172 B327691:B327708 IX327691:IX327708 ST327691:ST327708 ACP327691:ACP327708 AML327691:AML327708 AWH327691:AWH327708 BGD327691:BGD327708 BPZ327691:BPZ327708 BZV327691:BZV327708 CJR327691:CJR327708 CTN327691:CTN327708 DDJ327691:DDJ327708 DNF327691:DNF327708 DXB327691:DXB327708 EGX327691:EGX327708 EQT327691:EQT327708 FAP327691:FAP327708 FKL327691:FKL327708 FUH327691:FUH327708 GED327691:GED327708 GNZ327691:GNZ327708 GXV327691:GXV327708 HHR327691:HHR327708 HRN327691:HRN327708 IBJ327691:IBJ327708 ILF327691:ILF327708 IVB327691:IVB327708 JEX327691:JEX327708 JOT327691:JOT327708 JYP327691:JYP327708 KIL327691:KIL327708 KSH327691:KSH327708 LCD327691:LCD327708 LLZ327691:LLZ327708 LVV327691:LVV327708 MFR327691:MFR327708 MPN327691:MPN327708 MZJ327691:MZJ327708 NJF327691:NJF327708 NTB327691:NTB327708 OCX327691:OCX327708 OMT327691:OMT327708 OWP327691:OWP327708 PGL327691:PGL327708 PQH327691:PQH327708 QAD327691:QAD327708 QJZ327691:QJZ327708 QTV327691:QTV327708 RDR327691:RDR327708 RNN327691:RNN327708 RXJ327691:RXJ327708 SHF327691:SHF327708 SRB327691:SRB327708 TAX327691:TAX327708 TKT327691:TKT327708 TUP327691:TUP327708 UEL327691:UEL327708 UOH327691:UOH327708 UYD327691:UYD327708 VHZ327691:VHZ327708 VRV327691:VRV327708 WBR327691:WBR327708 WLN327691:WLN327708 WVJ327691:WVJ327708 B393227:B393244 IX393227:IX393244 ST393227:ST393244 ACP393227:ACP393244 AML393227:AML393244 AWH393227:AWH393244 BGD393227:BGD393244 BPZ393227:BPZ393244 BZV393227:BZV393244 CJR393227:CJR393244 CTN393227:CTN393244 DDJ393227:DDJ393244 DNF393227:DNF393244 DXB393227:DXB393244 EGX393227:EGX393244 EQT393227:EQT393244 FAP393227:FAP393244 FKL393227:FKL393244 FUH393227:FUH393244 GED393227:GED393244 GNZ393227:GNZ393244 GXV393227:GXV393244 HHR393227:HHR393244 HRN393227:HRN393244 IBJ393227:IBJ393244 ILF393227:ILF393244 IVB393227:IVB393244 JEX393227:JEX393244 JOT393227:JOT393244 JYP393227:JYP393244 KIL393227:KIL393244 KSH393227:KSH393244 LCD393227:LCD393244 LLZ393227:LLZ393244 LVV393227:LVV393244 MFR393227:MFR393244 MPN393227:MPN393244 MZJ393227:MZJ393244 NJF393227:NJF393244 NTB393227:NTB393244 OCX393227:OCX393244 OMT393227:OMT393244 OWP393227:OWP393244 PGL393227:PGL393244 PQH393227:PQH393244 QAD393227:QAD393244 QJZ393227:QJZ393244 QTV393227:QTV393244 RDR393227:RDR393244 RNN393227:RNN393244 RXJ393227:RXJ393244 SHF393227:SHF393244 SRB393227:SRB393244 TAX393227:TAX393244 TKT393227:TKT393244 TUP393227:TUP393244 UEL393227:UEL393244 UOH393227:UOH393244 UYD393227:UYD393244 VHZ393227:VHZ393244 VRV393227:VRV393244 WBR393227:WBR393244 WLN393227:WLN393244 WVJ393227:WVJ393244 B458763:B458780 IX458763:IX458780 ST458763:ST458780 ACP458763:ACP458780 AML458763:AML458780 AWH458763:AWH458780 BGD458763:BGD458780 BPZ458763:BPZ458780 BZV458763:BZV458780 CJR458763:CJR458780 CTN458763:CTN458780 DDJ458763:DDJ458780 DNF458763:DNF458780 DXB458763:DXB458780 EGX458763:EGX458780 EQT458763:EQT458780 FAP458763:FAP458780 FKL458763:FKL458780 FUH458763:FUH458780 GED458763:GED458780 GNZ458763:GNZ458780 GXV458763:GXV458780 HHR458763:HHR458780 HRN458763:HRN458780 IBJ458763:IBJ458780 ILF458763:ILF458780 IVB458763:IVB458780 JEX458763:JEX458780 JOT458763:JOT458780 JYP458763:JYP458780 KIL458763:KIL458780 KSH458763:KSH458780 LCD458763:LCD458780 LLZ458763:LLZ458780 LVV458763:LVV458780 MFR458763:MFR458780 MPN458763:MPN458780 MZJ458763:MZJ458780 NJF458763:NJF458780 NTB458763:NTB458780 OCX458763:OCX458780 OMT458763:OMT458780 OWP458763:OWP458780 PGL458763:PGL458780 PQH458763:PQH458780 QAD458763:QAD458780 QJZ458763:QJZ458780 QTV458763:QTV458780 RDR458763:RDR458780 RNN458763:RNN458780 RXJ458763:RXJ458780 SHF458763:SHF458780 SRB458763:SRB458780 TAX458763:TAX458780 TKT458763:TKT458780 TUP458763:TUP458780 UEL458763:UEL458780 UOH458763:UOH458780 UYD458763:UYD458780 VHZ458763:VHZ458780 VRV458763:VRV458780 WBR458763:WBR458780 WLN458763:WLN458780 WVJ458763:WVJ458780 B524299:B524316 IX524299:IX524316 ST524299:ST524316 ACP524299:ACP524316 AML524299:AML524316 AWH524299:AWH524316 BGD524299:BGD524316 BPZ524299:BPZ524316 BZV524299:BZV524316 CJR524299:CJR524316 CTN524299:CTN524316 DDJ524299:DDJ524316 DNF524299:DNF524316 DXB524299:DXB524316 EGX524299:EGX524316 EQT524299:EQT524316 FAP524299:FAP524316 FKL524299:FKL524316 FUH524299:FUH524316 GED524299:GED524316 GNZ524299:GNZ524316 GXV524299:GXV524316 HHR524299:HHR524316 HRN524299:HRN524316 IBJ524299:IBJ524316 ILF524299:ILF524316 IVB524299:IVB524316 JEX524299:JEX524316 JOT524299:JOT524316 JYP524299:JYP524316 KIL524299:KIL524316 KSH524299:KSH524316 LCD524299:LCD524316 LLZ524299:LLZ524316 LVV524299:LVV524316 MFR524299:MFR524316 MPN524299:MPN524316 MZJ524299:MZJ524316 NJF524299:NJF524316 NTB524299:NTB524316 OCX524299:OCX524316 OMT524299:OMT524316 OWP524299:OWP524316 PGL524299:PGL524316 PQH524299:PQH524316 QAD524299:QAD524316 QJZ524299:QJZ524316 QTV524299:QTV524316 RDR524299:RDR524316 RNN524299:RNN524316 RXJ524299:RXJ524316 SHF524299:SHF524316 SRB524299:SRB524316 TAX524299:TAX524316 TKT524299:TKT524316 TUP524299:TUP524316 UEL524299:UEL524316 UOH524299:UOH524316 UYD524299:UYD524316 VHZ524299:VHZ524316 VRV524299:VRV524316 WBR524299:WBR524316 WLN524299:WLN524316 WVJ524299:WVJ524316 B589835:B589852 IX589835:IX589852 ST589835:ST589852 ACP589835:ACP589852 AML589835:AML589852 AWH589835:AWH589852 BGD589835:BGD589852 BPZ589835:BPZ589852 BZV589835:BZV589852 CJR589835:CJR589852 CTN589835:CTN589852 DDJ589835:DDJ589852 DNF589835:DNF589852 DXB589835:DXB589852 EGX589835:EGX589852 EQT589835:EQT589852 FAP589835:FAP589852 FKL589835:FKL589852 FUH589835:FUH589852 GED589835:GED589852 GNZ589835:GNZ589852 GXV589835:GXV589852 HHR589835:HHR589852 HRN589835:HRN589852 IBJ589835:IBJ589852 ILF589835:ILF589852 IVB589835:IVB589852 JEX589835:JEX589852 JOT589835:JOT589852 JYP589835:JYP589852 KIL589835:KIL589852 KSH589835:KSH589852 LCD589835:LCD589852 LLZ589835:LLZ589852 LVV589835:LVV589852 MFR589835:MFR589852 MPN589835:MPN589852 MZJ589835:MZJ589852 NJF589835:NJF589852 NTB589835:NTB589852 OCX589835:OCX589852 OMT589835:OMT589852 OWP589835:OWP589852 PGL589835:PGL589852 PQH589835:PQH589852 QAD589835:QAD589852 QJZ589835:QJZ589852 QTV589835:QTV589852 RDR589835:RDR589852 RNN589835:RNN589852 RXJ589835:RXJ589852 SHF589835:SHF589852 SRB589835:SRB589852 TAX589835:TAX589852 TKT589835:TKT589852 TUP589835:TUP589852 UEL589835:UEL589852 UOH589835:UOH589852 UYD589835:UYD589852 VHZ589835:VHZ589852 VRV589835:VRV589852 WBR589835:WBR589852 WLN589835:WLN589852 WVJ589835:WVJ589852 B655371:B655388 IX655371:IX655388 ST655371:ST655388 ACP655371:ACP655388 AML655371:AML655388 AWH655371:AWH655388 BGD655371:BGD655388 BPZ655371:BPZ655388 BZV655371:BZV655388 CJR655371:CJR655388 CTN655371:CTN655388 DDJ655371:DDJ655388 DNF655371:DNF655388 DXB655371:DXB655388 EGX655371:EGX655388 EQT655371:EQT655388 FAP655371:FAP655388 FKL655371:FKL655388 FUH655371:FUH655388 GED655371:GED655388 GNZ655371:GNZ655388 GXV655371:GXV655388 HHR655371:HHR655388 HRN655371:HRN655388 IBJ655371:IBJ655388 ILF655371:ILF655388 IVB655371:IVB655388 JEX655371:JEX655388 JOT655371:JOT655388 JYP655371:JYP655388 KIL655371:KIL655388 KSH655371:KSH655388 LCD655371:LCD655388 LLZ655371:LLZ655388 LVV655371:LVV655388 MFR655371:MFR655388 MPN655371:MPN655388 MZJ655371:MZJ655388 NJF655371:NJF655388 NTB655371:NTB655388 OCX655371:OCX655388 OMT655371:OMT655388 OWP655371:OWP655388 PGL655371:PGL655388 PQH655371:PQH655388 QAD655371:QAD655388 QJZ655371:QJZ655388 QTV655371:QTV655388 RDR655371:RDR655388 RNN655371:RNN655388 RXJ655371:RXJ655388 SHF655371:SHF655388 SRB655371:SRB655388 TAX655371:TAX655388 TKT655371:TKT655388 TUP655371:TUP655388 UEL655371:UEL655388 UOH655371:UOH655388 UYD655371:UYD655388 VHZ655371:VHZ655388 VRV655371:VRV655388 WBR655371:WBR655388 WLN655371:WLN655388 WVJ655371:WVJ655388 B720907:B720924 IX720907:IX720924 ST720907:ST720924 ACP720907:ACP720924 AML720907:AML720924 AWH720907:AWH720924 BGD720907:BGD720924 BPZ720907:BPZ720924 BZV720907:BZV720924 CJR720907:CJR720924 CTN720907:CTN720924 DDJ720907:DDJ720924 DNF720907:DNF720924 DXB720907:DXB720924 EGX720907:EGX720924 EQT720907:EQT720924 FAP720907:FAP720924 FKL720907:FKL720924 FUH720907:FUH720924 GED720907:GED720924 GNZ720907:GNZ720924 GXV720907:GXV720924 HHR720907:HHR720924 HRN720907:HRN720924 IBJ720907:IBJ720924 ILF720907:ILF720924 IVB720907:IVB720924 JEX720907:JEX720924 JOT720907:JOT720924 JYP720907:JYP720924 KIL720907:KIL720924 KSH720907:KSH720924 LCD720907:LCD720924 LLZ720907:LLZ720924 LVV720907:LVV720924 MFR720907:MFR720924 MPN720907:MPN720924 MZJ720907:MZJ720924 NJF720907:NJF720924 NTB720907:NTB720924 OCX720907:OCX720924 OMT720907:OMT720924 OWP720907:OWP720924 PGL720907:PGL720924 PQH720907:PQH720924 QAD720907:QAD720924 QJZ720907:QJZ720924 QTV720907:QTV720924 RDR720907:RDR720924 RNN720907:RNN720924 RXJ720907:RXJ720924 SHF720907:SHF720924 SRB720907:SRB720924 TAX720907:TAX720924 TKT720907:TKT720924 TUP720907:TUP720924 UEL720907:UEL720924 UOH720907:UOH720924 UYD720907:UYD720924 VHZ720907:VHZ720924 VRV720907:VRV720924 WBR720907:WBR720924 WLN720907:WLN720924 WVJ720907:WVJ720924 B786443:B786460 IX786443:IX786460 ST786443:ST786460 ACP786443:ACP786460 AML786443:AML786460 AWH786443:AWH786460 BGD786443:BGD786460 BPZ786443:BPZ786460 BZV786443:BZV786460 CJR786443:CJR786460 CTN786443:CTN786460 DDJ786443:DDJ786460 DNF786443:DNF786460 DXB786443:DXB786460 EGX786443:EGX786460 EQT786443:EQT786460 FAP786443:FAP786460 FKL786443:FKL786460 FUH786443:FUH786460 GED786443:GED786460 GNZ786443:GNZ786460 GXV786443:GXV786460 HHR786443:HHR786460 HRN786443:HRN786460 IBJ786443:IBJ786460 ILF786443:ILF786460 IVB786443:IVB786460 JEX786443:JEX786460 JOT786443:JOT786460 JYP786443:JYP786460 KIL786443:KIL786460 KSH786443:KSH786460 LCD786443:LCD786460 LLZ786443:LLZ786460 LVV786443:LVV786460 MFR786443:MFR786460 MPN786443:MPN786460 MZJ786443:MZJ786460 NJF786443:NJF786460 NTB786443:NTB786460 OCX786443:OCX786460 OMT786443:OMT786460 OWP786443:OWP786460 PGL786443:PGL786460 PQH786443:PQH786460 QAD786443:QAD786460 QJZ786443:QJZ786460 QTV786443:QTV786460 RDR786443:RDR786460 RNN786443:RNN786460 RXJ786443:RXJ786460 SHF786443:SHF786460 SRB786443:SRB786460 TAX786443:TAX786460 TKT786443:TKT786460 TUP786443:TUP786460 UEL786443:UEL786460 UOH786443:UOH786460 UYD786443:UYD786460 VHZ786443:VHZ786460 VRV786443:VRV786460 WBR786443:WBR786460 WLN786443:WLN786460 WVJ786443:WVJ786460 B851979:B851996 IX851979:IX851996 ST851979:ST851996 ACP851979:ACP851996 AML851979:AML851996 AWH851979:AWH851996 BGD851979:BGD851996 BPZ851979:BPZ851996 BZV851979:BZV851996 CJR851979:CJR851996 CTN851979:CTN851996 DDJ851979:DDJ851996 DNF851979:DNF851996 DXB851979:DXB851996 EGX851979:EGX851996 EQT851979:EQT851996 FAP851979:FAP851996 FKL851979:FKL851996 FUH851979:FUH851996 GED851979:GED851996 GNZ851979:GNZ851996 GXV851979:GXV851996 HHR851979:HHR851996 HRN851979:HRN851996 IBJ851979:IBJ851996 ILF851979:ILF851996 IVB851979:IVB851996 JEX851979:JEX851996 JOT851979:JOT851996 JYP851979:JYP851996 KIL851979:KIL851996 KSH851979:KSH851996 LCD851979:LCD851996 LLZ851979:LLZ851996 LVV851979:LVV851996 MFR851979:MFR851996 MPN851979:MPN851996 MZJ851979:MZJ851996 NJF851979:NJF851996 NTB851979:NTB851996 OCX851979:OCX851996 OMT851979:OMT851996 OWP851979:OWP851996 PGL851979:PGL851996 PQH851979:PQH851996 QAD851979:QAD851996 QJZ851979:QJZ851996 QTV851979:QTV851996 RDR851979:RDR851996 RNN851979:RNN851996 RXJ851979:RXJ851996 SHF851979:SHF851996 SRB851979:SRB851996 TAX851979:TAX851996 TKT851979:TKT851996 TUP851979:TUP851996 UEL851979:UEL851996 UOH851979:UOH851996 UYD851979:UYD851996 VHZ851979:VHZ851996 VRV851979:VRV851996 WBR851979:WBR851996 WLN851979:WLN851996 WVJ851979:WVJ851996 B917515:B917532 IX917515:IX917532 ST917515:ST917532 ACP917515:ACP917532 AML917515:AML917532 AWH917515:AWH917532 BGD917515:BGD917532 BPZ917515:BPZ917532 BZV917515:BZV917532 CJR917515:CJR917532 CTN917515:CTN917532 DDJ917515:DDJ917532 DNF917515:DNF917532 DXB917515:DXB917532 EGX917515:EGX917532 EQT917515:EQT917532 FAP917515:FAP917532 FKL917515:FKL917532 FUH917515:FUH917532 GED917515:GED917532 GNZ917515:GNZ917532 GXV917515:GXV917532 HHR917515:HHR917532 HRN917515:HRN917532 IBJ917515:IBJ917532 ILF917515:ILF917532 IVB917515:IVB917532 JEX917515:JEX917532 JOT917515:JOT917532 JYP917515:JYP917532 KIL917515:KIL917532 KSH917515:KSH917532 LCD917515:LCD917532 LLZ917515:LLZ917532 LVV917515:LVV917532 MFR917515:MFR917532 MPN917515:MPN917532 MZJ917515:MZJ917532 NJF917515:NJF917532 NTB917515:NTB917532 OCX917515:OCX917532 OMT917515:OMT917532 OWP917515:OWP917532 PGL917515:PGL917532 PQH917515:PQH917532 QAD917515:QAD917532 QJZ917515:QJZ917532 QTV917515:QTV917532 RDR917515:RDR917532 RNN917515:RNN917532 RXJ917515:RXJ917532 SHF917515:SHF917532 SRB917515:SRB917532 TAX917515:TAX917532 TKT917515:TKT917532 TUP917515:TUP917532 UEL917515:UEL917532 UOH917515:UOH917532 UYD917515:UYD917532 VHZ917515:VHZ917532 VRV917515:VRV917532 WBR917515:WBR917532 WLN917515:WLN917532 WVJ917515:WVJ917532" xr:uid="{00000000-0002-0000-2F00-000000000000}">
      <formula1>trung</formula1>
    </dataValidation>
    <dataValidation type="list" allowBlank="1" showInputMessage="1" showErrorMessage="1" sqref="B27" xr:uid="{00000000-0002-0000-2F00-000001000000}">
      <formula1>bichphuong</formula1>
    </dataValidation>
  </dataValidation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H330"/>
  <sheetViews>
    <sheetView topLeftCell="A25" workbookViewId="0">
      <selection activeCell="G28" sqref="G28"/>
    </sheetView>
  </sheetViews>
  <sheetFormatPr defaultColWidth="40.5" defaultRowHeight="15" customHeight="1" zeroHeight="1"/>
  <cols>
    <col min="1" max="1" width="4.19921875" style="16" customWidth="1"/>
    <col min="2" max="2" width="21.59765625" style="16" customWidth="1"/>
    <col min="3" max="3" width="5" style="87" customWidth="1"/>
    <col min="4" max="4" width="6.19921875" style="88" customWidth="1"/>
    <col min="5" max="5" width="10.8984375" style="89" customWidth="1"/>
    <col min="6" max="6" width="5.8984375" style="87" customWidth="1"/>
    <col min="7" max="7" width="13.398437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2232</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2233</v>
      </c>
      <c r="C13" s="425"/>
      <c r="D13" s="425"/>
      <c r="E13" s="425"/>
      <c r="F13" s="425"/>
      <c r="G13" s="73">
        <f>G14</f>
        <v>238360000</v>
      </c>
      <c r="H13" s="74"/>
    </row>
    <row r="14" spans="1:8" s="131" customFormat="1" ht="40.5" customHeight="1">
      <c r="A14" s="123"/>
      <c r="B14" s="124" t="s">
        <v>1757</v>
      </c>
      <c r="C14" s="125" t="s">
        <v>1753</v>
      </c>
      <c r="D14" s="126">
        <v>20.2</v>
      </c>
      <c r="E14" s="127">
        <v>11800000</v>
      </c>
      <c r="F14" s="128">
        <v>1</v>
      </c>
      <c r="G14" s="129">
        <f>D14*E14*F14</f>
        <v>238360000</v>
      </c>
      <c r="H14" s="130"/>
    </row>
    <row r="15" spans="1:8" ht="27" customHeight="1">
      <c r="A15" s="75" t="s">
        <v>18</v>
      </c>
      <c r="B15" s="426" t="s">
        <v>1725</v>
      </c>
      <c r="C15" s="426"/>
      <c r="D15" s="426"/>
      <c r="E15" s="426"/>
      <c r="F15" s="426"/>
      <c r="G15" s="76">
        <f>SUM(G16:G27)</f>
        <v>24536207.151000001</v>
      </c>
      <c r="H15" s="11"/>
    </row>
    <row r="16" spans="1:8" ht="31.2">
      <c r="A16" s="77">
        <v>1</v>
      </c>
      <c r="B16" s="78" t="s">
        <v>2234</v>
      </c>
      <c r="C16" s="14" t="s">
        <v>1754</v>
      </c>
      <c r="D16" s="132">
        <f>11.3*1.1*0.22</f>
        <v>2.7346000000000004</v>
      </c>
      <c r="E16" s="15">
        <v>1919493</v>
      </c>
      <c r="F16" s="14">
        <v>1</v>
      </c>
      <c r="G16" s="79">
        <f t="shared" ref="G16:G27" si="0">D16*E16*F16</f>
        <v>5249045.5578000005</v>
      </c>
      <c r="H16" s="15"/>
    </row>
    <row r="17" spans="1:8" ht="15.6">
      <c r="A17" s="77"/>
      <c r="B17" s="78" t="s">
        <v>2235</v>
      </c>
      <c r="C17" s="14" t="s">
        <v>66</v>
      </c>
      <c r="D17" s="132">
        <f>11.3*1.1*2</f>
        <v>24.860000000000003</v>
      </c>
      <c r="E17" s="15">
        <v>141099</v>
      </c>
      <c r="F17" s="14">
        <v>1</v>
      </c>
      <c r="G17" s="79">
        <f t="shared" si="0"/>
        <v>3507721.1400000006</v>
      </c>
      <c r="H17" s="15"/>
    </row>
    <row r="18" spans="1:8" ht="31.2">
      <c r="A18" s="77">
        <v>2</v>
      </c>
      <c r="B18" s="78" t="s">
        <v>2236</v>
      </c>
      <c r="C18" s="14" t="s">
        <v>1754</v>
      </c>
      <c r="D18" s="132">
        <f>(0.33*0.33*2)*5</f>
        <v>1.0890000000000002</v>
      </c>
      <c r="E18" s="15">
        <v>2623803</v>
      </c>
      <c r="F18" s="14">
        <v>1</v>
      </c>
      <c r="G18" s="79">
        <f t="shared" si="0"/>
        <v>2857321.4670000006</v>
      </c>
      <c r="H18" s="15"/>
    </row>
    <row r="19" spans="1:8" ht="30.6" customHeight="1">
      <c r="A19" s="77"/>
      <c r="B19" s="78" t="s">
        <v>2237</v>
      </c>
      <c r="C19" s="14" t="s">
        <v>66</v>
      </c>
      <c r="D19" s="132">
        <f>0.33*2*2*5</f>
        <v>6.6000000000000005</v>
      </c>
      <c r="E19" s="15">
        <v>250492</v>
      </c>
      <c r="F19" s="14">
        <v>1</v>
      </c>
      <c r="G19" s="79">
        <f t="shared" si="0"/>
        <v>1653247.2000000002</v>
      </c>
      <c r="H19" s="15"/>
    </row>
    <row r="20" spans="1:8" ht="31.2">
      <c r="A20" s="77">
        <v>3</v>
      </c>
      <c r="B20" s="78" t="s">
        <v>2238</v>
      </c>
      <c r="C20" s="14" t="s">
        <v>1754</v>
      </c>
      <c r="D20" s="132">
        <f>(0.35*0.35*2.4)*2</f>
        <v>0.58799999999999986</v>
      </c>
      <c r="E20" s="15">
        <v>2623803</v>
      </c>
      <c r="F20" s="14">
        <v>1</v>
      </c>
      <c r="G20" s="79">
        <f t="shared" si="0"/>
        <v>1542796.1639999996</v>
      </c>
      <c r="H20" s="15"/>
    </row>
    <row r="21" spans="1:8" ht="30.6" customHeight="1">
      <c r="A21" s="77"/>
      <c r="B21" s="78" t="s">
        <v>2239</v>
      </c>
      <c r="C21" s="14" t="s">
        <v>66</v>
      </c>
      <c r="D21" s="132">
        <f>0.35*2.4*4*2</f>
        <v>6.72</v>
      </c>
      <c r="E21" s="15">
        <v>250492</v>
      </c>
      <c r="F21" s="14">
        <v>1</v>
      </c>
      <c r="G21" s="79">
        <f t="shared" si="0"/>
        <v>1683306.24</v>
      </c>
      <c r="H21" s="15"/>
    </row>
    <row r="22" spans="1:8" ht="46.8">
      <c r="A22" s="77">
        <v>4</v>
      </c>
      <c r="B22" s="78" t="s">
        <v>2240</v>
      </c>
      <c r="C22" s="14" t="s">
        <v>1754</v>
      </c>
      <c r="D22" s="132">
        <f>(0.1*0.03*0.75)*80+(11.3*0.1*0.03)</f>
        <v>0.21390000000000003</v>
      </c>
      <c r="E22" s="15">
        <v>7050138</v>
      </c>
      <c r="F22" s="14">
        <v>1</v>
      </c>
      <c r="G22" s="79">
        <f t="shared" si="0"/>
        <v>1508024.5182000003</v>
      </c>
      <c r="H22" s="15"/>
    </row>
    <row r="23" spans="1:8" ht="15.6">
      <c r="A23" s="77">
        <v>5</v>
      </c>
      <c r="B23" s="78" t="s">
        <v>2241</v>
      </c>
      <c r="C23" s="14" t="s">
        <v>66</v>
      </c>
      <c r="D23" s="132">
        <f>2.5*2.4</f>
        <v>6</v>
      </c>
      <c r="E23" s="15">
        <v>550000</v>
      </c>
      <c r="F23" s="14">
        <v>1</v>
      </c>
      <c r="G23" s="79">
        <f t="shared" si="0"/>
        <v>3300000</v>
      </c>
      <c r="H23" s="15"/>
    </row>
    <row r="24" spans="1:8" ht="15.6">
      <c r="A24" s="77">
        <v>6</v>
      </c>
      <c r="B24" s="78" t="s">
        <v>2242</v>
      </c>
      <c r="C24" s="14"/>
      <c r="D24" s="132"/>
      <c r="E24" s="15"/>
      <c r="F24" s="14"/>
      <c r="G24" s="79"/>
      <c r="H24" s="15"/>
    </row>
    <row r="25" spans="1:8" ht="37.5" customHeight="1">
      <c r="A25" s="77"/>
      <c r="B25" s="78" t="s">
        <v>2243</v>
      </c>
      <c r="C25" s="14" t="s">
        <v>1754</v>
      </c>
      <c r="D25" s="132">
        <f>4*0.11*0.5</f>
        <v>0.22</v>
      </c>
      <c r="E25" s="15">
        <v>1711642</v>
      </c>
      <c r="F25" s="14">
        <v>1</v>
      </c>
      <c r="G25" s="79">
        <f t="shared" si="0"/>
        <v>376561.24</v>
      </c>
      <c r="H25" s="15"/>
    </row>
    <row r="26" spans="1:8" ht="31.2">
      <c r="A26" s="77"/>
      <c r="B26" s="78" t="s">
        <v>2244</v>
      </c>
      <c r="C26" s="14" t="s">
        <v>1754</v>
      </c>
      <c r="D26" s="132">
        <f>4*0.11*1.1*2</f>
        <v>0.96800000000000008</v>
      </c>
      <c r="E26" s="15">
        <v>2126713</v>
      </c>
      <c r="F26" s="14">
        <v>1</v>
      </c>
      <c r="G26" s="79">
        <f t="shared" si="0"/>
        <v>2058658.1840000001</v>
      </c>
      <c r="H26" s="15"/>
    </row>
    <row r="27" spans="1:8" ht="31.2">
      <c r="A27" s="77"/>
      <c r="B27" s="78" t="s">
        <v>2245</v>
      </c>
      <c r="C27" s="14" t="s">
        <v>1754</v>
      </c>
      <c r="D27" s="132">
        <f>4*0.5*0.07</f>
        <v>0.14000000000000001</v>
      </c>
      <c r="E27" s="15">
        <v>5710896</v>
      </c>
      <c r="F27" s="14">
        <v>1</v>
      </c>
      <c r="G27" s="79">
        <f t="shared" si="0"/>
        <v>799525.44000000006</v>
      </c>
      <c r="H27" s="15"/>
    </row>
    <row r="28" spans="1:8" ht="24" customHeight="1">
      <c r="A28" s="75" t="s">
        <v>19</v>
      </c>
      <c r="B28" s="426" t="s">
        <v>1727</v>
      </c>
      <c r="C28" s="426"/>
      <c r="D28" s="426"/>
      <c r="E28" s="426"/>
      <c r="F28" s="426"/>
      <c r="G28" s="76">
        <f>SUM(G29:G31)</f>
        <v>5391000</v>
      </c>
      <c r="H28" s="11"/>
    </row>
    <row r="29" spans="1:8" s="12" customFormat="1" ht="34.200000000000003" customHeight="1">
      <c r="A29" s="94">
        <v>1</v>
      </c>
      <c r="B29" s="13" t="s">
        <v>821</v>
      </c>
      <c r="C29" s="14" t="s">
        <v>1724</v>
      </c>
      <c r="D29" s="14">
        <v>1</v>
      </c>
      <c r="E29" s="79" t="str">
        <f>VLOOKUP(B29,'[20]Đơn giá cây cối'!$A$2:$C$1361,3,0)</f>
        <v>3.981.000</v>
      </c>
      <c r="F29" s="14">
        <v>1</v>
      </c>
      <c r="G29" s="79">
        <f>D29*E29*F29</f>
        <v>3981000</v>
      </c>
      <c r="H29" s="95"/>
    </row>
    <row r="30" spans="1:8" s="12" customFormat="1" ht="34.200000000000003" customHeight="1">
      <c r="A30" s="94">
        <v>2</v>
      </c>
      <c r="B30" s="13" t="s">
        <v>201</v>
      </c>
      <c r="C30" s="14" t="s">
        <v>1724</v>
      </c>
      <c r="D30" s="14">
        <v>1</v>
      </c>
      <c r="E30" s="79">
        <f>VLOOKUP(B30,'[20]Đơn giá cây cối'!$A$2:$C$1361,3,0)</f>
        <v>1120000</v>
      </c>
      <c r="F30" s="14">
        <v>1</v>
      </c>
      <c r="G30" s="79">
        <f t="shared" ref="G30:G31" si="1">D30*E30*F30</f>
        <v>1120000</v>
      </c>
      <c r="H30" s="95"/>
    </row>
    <row r="31" spans="1:8" s="12" customFormat="1" ht="45.75" customHeight="1">
      <c r="A31" s="94">
        <v>3</v>
      </c>
      <c r="B31" s="13" t="s">
        <v>1298</v>
      </c>
      <c r="C31" s="14" t="s">
        <v>1724</v>
      </c>
      <c r="D31" s="14">
        <v>1</v>
      </c>
      <c r="E31" s="79" t="str">
        <f>VLOOKUP(B31,'[20]Đơn giá cây cối'!$A$2:$C$1361,3,0)</f>
        <v>290.000</v>
      </c>
      <c r="F31" s="14">
        <v>1</v>
      </c>
      <c r="G31" s="79">
        <f t="shared" si="1"/>
        <v>290000</v>
      </c>
      <c r="H31" s="95"/>
    </row>
    <row r="32" spans="1:8" ht="15.6">
      <c r="A32" s="80"/>
      <c r="B32" s="427" t="s">
        <v>62</v>
      </c>
      <c r="C32" s="428"/>
      <c r="D32" s="428"/>
      <c r="E32" s="428"/>
      <c r="F32" s="429"/>
      <c r="G32" s="81">
        <f>G13+G15+G28</f>
        <v>268287207.15099999</v>
      </c>
      <c r="H32" s="82"/>
    </row>
    <row r="33" spans="1:8" ht="15.6">
      <c r="A33" s="80"/>
      <c r="B33" s="427" t="s">
        <v>1726</v>
      </c>
      <c r="C33" s="428"/>
      <c r="D33" s="428"/>
      <c r="E33" s="428"/>
      <c r="F33" s="429"/>
      <c r="G33" s="81">
        <f>ROUND(G32,-3)</f>
        <v>268287000</v>
      </c>
      <c r="H33" s="82"/>
    </row>
    <row r="34" spans="1:8" ht="15.6">
      <c r="A34" s="430" t="e" cm="1">
        <f t="array" aca="1" ref="A34" ca="1">[22]!vnd(G33)</f>
        <v>#NAME?</v>
      </c>
      <c r="B34" s="431"/>
      <c r="C34" s="431"/>
      <c r="D34" s="431"/>
      <c r="E34" s="431"/>
      <c r="F34" s="431"/>
      <c r="G34" s="431"/>
      <c r="H34" s="432"/>
    </row>
    <row r="35" spans="1:8">
      <c r="A35" s="17"/>
      <c r="B35" s="17"/>
      <c r="C35" s="97"/>
      <c r="D35" s="20"/>
      <c r="E35" s="19"/>
      <c r="F35" s="97"/>
      <c r="G35" s="19"/>
      <c r="H35" s="17"/>
    </row>
    <row r="36" spans="1:8" s="109" customFormat="1" ht="16.5" customHeight="1">
      <c r="A36" s="108"/>
      <c r="B36" s="108"/>
      <c r="C36" s="424" t="s">
        <v>1742</v>
      </c>
      <c r="D36" s="424"/>
      <c r="E36" s="424"/>
      <c r="F36" s="424"/>
      <c r="G36" s="424"/>
      <c r="H36" s="424"/>
    </row>
    <row r="37" spans="1:8" s="109" customFormat="1" ht="16.5" customHeight="1">
      <c r="A37" s="423" t="s">
        <v>63</v>
      </c>
      <c r="B37" s="423"/>
      <c r="C37" s="424" t="s">
        <v>1743</v>
      </c>
      <c r="D37" s="424"/>
      <c r="E37" s="424"/>
      <c r="F37" s="424" t="s">
        <v>1744</v>
      </c>
      <c r="G37" s="424"/>
      <c r="H37" s="424"/>
    </row>
    <row r="38" spans="1:8" s="109" customFormat="1" ht="15.6">
      <c r="A38" s="108"/>
      <c r="B38" s="108"/>
      <c r="C38" s="108"/>
      <c r="D38" s="110"/>
      <c r="E38" s="111"/>
      <c r="F38" s="112"/>
      <c r="G38" s="111"/>
      <c r="H38" s="113"/>
    </row>
    <row r="39" spans="1:8" s="109" customFormat="1" ht="15.6">
      <c r="A39" s="108"/>
      <c r="B39" s="108"/>
      <c r="C39" s="108"/>
      <c r="D39" s="110"/>
      <c r="E39" s="111"/>
      <c r="F39" s="112"/>
      <c r="G39" s="114"/>
      <c r="H39" s="113"/>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6.5" customHeight="1">
      <c r="A43" s="108"/>
      <c r="B43" s="198" t="s">
        <v>64</v>
      </c>
      <c r="C43" s="424"/>
      <c r="D43" s="424"/>
      <c r="E43" s="424"/>
      <c r="F43" s="424" t="s">
        <v>1745</v>
      </c>
      <c r="G43" s="424"/>
      <c r="H43" s="424"/>
    </row>
    <row r="44" spans="1:8" s="109" customFormat="1" ht="15.6">
      <c r="A44" s="108"/>
      <c r="B44" s="198"/>
      <c r="C44" s="199"/>
      <c r="D44" s="199"/>
      <c r="E44" s="199"/>
      <c r="F44" s="199"/>
      <c r="G44" s="199"/>
      <c r="H44" s="199"/>
    </row>
    <row r="45" spans="1:8" s="109" customFormat="1" ht="15" customHeight="1">
      <c r="A45" s="424" t="s">
        <v>1746</v>
      </c>
      <c r="B45" s="424"/>
      <c r="C45" s="424"/>
      <c r="D45" s="424"/>
      <c r="E45" s="424" t="s">
        <v>1747</v>
      </c>
      <c r="F45" s="424"/>
      <c r="G45" s="424"/>
      <c r="H45" s="424"/>
    </row>
    <row r="46" spans="1:8" s="109" customFormat="1" ht="33.6" customHeight="1">
      <c r="A46" s="424" t="s">
        <v>1748</v>
      </c>
      <c r="B46" s="424"/>
      <c r="C46" s="424"/>
      <c r="D46" s="424"/>
      <c r="E46" s="424" t="s">
        <v>65</v>
      </c>
      <c r="F46" s="424"/>
      <c r="G46" s="424"/>
      <c r="H46" s="424"/>
    </row>
    <row r="47" spans="1:8" s="109" customFormat="1" ht="15.6">
      <c r="A47" s="108"/>
      <c r="B47" s="108"/>
      <c r="C47" s="108"/>
      <c r="D47" s="110"/>
      <c r="E47" s="111"/>
      <c r="F47" s="112"/>
      <c r="G47" s="111"/>
      <c r="H47" s="113"/>
    </row>
    <row r="48" spans="1:8" s="109" customFormat="1" ht="15.6">
      <c r="A48" s="108"/>
      <c r="B48" s="108"/>
      <c r="C48" s="108"/>
      <c r="D48" s="110"/>
      <c r="E48" s="111"/>
      <c r="F48" s="112"/>
      <c r="G48" s="111"/>
      <c r="H48" s="113"/>
    </row>
    <row r="49" spans="1:8" s="109" customFormat="1" ht="15.6">
      <c r="A49" s="108"/>
      <c r="B49" s="108"/>
      <c r="C49" s="108"/>
      <c r="D49" s="110"/>
      <c r="E49" s="111"/>
      <c r="F49" s="112"/>
      <c r="G49" s="111"/>
      <c r="H49" s="113"/>
    </row>
    <row r="50" spans="1:8" s="109" customFormat="1" ht="15.6">
      <c r="A50" s="108"/>
      <c r="B50" s="108"/>
      <c r="C50" s="108"/>
      <c r="D50" s="110"/>
      <c r="E50" s="111"/>
      <c r="F50" s="112"/>
      <c r="G50" s="111"/>
      <c r="H50" s="113"/>
    </row>
    <row r="51" spans="1:8" s="109" customFormat="1" ht="15.6">
      <c r="A51" s="108"/>
      <c r="B51" s="108"/>
      <c r="C51" s="108"/>
      <c r="D51" s="110"/>
      <c r="E51" s="111"/>
      <c r="F51" s="112"/>
      <c r="G51" s="111"/>
      <c r="H51" s="113"/>
    </row>
    <row r="52" spans="1:8" s="109" customFormat="1" ht="15.6" customHeight="1">
      <c r="A52" s="108"/>
      <c r="B52" s="108"/>
      <c r="C52" s="108"/>
      <c r="D52" s="115"/>
      <c r="E52" s="439" t="s">
        <v>1749</v>
      </c>
      <c r="F52" s="439"/>
      <c r="G52" s="439"/>
      <c r="H52" s="439"/>
    </row>
    <row r="53" spans="1:8" s="109" customFormat="1" ht="16.5" customHeight="1">
      <c r="A53" s="424" t="s">
        <v>1751</v>
      </c>
      <c r="B53" s="424"/>
      <c r="C53" s="424"/>
      <c r="D53" s="424"/>
      <c r="E53" s="424" t="s">
        <v>1750</v>
      </c>
      <c r="F53" s="424"/>
      <c r="G53" s="424"/>
      <c r="H53" s="424"/>
    </row>
    <row r="54" spans="1:8" s="118" customFormat="1" ht="16.2" customHeight="1">
      <c r="A54" s="440"/>
      <c r="B54" s="440"/>
      <c r="C54" s="116"/>
      <c r="D54" s="117"/>
      <c r="E54" s="440"/>
      <c r="F54" s="440"/>
      <c r="G54" s="440"/>
      <c r="H54" s="440"/>
    </row>
    <row r="55" spans="1:8" s="118" customFormat="1" ht="15.75" customHeight="1">
      <c r="A55" s="440"/>
      <c r="B55" s="440"/>
      <c r="C55" s="440"/>
      <c r="D55" s="440"/>
      <c r="E55" s="440"/>
      <c r="F55" s="440"/>
      <c r="G55" s="440"/>
      <c r="H55" s="440"/>
    </row>
    <row r="56" spans="1:8" s="98" customFormat="1" ht="16.2" customHeight="1">
      <c r="A56" s="436"/>
      <c r="B56" s="436"/>
      <c r="C56" s="436"/>
      <c r="D56" s="436"/>
      <c r="E56" s="119"/>
      <c r="F56" s="120"/>
      <c r="G56" s="119"/>
      <c r="H56" s="121"/>
    </row>
    <row r="57" spans="1:8" s="98" customFormat="1" ht="16.2" customHeight="1">
      <c r="A57" s="436"/>
      <c r="B57" s="436"/>
      <c r="C57" s="436"/>
      <c r="D57" s="436"/>
      <c r="E57" s="119"/>
      <c r="F57" s="120"/>
      <c r="G57" s="119"/>
      <c r="H57" s="121"/>
    </row>
    <row r="58" spans="1:8" s="98" customFormat="1" ht="16.2" customHeight="1">
      <c r="A58" s="121"/>
      <c r="B58" s="121"/>
      <c r="C58" s="121"/>
      <c r="D58" s="122"/>
      <c r="E58" s="119"/>
      <c r="F58" s="120"/>
      <c r="G58" s="119"/>
      <c r="H58" s="121"/>
    </row>
    <row r="59" spans="1:8" ht="16.2" customHeight="1">
      <c r="A59" s="83"/>
      <c r="B59" s="83"/>
      <c r="C59" s="83"/>
      <c r="D59" s="84"/>
      <c r="E59" s="85"/>
      <c r="F59" s="86"/>
      <c r="G59" s="85"/>
      <c r="H59" s="83"/>
    </row>
    <row r="60" spans="1:8" ht="16.2" customHeight="1">
      <c r="A60" s="83"/>
      <c r="B60" s="83"/>
      <c r="C60" s="83"/>
      <c r="D60" s="84"/>
      <c r="E60" s="85"/>
      <c r="F60" s="86"/>
      <c r="G60" s="85"/>
      <c r="H60" s="83"/>
    </row>
    <row r="61" spans="1:8" ht="16.2" customHeight="1">
      <c r="A61" s="83"/>
      <c r="B61" s="83"/>
      <c r="C61" s="83"/>
      <c r="D61" s="84"/>
      <c r="E61" s="85"/>
      <c r="F61" s="86"/>
      <c r="G61" s="85"/>
      <c r="H61" s="83"/>
    </row>
    <row r="62" spans="1:8" ht="16.2" customHeight="1">
      <c r="A62" s="83"/>
      <c r="B62" s="83"/>
      <c r="C62" s="83"/>
      <c r="D62" s="84"/>
      <c r="E62" s="437"/>
      <c r="F62" s="437"/>
      <c r="G62" s="437"/>
      <c r="H62" s="437"/>
    </row>
    <row r="63" spans="1:8" ht="20.25" customHeight="1">
      <c r="A63" s="438"/>
      <c r="B63" s="438"/>
      <c r="C63" s="438"/>
      <c r="D63" s="438"/>
      <c r="E63" s="438"/>
      <c r="F63" s="438"/>
      <c r="G63" s="438"/>
      <c r="H63" s="438"/>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D73" s="18"/>
      <c r="E73" s="19"/>
      <c r="F73" s="97"/>
      <c r="G73" s="19"/>
    </row>
    <row r="74" spans="3:7" s="17" customFormat="1" ht="16.2" customHeight="1">
      <c r="D74" s="18"/>
      <c r="E74" s="19"/>
      <c r="F74" s="97"/>
      <c r="G74" s="19"/>
    </row>
    <row r="75" spans="3:7" s="17" customFormat="1" ht="16.2" customHeight="1">
      <c r="D75" s="18"/>
      <c r="E75" s="19"/>
      <c r="F75" s="97"/>
      <c r="G75" s="19"/>
    </row>
    <row r="76" spans="3:7" s="17" customFormat="1" ht="16.2" customHeight="1">
      <c r="D76" s="18"/>
      <c r="E76" s="19"/>
      <c r="F76" s="97"/>
      <c r="G76" s="19"/>
    </row>
    <row r="77" spans="3:7" s="17" customFormat="1" ht="16.2" customHeight="1">
      <c r="D77" s="18"/>
      <c r="E77" s="19"/>
      <c r="F77" s="97"/>
      <c r="G77" s="19"/>
    </row>
    <row r="78" spans="3:7" s="17" customFormat="1" ht="16.2" customHeight="1">
      <c r="D78" s="18"/>
      <c r="E78" s="19"/>
      <c r="F78" s="97"/>
      <c r="G78" s="19"/>
    </row>
    <row r="79" spans="3:7" s="17" customFormat="1" ht="16.2" customHeight="1">
      <c r="D79" s="18"/>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s="17" customFormat="1" ht="16.2" customHeight="1">
      <c r="C87" s="97"/>
      <c r="D87" s="20"/>
      <c r="E87" s="19"/>
      <c r="F87" s="97"/>
      <c r="G87" s="19"/>
    </row>
    <row r="88" spans="3:7" s="17" customFormat="1" ht="16.2" customHeight="1">
      <c r="C88" s="97"/>
      <c r="D88" s="20"/>
      <c r="E88" s="19"/>
      <c r="F88" s="97"/>
      <c r="G88" s="19"/>
    </row>
    <row r="89" spans="3:7" s="17" customFormat="1" ht="16.2" customHeight="1">
      <c r="C89" s="97"/>
      <c r="D89" s="20"/>
      <c r="E89" s="19"/>
      <c r="F89" s="97"/>
      <c r="G89" s="19"/>
    </row>
    <row r="90" spans="3:7" s="17" customFormat="1" ht="16.2" customHeight="1">
      <c r="C90" s="97"/>
      <c r="D90" s="20"/>
      <c r="E90" s="19"/>
      <c r="F90" s="97"/>
      <c r="G90" s="19"/>
    </row>
    <row r="91" spans="3:7" s="17" customFormat="1" ht="16.2" customHeight="1">
      <c r="C91" s="97"/>
      <c r="D91" s="20"/>
      <c r="E91" s="19"/>
      <c r="F91" s="97"/>
      <c r="G91" s="19"/>
    </row>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ht="16.2" customHeight="1"/>
    <row r="235" ht="16.2" customHeight="1"/>
    <row r="236" ht="16.2" customHeight="1"/>
    <row r="237" ht="16.2" customHeight="1"/>
    <row r="238"/>
    <row r="239"/>
    <row r="240"/>
    <row r="241"/>
    <row r="242"/>
    <row r="243"/>
    <row r="244"/>
    <row r="245"/>
    <row r="246"/>
    <row r="247"/>
    <row r="248"/>
    <row r="249"/>
    <row r="250"/>
    <row r="251"/>
    <row r="252"/>
    <row r="253"/>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sheetData>
  <mergeCells count="40">
    <mergeCell ref="A4:B4"/>
    <mergeCell ref="C4:H4"/>
    <mergeCell ref="A1:B1"/>
    <mergeCell ref="C1:H1"/>
    <mergeCell ref="A2:B2"/>
    <mergeCell ref="C2:H2"/>
    <mergeCell ref="A3:B3"/>
    <mergeCell ref="A34:H34"/>
    <mergeCell ref="A6:H6"/>
    <mergeCell ref="A7:H7"/>
    <mergeCell ref="A8:H8"/>
    <mergeCell ref="A9:H9"/>
    <mergeCell ref="A10:H10"/>
    <mergeCell ref="A11:H11"/>
    <mergeCell ref="B13:F13"/>
    <mergeCell ref="B15:F15"/>
    <mergeCell ref="B28:F28"/>
    <mergeCell ref="B32:F32"/>
    <mergeCell ref="B33:F33"/>
    <mergeCell ref="A53:D53"/>
    <mergeCell ref="E53:H53"/>
    <mergeCell ref="C36:H36"/>
    <mergeCell ref="A37:B37"/>
    <mergeCell ref="C37:E37"/>
    <mergeCell ref="F37:H37"/>
    <mergeCell ref="C43:E43"/>
    <mergeCell ref="F43:H43"/>
    <mergeCell ref="A45:D45"/>
    <mergeCell ref="E45:H45"/>
    <mergeCell ref="A46:D46"/>
    <mergeCell ref="E46:H46"/>
    <mergeCell ref="E52:H52"/>
    <mergeCell ref="E62:H62"/>
    <mergeCell ref="A63:H63"/>
    <mergeCell ref="A54:B54"/>
    <mergeCell ref="E54:H54"/>
    <mergeCell ref="A55:D55"/>
    <mergeCell ref="E55:H55"/>
    <mergeCell ref="A56:D56"/>
    <mergeCell ref="A57:D57"/>
  </mergeCells>
  <dataValidations count="2">
    <dataValidation type="list" allowBlank="1" showInputMessage="1" showErrorMessage="1" sqref="WVJ983055:WVJ983072 B983055:B983072 IX983055:IX983072 ST983055:ST983072 ACP983055:ACP983072 AML983055:AML983072 AWH983055:AWH983072 BGD983055:BGD983072 BPZ983055:BPZ983072 BZV983055:BZV983072 CJR983055:CJR983072 CTN983055:CTN983072 DDJ983055:DDJ983072 DNF983055:DNF983072 DXB983055:DXB983072 EGX983055:EGX983072 EQT983055:EQT983072 FAP983055:FAP983072 FKL983055:FKL983072 FUH983055:FUH983072 GED983055:GED983072 GNZ983055:GNZ983072 GXV983055:GXV983072 HHR983055:HHR983072 HRN983055:HRN983072 IBJ983055:IBJ983072 ILF983055:ILF983072 IVB983055:IVB983072 JEX983055:JEX983072 JOT983055:JOT983072 JYP983055:JYP983072 KIL983055:KIL983072 KSH983055:KSH983072 LCD983055:LCD983072 LLZ983055:LLZ983072 LVV983055:LVV983072 MFR983055:MFR983072 MPN983055:MPN983072 MZJ983055:MZJ983072 NJF983055:NJF983072 NTB983055:NTB983072 OCX983055:OCX983072 OMT983055:OMT983072 OWP983055:OWP983072 PGL983055:PGL983072 PQH983055:PQH983072 QAD983055:QAD983072 QJZ983055:QJZ983072 QTV983055:QTV983072 RDR983055:RDR983072 RNN983055:RNN983072 RXJ983055:RXJ983072 SHF983055:SHF983072 SRB983055:SRB983072 TAX983055:TAX983072 TKT983055:TKT983072 TUP983055:TUP983072 UEL983055:UEL983072 UOH983055:UOH983072 UYD983055:UYD983072 VHZ983055:VHZ983072 VRV983055:VRV983072 WBR983055:WBR983072 WLN983055:WLN983072 B65551:B65568 IX65551:IX65568 ST65551:ST65568 ACP65551:ACP65568 AML65551:AML65568 AWH65551:AWH65568 BGD65551:BGD65568 BPZ65551:BPZ65568 BZV65551:BZV65568 CJR65551:CJR65568 CTN65551:CTN65568 DDJ65551:DDJ65568 DNF65551:DNF65568 DXB65551:DXB65568 EGX65551:EGX65568 EQT65551:EQT65568 FAP65551:FAP65568 FKL65551:FKL65568 FUH65551:FUH65568 GED65551:GED65568 GNZ65551:GNZ65568 GXV65551:GXV65568 HHR65551:HHR65568 HRN65551:HRN65568 IBJ65551:IBJ65568 ILF65551:ILF65568 IVB65551:IVB65568 JEX65551:JEX65568 JOT65551:JOT65568 JYP65551:JYP65568 KIL65551:KIL65568 KSH65551:KSH65568 LCD65551:LCD65568 LLZ65551:LLZ65568 LVV65551:LVV65568 MFR65551:MFR65568 MPN65551:MPN65568 MZJ65551:MZJ65568 NJF65551:NJF65568 NTB65551:NTB65568 OCX65551:OCX65568 OMT65551:OMT65568 OWP65551:OWP65568 PGL65551:PGL65568 PQH65551:PQH65568 QAD65551:QAD65568 QJZ65551:QJZ65568 QTV65551:QTV65568 RDR65551:RDR65568 RNN65551:RNN65568 RXJ65551:RXJ65568 SHF65551:SHF65568 SRB65551:SRB65568 TAX65551:TAX65568 TKT65551:TKT65568 TUP65551:TUP65568 UEL65551:UEL65568 UOH65551:UOH65568 UYD65551:UYD65568 VHZ65551:VHZ65568 VRV65551:VRV65568 WBR65551:WBR65568 WLN65551:WLN65568 WVJ65551:WVJ65568 B131087:B131104 IX131087:IX131104 ST131087:ST131104 ACP131087:ACP131104 AML131087:AML131104 AWH131087:AWH131104 BGD131087:BGD131104 BPZ131087:BPZ131104 BZV131087:BZV131104 CJR131087:CJR131104 CTN131087:CTN131104 DDJ131087:DDJ131104 DNF131087:DNF131104 DXB131087:DXB131104 EGX131087:EGX131104 EQT131087:EQT131104 FAP131087:FAP131104 FKL131087:FKL131104 FUH131087:FUH131104 GED131087:GED131104 GNZ131087:GNZ131104 GXV131087:GXV131104 HHR131087:HHR131104 HRN131087:HRN131104 IBJ131087:IBJ131104 ILF131087:ILF131104 IVB131087:IVB131104 JEX131087:JEX131104 JOT131087:JOT131104 JYP131087:JYP131104 KIL131087:KIL131104 KSH131087:KSH131104 LCD131087:LCD131104 LLZ131087:LLZ131104 LVV131087:LVV131104 MFR131087:MFR131104 MPN131087:MPN131104 MZJ131087:MZJ131104 NJF131087:NJF131104 NTB131087:NTB131104 OCX131087:OCX131104 OMT131087:OMT131104 OWP131087:OWP131104 PGL131087:PGL131104 PQH131087:PQH131104 QAD131087:QAD131104 QJZ131087:QJZ131104 QTV131087:QTV131104 RDR131087:RDR131104 RNN131087:RNN131104 RXJ131087:RXJ131104 SHF131087:SHF131104 SRB131087:SRB131104 TAX131087:TAX131104 TKT131087:TKT131104 TUP131087:TUP131104 UEL131087:UEL131104 UOH131087:UOH131104 UYD131087:UYD131104 VHZ131087:VHZ131104 VRV131087:VRV131104 WBR131087:WBR131104 WLN131087:WLN131104 WVJ131087:WVJ131104 B196623:B196640 IX196623:IX196640 ST196623:ST196640 ACP196623:ACP196640 AML196623:AML196640 AWH196623:AWH196640 BGD196623:BGD196640 BPZ196623:BPZ196640 BZV196623:BZV196640 CJR196623:CJR196640 CTN196623:CTN196640 DDJ196623:DDJ196640 DNF196623:DNF196640 DXB196623:DXB196640 EGX196623:EGX196640 EQT196623:EQT196640 FAP196623:FAP196640 FKL196623:FKL196640 FUH196623:FUH196640 GED196623:GED196640 GNZ196623:GNZ196640 GXV196623:GXV196640 HHR196623:HHR196640 HRN196623:HRN196640 IBJ196623:IBJ196640 ILF196623:ILF196640 IVB196623:IVB196640 JEX196623:JEX196640 JOT196623:JOT196640 JYP196623:JYP196640 KIL196623:KIL196640 KSH196623:KSH196640 LCD196623:LCD196640 LLZ196623:LLZ196640 LVV196623:LVV196640 MFR196623:MFR196640 MPN196623:MPN196640 MZJ196623:MZJ196640 NJF196623:NJF196640 NTB196623:NTB196640 OCX196623:OCX196640 OMT196623:OMT196640 OWP196623:OWP196640 PGL196623:PGL196640 PQH196623:PQH196640 QAD196623:QAD196640 QJZ196623:QJZ196640 QTV196623:QTV196640 RDR196623:RDR196640 RNN196623:RNN196640 RXJ196623:RXJ196640 SHF196623:SHF196640 SRB196623:SRB196640 TAX196623:TAX196640 TKT196623:TKT196640 TUP196623:TUP196640 UEL196623:UEL196640 UOH196623:UOH196640 UYD196623:UYD196640 VHZ196623:VHZ196640 VRV196623:VRV196640 WBR196623:WBR196640 WLN196623:WLN196640 WVJ196623:WVJ196640 B262159:B262176 IX262159:IX262176 ST262159:ST262176 ACP262159:ACP262176 AML262159:AML262176 AWH262159:AWH262176 BGD262159:BGD262176 BPZ262159:BPZ262176 BZV262159:BZV262176 CJR262159:CJR262176 CTN262159:CTN262176 DDJ262159:DDJ262176 DNF262159:DNF262176 DXB262159:DXB262176 EGX262159:EGX262176 EQT262159:EQT262176 FAP262159:FAP262176 FKL262159:FKL262176 FUH262159:FUH262176 GED262159:GED262176 GNZ262159:GNZ262176 GXV262159:GXV262176 HHR262159:HHR262176 HRN262159:HRN262176 IBJ262159:IBJ262176 ILF262159:ILF262176 IVB262159:IVB262176 JEX262159:JEX262176 JOT262159:JOT262176 JYP262159:JYP262176 KIL262159:KIL262176 KSH262159:KSH262176 LCD262159:LCD262176 LLZ262159:LLZ262176 LVV262159:LVV262176 MFR262159:MFR262176 MPN262159:MPN262176 MZJ262159:MZJ262176 NJF262159:NJF262176 NTB262159:NTB262176 OCX262159:OCX262176 OMT262159:OMT262176 OWP262159:OWP262176 PGL262159:PGL262176 PQH262159:PQH262176 QAD262159:QAD262176 QJZ262159:QJZ262176 QTV262159:QTV262176 RDR262159:RDR262176 RNN262159:RNN262176 RXJ262159:RXJ262176 SHF262159:SHF262176 SRB262159:SRB262176 TAX262159:TAX262176 TKT262159:TKT262176 TUP262159:TUP262176 UEL262159:UEL262176 UOH262159:UOH262176 UYD262159:UYD262176 VHZ262159:VHZ262176 VRV262159:VRV262176 WBR262159:WBR262176 WLN262159:WLN262176 WVJ262159:WVJ262176 B327695:B327712 IX327695:IX327712 ST327695:ST327712 ACP327695:ACP327712 AML327695:AML327712 AWH327695:AWH327712 BGD327695:BGD327712 BPZ327695:BPZ327712 BZV327695:BZV327712 CJR327695:CJR327712 CTN327695:CTN327712 DDJ327695:DDJ327712 DNF327695:DNF327712 DXB327695:DXB327712 EGX327695:EGX327712 EQT327695:EQT327712 FAP327695:FAP327712 FKL327695:FKL327712 FUH327695:FUH327712 GED327695:GED327712 GNZ327695:GNZ327712 GXV327695:GXV327712 HHR327695:HHR327712 HRN327695:HRN327712 IBJ327695:IBJ327712 ILF327695:ILF327712 IVB327695:IVB327712 JEX327695:JEX327712 JOT327695:JOT327712 JYP327695:JYP327712 KIL327695:KIL327712 KSH327695:KSH327712 LCD327695:LCD327712 LLZ327695:LLZ327712 LVV327695:LVV327712 MFR327695:MFR327712 MPN327695:MPN327712 MZJ327695:MZJ327712 NJF327695:NJF327712 NTB327695:NTB327712 OCX327695:OCX327712 OMT327695:OMT327712 OWP327695:OWP327712 PGL327695:PGL327712 PQH327695:PQH327712 QAD327695:QAD327712 QJZ327695:QJZ327712 QTV327695:QTV327712 RDR327695:RDR327712 RNN327695:RNN327712 RXJ327695:RXJ327712 SHF327695:SHF327712 SRB327695:SRB327712 TAX327695:TAX327712 TKT327695:TKT327712 TUP327695:TUP327712 UEL327695:UEL327712 UOH327695:UOH327712 UYD327695:UYD327712 VHZ327695:VHZ327712 VRV327695:VRV327712 WBR327695:WBR327712 WLN327695:WLN327712 WVJ327695:WVJ327712 B393231:B393248 IX393231:IX393248 ST393231:ST393248 ACP393231:ACP393248 AML393231:AML393248 AWH393231:AWH393248 BGD393231:BGD393248 BPZ393231:BPZ393248 BZV393231:BZV393248 CJR393231:CJR393248 CTN393231:CTN393248 DDJ393231:DDJ393248 DNF393231:DNF393248 DXB393231:DXB393248 EGX393231:EGX393248 EQT393231:EQT393248 FAP393231:FAP393248 FKL393231:FKL393248 FUH393231:FUH393248 GED393231:GED393248 GNZ393231:GNZ393248 GXV393231:GXV393248 HHR393231:HHR393248 HRN393231:HRN393248 IBJ393231:IBJ393248 ILF393231:ILF393248 IVB393231:IVB393248 JEX393231:JEX393248 JOT393231:JOT393248 JYP393231:JYP393248 KIL393231:KIL393248 KSH393231:KSH393248 LCD393231:LCD393248 LLZ393231:LLZ393248 LVV393231:LVV393248 MFR393231:MFR393248 MPN393231:MPN393248 MZJ393231:MZJ393248 NJF393231:NJF393248 NTB393231:NTB393248 OCX393231:OCX393248 OMT393231:OMT393248 OWP393231:OWP393248 PGL393231:PGL393248 PQH393231:PQH393248 QAD393231:QAD393248 QJZ393231:QJZ393248 QTV393231:QTV393248 RDR393231:RDR393248 RNN393231:RNN393248 RXJ393231:RXJ393248 SHF393231:SHF393248 SRB393231:SRB393248 TAX393231:TAX393248 TKT393231:TKT393248 TUP393231:TUP393248 UEL393231:UEL393248 UOH393231:UOH393248 UYD393231:UYD393248 VHZ393231:VHZ393248 VRV393231:VRV393248 WBR393231:WBR393248 WLN393231:WLN393248 WVJ393231:WVJ393248 B458767:B458784 IX458767:IX458784 ST458767:ST458784 ACP458767:ACP458784 AML458767:AML458784 AWH458767:AWH458784 BGD458767:BGD458784 BPZ458767:BPZ458784 BZV458767:BZV458784 CJR458767:CJR458784 CTN458767:CTN458784 DDJ458767:DDJ458784 DNF458767:DNF458784 DXB458767:DXB458784 EGX458767:EGX458784 EQT458767:EQT458784 FAP458767:FAP458784 FKL458767:FKL458784 FUH458767:FUH458784 GED458767:GED458784 GNZ458767:GNZ458784 GXV458767:GXV458784 HHR458767:HHR458784 HRN458767:HRN458784 IBJ458767:IBJ458784 ILF458767:ILF458784 IVB458767:IVB458784 JEX458767:JEX458784 JOT458767:JOT458784 JYP458767:JYP458784 KIL458767:KIL458784 KSH458767:KSH458784 LCD458767:LCD458784 LLZ458767:LLZ458784 LVV458767:LVV458784 MFR458767:MFR458784 MPN458767:MPN458784 MZJ458767:MZJ458784 NJF458767:NJF458784 NTB458767:NTB458784 OCX458767:OCX458784 OMT458767:OMT458784 OWP458767:OWP458784 PGL458767:PGL458784 PQH458767:PQH458784 QAD458767:QAD458784 QJZ458767:QJZ458784 QTV458767:QTV458784 RDR458767:RDR458784 RNN458767:RNN458784 RXJ458767:RXJ458784 SHF458767:SHF458784 SRB458767:SRB458784 TAX458767:TAX458784 TKT458767:TKT458784 TUP458767:TUP458784 UEL458767:UEL458784 UOH458767:UOH458784 UYD458767:UYD458784 VHZ458767:VHZ458784 VRV458767:VRV458784 WBR458767:WBR458784 WLN458767:WLN458784 WVJ458767:WVJ458784 B524303:B524320 IX524303:IX524320 ST524303:ST524320 ACP524303:ACP524320 AML524303:AML524320 AWH524303:AWH524320 BGD524303:BGD524320 BPZ524303:BPZ524320 BZV524303:BZV524320 CJR524303:CJR524320 CTN524303:CTN524320 DDJ524303:DDJ524320 DNF524303:DNF524320 DXB524303:DXB524320 EGX524303:EGX524320 EQT524303:EQT524320 FAP524303:FAP524320 FKL524303:FKL524320 FUH524303:FUH524320 GED524303:GED524320 GNZ524303:GNZ524320 GXV524303:GXV524320 HHR524303:HHR524320 HRN524303:HRN524320 IBJ524303:IBJ524320 ILF524303:ILF524320 IVB524303:IVB524320 JEX524303:JEX524320 JOT524303:JOT524320 JYP524303:JYP524320 KIL524303:KIL524320 KSH524303:KSH524320 LCD524303:LCD524320 LLZ524303:LLZ524320 LVV524303:LVV524320 MFR524303:MFR524320 MPN524303:MPN524320 MZJ524303:MZJ524320 NJF524303:NJF524320 NTB524303:NTB524320 OCX524303:OCX524320 OMT524303:OMT524320 OWP524303:OWP524320 PGL524303:PGL524320 PQH524303:PQH524320 QAD524303:QAD524320 QJZ524303:QJZ524320 QTV524303:QTV524320 RDR524303:RDR524320 RNN524303:RNN524320 RXJ524303:RXJ524320 SHF524303:SHF524320 SRB524303:SRB524320 TAX524303:TAX524320 TKT524303:TKT524320 TUP524303:TUP524320 UEL524303:UEL524320 UOH524303:UOH524320 UYD524303:UYD524320 VHZ524303:VHZ524320 VRV524303:VRV524320 WBR524303:WBR524320 WLN524303:WLN524320 WVJ524303:WVJ524320 B589839:B589856 IX589839:IX589856 ST589839:ST589856 ACP589839:ACP589856 AML589839:AML589856 AWH589839:AWH589856 BGD589839:BGD589856 BPZ589839:BPZ589856 BZV589839:BZV589856 CJR589839:CJR589856 CTN589839:CTN589856 DDJ589839:DDJ589856 DNF589839:DNF589856 DXB589839:DXB589856 EGX589839:EGX589856 EQT589839:EQT589856 FAP589839:FAP589856 FKL589839:FKL589856 FUH589839:FUH589856 GED589839:GED589856 GNZ589839:GNZ589856 GXV589839:GXV589856 HHR589839:HHR589856 HRN589839:HRN589856 IBJ589839:IBJ589856 ILF589839:ILF589856 IVB589839:IVB589856 JEX589839:JEX589856 JOT589839:JOT589856 JYP589839:JYP589856 KIL589839:KIL589856 KSH589839:KSH589856 LCD589839:LCD589856 LLZ589839:LLZ589856 LVV589839:LVV589856 MFR589839:MFR589856 MPN589839:MPN589856 MZJ589839:MZJ589856 NJF589839:NJF589856 NTB589839:NTB589856 OCX589839:OCX589856 OMT589839:OMT589856 OWP589839:OWP589856 PGL589839:PGL589856 PQH589839:PQH589856 QAD589839:QAD589856 QJZ589839:QJZ589856 QTV589839:QTV589856 RDR589839:RDR589856 RNN589839:RNN589856 RXJ589839:RXJ589856 SHF589839:SHF589856 SRB589839:SRB589856 TAX589839:TAX589856 TKT589839:TKT589856 TUP589839:TUP589856 UEL589839:UEL589856 UOH589839:UOH589856 UYD589839:UYD589856 VHZ589839:VHZ589856 VRV589839:VRV589856 WBR589839:WBR589856 WLN589839:WLN589856 WVJ589839:WVJ589856 B655375:B655392 IX655375:IX655392 ST655375:ST655392 ACP655375:ACP655392 AML655375:AML655392 AWH655375:AWH655392 BGD655375:BGD655392 BPZ655375:BPZ655392 BZV655375:BZV655392 CJR655375:CJR655392 CTN655375:CTN655392 DDJ655375:DDJ655392 DNF655375:DNF655392 DXB655375:DXB655392 EGX655375:EGX655392 EQT655375:EQT655392 FAP655375:FAP655392 FKL655375:FKL655392 FUH655375:FUH655392 GED655375:GED655392 GNZ655375:GNZ655392 GXV655375:GXV655392 HHR655375:HHR655392 HRN655375:HRN655392 IBJ655375:IBJ655392 ILF655375:ILF655392 IVB655375:IVB655392 JEX655375:JEX655392 JOT655375:JOT655392 JYP655375:JYP655392 KIL655375:KIL655392 KSH655375:KSH655392 LCD655375:LCD655392 LLZ655375:LLZ655392 LVV655375:LVV655392 MFR655375:MFR655392 MPN655375:MPN655392 MZJ655375:MZJ655392 NJF655375:NJF655392 NTB655375:NTB655392 OCX655375:OCX655392 OMT655375:OMT655392 OWP655375:OWP655392 PGL655375:PGL655392 PQH655375:PQH655392 QAD655375:QAD655392 QJZ655375:QJZ655392 QTV655375:QTV655392 RDR655375:RDR655392 RNN655375:RNN655392 RXJ655375:RXJ655392 SHF655375:SHF655392 SRB655375:SRB655392 TAX655375:TAX655392 TKT655375:TKT655392 TUP655375:TUP655392 UEL655375:UEL655392 UOH655375:UOH655392 UYD655375:UYD655392 VHZ655375:VHZ655392 VRV655375:VRV655392 WBR655375:WBR655392 WLN655375:WLN655392 WVJ655375:WVJ655392 B720911:B720928 IX720911:IX720928 ST720911:ST720928 ACP720911:ACP720928 AML720911:AML720928 AWH720911:AWH720928 BGD720911:BGD720928 BPZ720911:BPZ720928 BZV720911:BZV720928 CJR720911:CJR720928 CTN720911:CTN720928 DDJ720911:DDJ720928 DNF720911:DNF720928 DXB720911:DXB720928 EGX720911:EGX720928 EQT720911:EQT720928 FAP720911:FAP720928 FKL720911:FKL720928 FUH720911:FUH720928 GED720911:GED720928 GNZ720911:GNZ720928 GXV720911:GXV720928 HHR720911:HHR720928 HRN720911:HRN720928 IBJ720911:IBJ720928 ILF720911:ILF720928 IVB720911:IVB720928 JEX720911:JEX720928 JOT720911:JOT720928 JYP720911:JYP720928 KIL720911:KIL720928 KSH720911:KSH720928 LCD720911:LCD720928 LLZ720911:LLZ720928 LVV720911:LVV720928 MFR720911:MFR720928 MPN720911:MPN720928 MZJ720911:MZJ720928 NJF720911:NJF720928 NTB720911:NTB720928 OCX720911:OCX720928 OMT720911:OMT720928 OWP720911:OWP720928 PGL720911:PGL720928 PQH720911:PQH720928 QAD720911:QAD720928 QJZ720911:QJZ720928 QTV720911:QTV720928 RDR720911:RDR720928 RNN720911:RNN720928 RXJ720911:RXJ720928 SHF720911:SHF720928 SRB720911:SRB720928 TAX720911:TAX720928 TKT720911:TKT720928 TUP720911:TUP720928 UEL720911:UEL720928 UOH720911:UOH720928 UYD720911:UYD720928 VHZ720911:VHZ720928 VRV720911:VRV720928 WBR720911:WBR720928 WLN720911:WLN720928 WVJ720911:WVJ720928 B786447:B786464 IX786447:IX786464 ST786447:ST786464 ACP786447:ACP786464 AML786447:AML786464 AWH786447:AWH786464 BGD786447:BGD786464 BPZ786447:BPZ786464 BZV786447:BZV786464 CJR786447:CJR786464 CTN786447:CTN786464 DDJ786447:DDJ786464 DNF786447:DNF786464 DXB786447:DXB786464 EGX786447:EGX786464 EQT786447:EQT786464 FAP786447:FAP786464 FKL786447:FKL786464 FUH786447:FUH786464 GED786447:GED786464 GNZ786447:GNZ786464 GXV786447:GXV786464 HHR786447:HHR786464 HRN786447:HRN786464 IBJ786447:IBJ786464 ILF786447:ILF786464 IVB786447:IVB786464 JEX786447:JEX786464 JOT786447:JOT786464 JYP786447:JYP786464 KIL786447:KIL786464 KSH786447:KSH786464 LCD786447:LCD786464 LLZ786447:LLZ786464 LVV786447:LVV786464 MFR786447:MFR786464 MPN786447:MPN786464 MZJ786447:MZJ786464 NJF786447:NJF786464 NTB786447:NTB786464 OCX786447:OCX786464 OMT786447:OMT786464 OWP786447:OWP786464 PGL786447:PGL786464 PQH786447:PQH786464 QAD786447:QAD786464 QJZ786447:QJZ786464 QTV786447:QTV786464 RDR786447:RDR786464 RNN786447:RNN786464 RXJ786447:RXJ786464 SHF786447:SHF786464 SRB786447:SRB786464 TAX786447:TAX786464 TKT786447:TKT786464 TUP786447:TUP786464 UEL786447:UEL786464 UOH786447:UOH786464 UYD786447:UYD786464 VHZ786447:VHZ786464 VRV786447:VRV786464 WBR786447:WBR786464 WLN786447:WLN786464 WVJ786447:WVJ786464 B851983:B852000 IX851983:IX852000 ST851983:ST852000 ACP851983:ACP852000 AML851983:AML852000 AWH851983:AWH852000 BGD851983:BGD852000 BPZ851983:BPZ852000 BZV851983:BZV852000 CJR851983:CJR852000 CTN851983:CTN852000 DDJ851983:DDJ852000 DNF851983:DNF852000 DXB851983:DXB852000 EGX851983:EGX852000 EQT851983:EQT852000 FAP851983:FAP852000 FKL851983:FKL852000 FUH851983:FUH852000 GED851983:GED852000 GNZ851983:GNZ852000 GXV851983:GXV852000 HHR851983:HHR852000 HRN851983:HRN852000 IBJ851983:IBJ852000 ILF851983:ILF852000 IVB851983:IVB852000 JEX851983:JEX852000 JOT851983:JOT852000 JYP851983:JYP852000 KIL851983:KIL852000 KSH851983:KSH852000 LCD851983:LCD852000 LLZ851983:LLZ852000 LVV851983:LVV852000 MFR851983:MFR852000 MPN851983:MPN852000 MZJ851983:MZJ852000 NJF851983:NJF852000 NTB851983:NTB852000 OCX851983:OCX852000 OMT851983:OMT852000 OWP851983:OWP852000 PGL851983:PGL852000 PQH851983:PQH852000 QAD851983:QAD852000 QJZ851983:QJZ852000 QTV851983:QTV852000 RDR851983:RDR852000 RNN851983:RNN852000 RXJ851983:RXJ852000 SHF851983:SHF852000 SRB851983:SRB852000 TAX851983:TAX852000 TKT851983:TKT852000 TUP851983:TUP852000 UEL851983:UEL852000 UOH851983:UOH852000 UYD851983:UYD852000 VHZ851983:VHZ852000 VRV851983:VRV852000 WBR851983:WBR852000 WLN851983:WLN852000 WVJ851983:WVJ852000 B917519:B917536 IX917519:IX917536 ST917519:ST917536 ACP917519:ACP917536 AML917519:AML917536 AWH917519:AWH917536 BGD917519:BGD917536 BPZ917519:BPZ917536 BZV917519:BZV917536 CJR917519:CJR917536 CTN917519:CTN917536 DDJ917519:DDJ917536 DNF917519:DNF917536 DXB917519:DXB917536 EGX917519:EGX917536 EQT917519:EQT917536 FAP917519:FAP917536 FKL917519:FKL917536 FUH917519:FUH917536 GED917519:GED917536 GNZ917519:GNZ917536 GXV917519:GXV917536 HHR917519:HHR917536 HRN917519:HRN917536 IBJ917519:IBJ917536 ILF917519:ILF917536 IVB917519:IVB917536 JEX917519:JEX917536 JOT917519:JOT917536 JYP917519:JYP917536 KIL917519:KIL917536 KSH917519:KSH917536 LCD917519:LCD917536 LLZ917519:LLZ917536 LVV917519:LVV917536 MFR917519:MFR917536 MPN917519:MPN917536 MZJ917519:MZJ917536 NJF917519:NJF917536 NTB917519:NTB917536 OCX917519:OCX917536 OMT917519:OMT917536 OWP917519:OWP917536 PGL917519:PGL917536 PQH917519:PQH917536 QAD917519:QAD917536 QJZ917519:QJZ917536 QTV917519:QTV917536 RDR917519:RDR917536 RNN917519:RNN917536 RXJ917519:RXJ917536 SHF917519:SHF917536 SRB917519:SRB917536 TAX917519:TAX917536 TKT917519:TKT917536 TUP917519:TUP917536 UEL917519:UEL917536 UOH917519:UOH917536 UYD917519:UYD917536 VHZ917519:VHZ917536 VRV917519:VRV917536 WBR917519:WBR917536 WLN917519:WLN917536 WVJ917519:WVJ917536" xr:uid="{00000000-0002-0000-3000-000000000000}">
      <formula1>trung</formula1>
    </dataValidation>
    <dataValidation type="list" allowBlank="1" showInputMessage="1" showErrorMessage="1" sqref="B29:B31" xr:uid="{00000000-0002-0000-3000-000001000000}">
      <formula1>bichphuong</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7"/>
  <sheetViews>
    <sheetView tabSelected="1" workbookViewId="0">
      <selection sqref="A1:K1"/>
    </sheetView>
  </sheetViews>
  <sheetFormatPr defaultColWidth="8.8984375" defaultRowHeight="15"/>
  <cols>
    <col min="1" max="1" width="6" style="351" customWidth="1"/>
    <col min="2" max="2" width="5.09765625" style="351" customWidth="1"/>
    <col min="3" max="3" width="17.69921875" style="351" customWidth="1"/>
    <col min="4" max="5" width="13.8984375" style="351" bestFit="1" customWidth="1"/>
    <col min="6" max="7" width="12.19921875" style="351" bestFit="1" customWidth="1"/>
    <col min="8" max="9" width="11.19921875" style="351" bestFit="1" customWidth="1"/>
    <col min="10" max="10" width="13.5" style="351" customWidth="1"/>
    <col min="11" max="11" width="15.69921875" style="351" customWidth="1"/>
    <col min="12" max="12" width="15" style="351" customWidth="1"/>
    <col min="13" max="14" width="14.3984375" style="351" customWidth="1"/>
    <col min="15" max="15" width="13.69921875" style="351" bestFit="1" customWidth="1"/>
    <col min="16" max="16" width="16" style="351" customWidth="1"/>
    <col min="17" max="252" width="8.8984375" style="351"/>
    <col min="253" max="253" width="5.09765625" style="351" customWidth="1"/>
    <col min="254" max="254" width="19.5" style="351" customWidth="1"/>
    <col min="255" max="255" width="11.19921875" style="351" bestFit="1" customWidth="1"/>
    <col min="256" max="257" width="9.09765625" style="351" bestFit="1" customWidth="1"/>
    <col min="258" max="258" width="8.5" style="351" bestFit="1" customWidth="1"/>
    <col min="259" max="259" width="10" style="351" bestFit="1" customWidth="1"/>
    <col min="260" max="260" width="9.09765625" style="351" bestFit="1" customWidth="1"/>
    <col min="261" max="261" width="10" style="351" bestFit="1" customWidth="1"/>
    <col min="262" max="262" width="7.09765625" style="351" customWidth="1"/>
    <col min="263" max="263" width="13.5" style="351" customWidth="1"/>
    <col min="264" max="264" width="13.8984375" style="351" customWidth="1"/>
    <col min="265" max="265" width="10" style="351" bestFit="1" customWidth="1"/>
    <col min="266" max="266" width="9" style="351" bestFit="1" customWidth="1"/>
    <col min="267" max="508" width="8.8984375" style="351"/>
    <col min="509" max="509" width="5.09765625" style="351" customWidth="1"/>
    <col min="510" max="510" width="19.5" style="351" customWidth="1"/>
    <col min="511" max="511" width="11.19921875" style="351" bestFit="1" customWidth="1"/>
    <col min="512" max="513" width="9.09765625" style="351" bestFit="1" customWidth="1"/>
    <col min="514" max="514" width="8.5" style="351" bestFit="1" customWidth="1"/>
    <col min="515" max="515" width="10" style="351" bestFit="1" customWidth="1"/>
    <col min="516" max="516" width="9.09765625" style="351" bestFit="1" customWidth="1"/>
    <col min="517" max="517" width="10" style="351" bestFit="1" customWidth="1"/>
    <col min="518" max="518" width="7.09765625" style="351" customWidth="1"/>
    <col min="519" max="519" width="13.5" style="351" customWidth="1"/>
    <col min="520" max="520" width="13.8984375" style="351" customWidth="1"/>
    <col min="521" max="521" width="10" style="351" bestFit="1" customWidth="1"/>
    <col min="522" max="522" width="9" style="351" bestFit="1" customWidth="1"/>
    <col min="523" max="764" width="8.8984375" style="351"/>
    <col min="765" max="765" width="5.09765625" style="351" customWidth="1"/>
    <col min="766" max="766" width="19.5" style="351" customWidth="1"/>
    <col min="767" max="767" width="11.19921875" style="351" bestFit="1" customWidth="1"/>
    <col min="768" max="769" width="9.09765625" style="351" bestFit="1" customWidth="1"/>
    <col min="770" max="770" width="8.5" style="351" bestFit="1" customWidth="1"/>
    <col min="771" max="771" width="10" style="351" bestFit="1" customWidth="1"/>
    <col min="772" max="772" width="9.09765625" style="351" bestFit="1" customWidth="1"/>
    <col min="773" max="773" width="10" style="351" bestFit="1" customWidth="1"/>
    <col min="774" max="774" width="7.09765625" style="351" customWidth="1"/>
    <col min="775" max="775" width="13.5" style="351" customWidth="1"/>
    <col min="776" max="776" width="13.8984375" style="351" customWidth="1"/>
    <col min="777" max="777" width="10" style="351" bestFit="1" customWidth="1"/>
    <col min="778" max="778" width="9" style="351" bestFit="1" customWidth="1"/>
    <col min="779" max="1020" width="8.8984375" style="351"/>
    <col min="1021" max="1021" width="5.09765625" style="351" customWidth="1"/>
    <col min="1022" max="1022" width="19.5" style="351" customWidth="1"/>
    <col min="1023" max="1023" width="11.19921875" style="351" bestFit="1" customWidth="1"/>
    <col min="1024" max="1025" width="9.09765625" style="351" bestFit="1" customWidth="1"/>
    <col min="1026" max="1026" width="8.5" style="351" bestFit="1" customWidth="1"/>
    <col min="1027" max="1027" width="10" style="351" bestFit="1" customWidth="1"/>
    <col min="1028" max="1028" width="9.09765625" style="351" bestFit="1" customWidth="1"/>
    <col min="1029" max="1029" width="10" style="351" bestFit="1" customWidth="1"/>
    <col min="1030" max="1030" width="7.09765625" style="351" customWidth="1"/>
    <col min="1031" max="1031" width="13.5" style="351" customWidth="1"/>
    <col min="1032" max="1032" width="13.8984375" style="351" customWidth="1"/>
    <col min="1033" max="1033" width="10" style="351" bestFit="1" customWidth="1"/>
    <col min="1034" max="1034" width="9" style="351" bestFit="1" customWidth="1"/>
    <col min="1035" max="1276" width="8.8984375" style="351"/>
    <col min="1277" max="1277" width="5.09765625" style="351" customWidth="1"/>
    <col min="1278" max="1278" width="19.5" style="351" customWidth="1"/>
    <col min="1279" max="1279" width="11.19921875" style="351" bestFit="1" customWidth="1"/>
    <col min="1280" max="1281" width="9.09765625" style="351" bestFit="1" customWidth="1"/>
    <col min="1282" max="1282" width="8.5" style="351" bestFit="1" customWidth="1"/>
    <col min="1283" max="1283" width="10" style="351" bestFit="1" customWidth="1"/>
    <col min="1284" max="1284" width="9.09765625" style="351" bestFit="1" customWidth="1"/>
    <col min="1285" max="1285" width="10" style="351" bestFit="1" customWidth="1"/>
    <col min="1286" max="1286" width="7.09765625" style="351" customWidth="1"/>
    <col min="1287" max="1287" width="13.5" style="351" customWidth="1"/>
    <col min="1288" max="1288" width="13.8984375" style="351" customWidth="1"/>
    <col min="1289" max="1289" width="10" style="351" bestFit="1" customWidth="1"/>
    <col min="1290" max="1290" width="9" style="351" bestFit="1" customWidth="1"/>
    <col min="1291" max="1532" width="8.8984375" style="351"/>
    <col min="1533" max="1533" width="5.09765625" style="351" customWidth="1"/>
    <col min="1534" max="1534" width="19.5" style="351" customWidth="1"/>
    <col min="1535" max="1535" width="11.19921875" style="351" bestFit="1" customWidth="1"/>
    <col min="1536" max="1537" width="9.09765625" style="351" bestFit="1" customWidth="1"/>
    <col min="1538" max="1538" width="8.5" style="351" bestFit="1" customWidth="1"/>
    <col min="1539" max="1539" width="10" style="351" bestFit="1" customWidth="1"/>
    <col min="1540" max="1540" width="9.09765625" style="351" bestFit="1" customWidth="1"/>
    <col min="1541" max="1541" width="10" style="351" bestFit="1" customWidth="1"/>
    <col min="1542" max="1542" width="7.09765625" style="351" customWidth="1"/>
    <col min="1543" max="1543" width="13.5" style="351" customWidth="1"/>
    <col min="1544" max="1544" width="13.8984375" style="351" customWidth="1"/>
    <col min="1545" max="1545" width="10" style="351" bestFit="1" customWidth="1"/>
    <col min="1546" max="1546" width="9" style="351" bestFit="1" customWidth="1"/>
    <col min="1547" max="1788" width="8.8984375" style="351"/>
    <col min="1789" max="1789" width="5.09765625" style="351" customWidth="1"/>
    <col min="1790" max="1790" width="19.5" style="351" customWidth="1"/>
    <col min="1791" max="1791" width="11.19921875" style="351" bestFit="1" customWidth="1"/>
    <col min="1792" max="1793" width="9.09765625" style="351" bestFit="1" customWidth="1"/>
    <col min="1794" max="1794" width="8.5" style="351" bestFit="1" customWidth="1"/>
    <col min="1795" max="1795" width="10" style="351" bestFit="1" customWidth="1"/>
    <col min="1796" max="1796" width="9.09765625" style="351" bestFit="1" customWidth="1"/>
    <col min="1797" max="1797" width="10" style="351" bestFit="1" customWidth="1"/>
    <col min="1798" max="1798" width="7.09765625" style="351" customWidth="1"/>
    <col min="1799" max="1799" width="13.5" style="351" customWidth="1"/>
    <col min="1800" max="1800" width="13.8984375" style="351" customWidth="1"/>
    <col min="1801" max="1801" width="10" style="351" bestFit="1" customWidth="1"/>
    <col min="1802" max="1802" width="9" style="351" bestFit="1" customWidth="1"/>
    <col min="1803" max="2044" width="8.8984375" style="351"/>
    <col min="2045" max="2045" width="5.09765625" style="351" customWidth="1"/>
    <col min="2046" max="2046" width="19.5" style="351" customWidth="1"/>
    <col min="2047" max="2047" width="11.19921875" style="351" bestFit="1" customWidth="1"/>
    <col min="2048" max="2049" width="9.09765625" style="351" bestFit="1" customWidth="1"/>
    <col min="2050" max="2050" width="8.5" style="351" bestFit="1" customWidth="1"/>
    <col min="2051" max="2051" width="10" style="351" bestFit="1" customWidth="1"/>
    <col min="2052" max="2052" width="9.09765625" style="351" bestFit="1" customWidth="1"/>
    <col min="2053" max="2053" width="10" style="351" bestFit="1" customWidth="1"/>
    <col min="2054" max="2054" width="7.09765625" style="351" customWidth="1"/>
    <col min="2055" max="2055" width="13.5" style="351" customWidth="1"/>
    <col min="2056" max="2056" width="13.8984375" style="351" customWidth="1"/>
    <col min="2057" max="2057" width="10" style="351" bestFit="1" customWidth="1"/>
    <col min="2058" max="2058" width="9" style="351" bestFit="1" customWidth="1"/>
    <col min="2059" max="2300" width="8.8984375" style="351"/>
    <col min="2301" max="2301" width="5.09765625" style="351" customWidth="1"/>
    <col min="2302" max="2302" width="19.5" style="351" customWidth="1"/>
    <col min="2303" max="2303" width="11.19921875" style="351" bestFit="1" customWidth="1"/>
    <col min="2304" max="2305" width="9.09765625" style="351" bestFit="1" customWidth="1"/>
    <col min="2306" max="2306" width="8.5" style="351" bestFit="1" customWidth="1"/>
    <col min="2307" max="2307" width="10" style="351" bestFit="1" customWidth="1"/>
    <col min="2308" max="2308" width="9.09765625" style="351" bestFit="1" customWidth="1"/>
    <col min="2309" max="2309" width="10" style="351" bestFit="1" customWidth="1"/>
    <col min="2310" max="2310" width="7.09765625" style="351" customWidth="1"/>
    <col min="2311" max="2311" width="13.5" style="351" customWidth="1"/>
    <col min="2312" max="2312" width="13.8984375" style="351" customWidth="1"/>
    <col min="2313" max="2313" width="10" style="351" bestFit="1" customWidth="1"/>
    <col min="2314" max="2314" width="9" style="351" bestFit="1" customWidth="1"/>
    <col min="2315" max="2556" width="8.8984375" style="351"/>
    <col min="2557" max="2557" width="5.09765625" style="351" customWidth="1"/>
    <col min="2558" max="2558" width="19.5" style="351" customWidth="1"/>
    <col min="2559" max="2559" width="11.19921875" style="351" bestFit="1" customWidth="1"/>
    <col min="2560" max="2561" width="9.09765625" style="351" bestFit="1" customWidth="1"/>
    <col min="2562" max="2562" width="8.5" style="351" bestFit="1" customWidth="1"/>
    <col min="2563" max="2563" width="10" style="351" bestFit="1" customWidth="1"/>
    <col min="2564" max="2564" width="9.09765625" style="351" bestFit="1" customWidth="1"/>
    <col min="2565" max="2565" width="10" style="351" bestFit="1" customWidth="1"/>
    <col min="2566" max="2566" width="7.09765625" style="351" customWidth="1"/>
    <col min="2567" max="2567" width="13.5" style="351" customWidth="1"/>
    <col min="2568" max="2568" width="13.8984375" style="351" customWidth="1"/>
    <col min="2569" max="2569" width="10" style="351" bestFit="1" customWidth="1"/>
    <col min="2570" max="2570" width="9" style="351" bestFit="1" customWidth="1"/>
    <col min="2571" max="2812" width="8.8984375" style="351"/>
    <col min="2813" max="2813" width="5.09765625" style="351" customWidth="1"/>
    <col min="2814" max="2814" width="19.5" style="351" customWidth="1"/>
    <col min="2815" max="2815" width="11.19921875" style="351" bestFit="1" customWidth="1"/>
    <col min="2816" max="2817" width="9.09765625" style="351" bestFit="1" customWidth="1"/>
    <col min="2818" max="2818" width="8.5" style="351" bestFit="1" customWidth="1"/>
    <col min="2819" max="2819" width="10" style="351" bestFit="1" customWidth="1"/>
    <col min="2820" max="2820" width="9.09765625" style="351" bestFit="1" customWidth="1"/>
    <col min="2821" max="2821" width="10" style="351" bestFit="1" customWidth="1"/>
    <col min="2822" max="2822" width="7.09765625" style="351" customWidth="1"/>
    <col min="2823" max="2823" width="13.5" style="351" customWidth="1"/>
    <col min="2824" max="2824" width="13.8984375" style="351" customWidth="1"/>
    <col min="2825" max="2825" width="10" style="351" bestFit="1" customWidth="1"/>
    <col min="2826" max="2826" width="9" style="351" bestFit="1" customWidth="1"/>
    <col min="2827" max="3068" width="8.8984375" style="351"/>
    <col min="3069" max="3069" width="5.09765625" style="351" customWidth="1"/>
    <col min="3070" max="3070" width="19.5" style="351" customWidth="1"/>
    <col min="3071" max="3071" width="11.19921875" style="351" bestFit="1" customWidth="1"/>
    <col min="3072" max="3073" width="9.09765625" style="351" bestFit="1" customWidth="1"/>
    <col min="3074" max="3074" width="8.5" style="351" bestFit="1" customWidth="1"/>
    <col min="3075" max="3075" width="10" style="351" bestFit="1" customWidth="1"/>
    <col min="3076" max="3076" width="9.09765625" style="351" bestFit="1" customWidth="1"/>
    <col min="3077" max="3077" width="10" style="351" bestFit="1" customWidth="1"/>
    <col min="3078" max="3078" width="7.09765625" style="351" customWidth="1"/>
    <col min="3079" max="3079" width="13.5" style="351" customWidth="1"/>
    <col min="3080" max="3080" width="13.8984375" style="351" customWidth="1"/>
    <col min="3081" max="3081" width="10" style="351" bestFit="1" customWidth="1"/>
    <col min="3082" max="3082" width="9" style="351" bestFit="1" customWidth="1"/>
    <col min="3083" max="3324" width="8.8984375" style="351"/>
    <col min="3325" max="3325" width="5.09765625" style="351" customWidth="1"/>
    <col min="3326" max="3326" width="19.5" style="351" customWidth="1"/>
    <col min="3327" max="3327" width="11.19921875" style="351" bestFit="1" customWidth="1"/>
    <col min="3328" max="3329" width="9.09765625" style="351" bestFit="1" customWidth="1"/>
    <col min="3330" max="3330" width="8.5" style="351" bestFit="1" customWidth="1"/>
    <col min="3331" max="3331" width="10" style="351" bestFit="1" customWidth="1"/>
    <col min="3332" max="3332" width="9.09765625" style="351" bestFit="1" customWidth="1"/>
    <col min="3333" max="3333" width="10" style="351" bestFit="1" customWidth="1"/>
    <col min="3334" max="3334" width="7.09765625" style="351" customWidth="1"/>
    <col min="3335" max="3335" width="13.5" style="351" customWidth="1"/>
    <col min="3336" max="3336" width="13.8984375" style="351" customWidth="1"/>
    <col min="3337" max="3337" width="10" style="351" bestFit="1" customWidth="1"/>
    <col min="3338" max="3338" width="9" style="351" bestFit="1" customWidth="1"/>
    <col min="3339" max="3580" width="8.8984375" style="351"/>
    <col min="3581" max="3581" width="5.09765625" style="351" customWidth="1"/>
    <col min="3582" max="3582" width="19.5" style="351" customWidth="1"/>
    <col min="3583" max="3583" width="11.19921875" style="351" bestFit="1" customWidth="1"/>
    <col min="3584" max="3585" width="9.09765625" style="351" bestFit="1" customWidth="1"/>
    <col min="3586" max="3586" width="8.5" style="351" bestFit="1" customWidth="1"/>
    <col min="3587" max="3587" width="10" style="351" bestFit="1" customWidth="1"/>
    <col min="3588" max="3588" width="9.09765625" style="351" bestFit="1" customWidth="1"/>
    <col min="3589" max="3589" width="10" style="351" bestFit="1" customWidth="1"/>
    <col min="3590" max="3590" width="7.09765625" style="351" customWidth="1"/>
    <col min="3591" max="3591" width="13.5" style="351" customWidth="1"/>
    <col min="3592" max="3592" width="13.8984375" style="351" customWidth="1"/>
    <col min="3593" max="3593" width="10" style="351" bestFit="1" customWidth="1"/>
    <col min="3594" max="3594" width="9" style="351" bestFit="1" customWidth="1"/>
    <col min="3595" max="3836" width="8.8984375" style="351"/>
    <col min="3837" max="3837" width="5.09765625" style="351" customWidth="1"/>
    <col min="3838" max="3838" width="19.5" style="351" customWidth="1"/>
    <col min="3839" max="3839" width="11.19921875" style="351" bestFit="1" customWidth="1"/>
    <col min="3840" max="3841" width="9.09765625" style="351" bestFit="1" customWidth="1"/>
    <col min="3842" max="3842" width="8.5" style="351" bestFit="1" customWidth="1"/>
    <col min="3843" max="3843" width="10" style="351" bestFit="1" customWidth="1"/>
    <col min="3844" max="3844" width="9.09765625" style="351" bestFit="1" customWidth="1"/>
    <col min="3845" max="3845" width="10" style="351" bestFit="1" customWidth="1"/>
    <col min="3846" max="3846" width="7.09765625" style="351" customWidth="1"/>
    <col min="3847" max="3847" width="13.5" style="351" customWidth="1"/>
    <col min="3848" max="3848" width="13.8984375" style="351" customWidth="1"/>
    <col min="3849" max="3849" width="10" style="351" bestFit="1" customWidth="1"/>
    <col min="3850" max="3850" width="9" style="351" bestFit="1" customWidth="1"/>
    <col min="3851" max="4092" width="8.8984375" style="351"/>
    <col min="4093" max="4093" width="5.09765625" style="351" customWidth="1"/>
    <col min="4094" max="4094" width="19.5" style="351" customWidth="1"/>
    <col min="4095" max="4095" width="11.19921875" style="351" bestFit="1" customWidth="1"/>
    <col min="4096" max="4097" width="9.09765625" style="351" bestFit="1" customWidth="1"/>
    <col min="4098" max="4098" width="8.5" style="351" bestFit="1" customWidth="1"/>
    <col min="4099" max="4099" width="10" style="351" bestFit="1" customWidth="1"/>
    <col min="4100" max="4100" width="9.09765625" style="351" bestFit="1" customWidth="1"/>
    <col min="4101" max="4101" width="10" style="351" bestFit="1" customWidth="1"/>
    <col min="4102" max="4102" width="7.09765625" style="351" customWidth="1"/>
    <col min="4103" max="4103" width="13.5" style="351" customWidth="1"/>
    <col min="4104" max="4104" width="13.8984375" style="351" customWidth="1"/>
    <col min="4105" max="4105" width="10" style="351" bestFit="1" customWidth="1"/>
    <col min="4106" max="4106" width="9" style="351" bestFit="1" customWidth="1"/>
    <col min="4107" max="4348" width="8.8984375" style="351"/>
    <col min="4349" max="4349" width="5.09765625" style="351" customWidth="1"/>
    <col min="4350" max="4350" width="19.5" style="351" customWidth="1"/>
    <col min="4351" max="4351" width="11.19921875" style="351" bestFit="1" customWidth="1"/>
    <col min="4352" max="4353" width="9.09765625" style="351" bestFit="1" customWidth="1"/>
    <col min="4354" max="4354" width="8.5" style="351" bestFit="1" customWidth="1"/>
    <col min="4355" max="4355" width="10" style="351" bestFit="1" customWidth="1"/>
    <col min="4356" max="4356" width="9.09765625" style="351" bestFit="1" customWidth="1"/>
    <col min="4357" max="4357" width="10" style="351" bestFit="1" customWidth="1"/>
    <col min="4358" max="4358" width="7.09765625" style="351" customWidth="1"/>
    <col min="4359" max="4359" width="13.5" style="351" customWidth="1"/>
    <col min="4360" max="4360" width="13.8984375" style="351" customWidth="1"/>
    <col min="4361" max="4361" width="10" style="351" bestFit="1" customWidth="1"/>
    <col min="4362" max="4362" width="9" style="351" bestFit="1" customWidth="1"/>
    <col min="4363" max="4604" width="8.8984375" style="351"/>
    <col min="4605" max="4605" width="5.09765625" style="351" customWidth="1"/>
    <col min="4606" max="4606" width="19.5" style="351" customWidth="1"/>
    <col min="4607" max="4607" width="11.19921875" style="351" bestFit="1" customWidth="1"/>
    <col min="4608" max="4609" width="9.09765625" style="351" bestFit="1" customWidth="1"/>
    <col min="4610" max="4610" width="8.5" style="351" bestFit="1" customWidth="1"/>
    <col min="4611" max="4611" width="10" style="351" bestFit="1" customWidth="1"/>
    <col min="4612" max="4612" width="9.09765625" style="351" bestFit="1" customWidth="1"/>
    <col min="4613" max="4613" width="10" style="351" bestFit="1" customWidth="1"/>
    <col min="4614" max="4614" width="7.09765625" style="351" customWidth="1"/>
    <col min="4615" max="4615" width="13.5" style="351" customWidth="1"/>
    <col min="4616" max="4616" width="13.8984375" style="351" customWidth="1"/>
    <col min="4617" max="4617" width="10" style="351" bestFit="1" customWidth="1"/>
    <col min="4618" max="4618" width="9" style="351" bestFit="1" customWidth="1"/>
    <col min="4619" max="4860" width="8.8984375" style="351"/>
    <col min="4861" max="4861" width="5.09765625" style="351" customWidth="1"/>
    <col min="4862" max="4862" width="19.5" style="351" customWidth="1"/>
    <col min="4863" max="4863" width="11.19921875" style="351" bestFit="1" customWidth="1"/>
    <col min="4864" max="4865" width="9.09765625" style="351" bestFit="1" customWidth="1"/>
    <col min="4866" max="4866" width="8.5" style="351" bestFit="1" customWidth="1"/>
    <col min="4867" max="4867" width="10" style="351" bestFit="1" customWidth="1"/>
    <col min="4868" max="4868" width="9.09765625" style="351" bestFit="1" customWidth="1"/>
    <col min="4869" max="4869" width="10" style="351" bestFit="1" customWidth="1"/>
    <col min="4870" max="4870" width="7.09765625" style="351" customWidth="1"/>
    <col min="4871" max="4871" width="13.5" style="351" customWidth="1"/>
    <col min="4872" max="4872" width="13.8984375" style="351" customWidth="1"/>
    <col min="4873" max="4873" width="10" style="351" bestFit="1" customWidth="1"/>
    <col min="4874" max="4874" width="9" style="351" bestFit="1" customWidth="1"/>
    <col min="4875" max="5116" width="8.8984375" style="351"/>
    <col min="5117" max="5117" width="5.09765625" style="351" customWidth="1"/>
    <col min="5118" max="5118" width="19.5" style="351" customWidth="1"/>
    <col min="5119" max="5119" width="11.19921875" style="351" bestFit="1" customWidth="1"/>
    <col min="5120" max="5121" width="9.09765625" style="351" bestFit="1" customWidth="1"/>
    <col min="5122" max="5122" width="8.5" style="351" bestFit="1" customWidth="1"/>
    <col min="5123" max="5123" width="10" style="351" bestFit="1" customWidth="1"/>
    <col min="5124" max="5124" width="9.09765625" style="351" bestFit="1" customWidth="1"/>
    <col min="5125" max="5125" width="10" style="351" bestFit="1" customWidth="1"/>
    <col min="5126" max="5126" width="7.09765625" style="351" customWidth="1"/>
    <col min="5127" max="5127" width="13.5" style="351" customWidth="1"/>
    <col min="5128" max="5128" width="13.8984375" style="351" customWidth="1"/>
    <col min="5129" max="5129" width="10" style="351" bestFit="1" customWidth="1"/>
    <col min="5130" max="5130" width="9" style="351" bestFit="1" customWidth="1"/>
    <col min="5131" max="5372" width="8.8984375" style="351"/>
    <col min="5373" max="5373" width="5.09765625" style="351" customWidth="1"/>
    <col min="5374" max="5374" width="19.5" style="351" customWidth="1"/>
    <col min="5375" max="5375" width="11.19921875" style="351" bestFit="1" customWidth="1"/>
    <col min="5376" max="5377" width="9.09765625" style="351" bestFit="1" customWidth="1"/>
    <col min="5378" max="5378" width="8.5" style="351" bestFit="1" customWidth="1"/>
    <col min="5379" max="5379" width="10" style="351" bestFit="1" customWidth="1"/>
    <col min="5380" max="5380" width="9.09765625" style="351" bestFit="1" customWidth="1"/>
    <col min="5381" max="5381" width="10" style="351" bestFit="1" customWidth="1"/>
    <col min="5382" max="5382" width="7.09765625" style="351" customWidth="1"/>
    <col min="5383" max="5383" width="13.5" style="351" customWidth="1"/>
    <col min="5384" max="5384" width="13.8984375" style="351" customWidth="1"/>
    <col min="5385" max="5385" width="10" style="351" bestFit="1" customWidth="1"/>
    <col min="5386" max="5386" width="9" style="351" bestFit="1" customWidth="1"/>
    <col min="5387" max="5628" width="8.8984375" style="351"/>
    <col min="5629" max="5629" width="5.09765625" style="351" customWidth="1"/>
    <col min="5630" max="5630" width="19.5" style="351" customWidth="1"/>
    <col min="5631" max="5631" width="11.19921875" style="351" bestFit="1" customWidth="1"/>
    <col min="5632" max="5633" width="9.09765625" style="351" bestFit="1" customWidth="1"/>
    <col min="5634" max="5634" width="8.5" style="351" bestFit="1" customWidth="1"/>
    <col min="5635" max="5635" width="10" style="351" bestFit="1" customWidth="1"/>
    <col min="5636" max="5636" width="9.09765625" style="351" bestFit="1" customWidth="1"/>
    <col min="5637" max="5637" width="10" style="351" bestFit="1" customWidth="1"/>
    <col min="5638" max="5638" width="7.09765625" style="351" customWidth="1"/>
    <col min="5639" max="5639" width="13.5" style="351" customWidth="1"/>
    <col min="5640" max="5640" width="13.8984375" style="351" customWidth="1"/>
    <col min="5641" max="5641" width="10" style="351" bestFit="1" customWidth="1"/>
    <col min="5642" max="5642" width="9" style="351" bestFit="1" customWidth="1"/>
    <col min="5643" max="5884" width="8.8984375" style="351"/>
    <col min="5885" max="5885" width="5.09765625" style="351" customWidth="1"/>
    <col min="5886" max="5886" width="19.5" style="351" customWidth="1"/>
    <col min="5887" max="5887" width="11.19921875" style="351" bestFit="1" customWidth="1"/>
    <col min="5888" max="5889" width="9.09765625" style="351" bestFit="1" customWidth="1"/>
    <col min="5890" max="5890" width="8.5" style="351" bestFit="1" customWidth="1"/>
    <col min="5891" max="5891" width="10" style="351" bestFit="1" customWidth="1"/>
    <col min="5892" max="5892" width="9.09765625" style="351" bestFit="1" customWidth="1"/>
    <col min="5893" max="5893" width="10" style="351" bestFit="1" customWidth="1"/>
    <col min="5894" max="5894" width="7.09765625" style="351" customWidth="1"/>
    <col min="5895" max="5895" width="13.5" style="351" customWidth="1"/>
    <col min="5896" max="5896" width="13.8984375" style="351" customWidth="1"/>
    <col min="5897" max="5897" width="10" style="351" bestFit="1" customWidth="1"/>
    <col min="5898" max="5898" width="9" style="351" bestFit="1" customWidth="1"/>
    <col min="5899" max="6140" width="8.8984375" style="351"/>
    <col min="6141" max="6141" width="5.09765625" style="351" customWidth="1"/>
    <col min="6142" max="6142" width="19.5" style="351" customWidth="1"/>
    <col min="6143" max="6143" width="11.19921875" style="351" bestFit="1" customWidth="1"/>
    <col min="6144" max="6145" width="9.09765625" style="351" bestFit="1" customWidth="1"/>
    <col min="6146" max="6146" width="8.5" style="351" bestFit="1" customWidth="1"/>
    <col min="6147" max="6147" width="10" style="351" bestFit="1" customWidth="1"/>
    <col min="6148" max="6148" width="9.09765625" style="351" bestFit="1" customWidth="1"/>
    <col min="6149" max="6149" width="10" style="351" bestFit="1" customWidth="1"/>
    <col min="6150" max="6150" width="7.09765625" style="351" customWidth="1"/>
    <col min="6151" max="6151" width="13.5" style="351" customWidth="1"/>
    <col min="6152" max="6152" width="13.8984375" style="351" customWidth="1"/>
    <col min="6153" max="6153" width="10" style="351" bestFit="1" customWidth="1"/>
    <col min="6154" max="6154" width="9" style="351" bestFit="1" customWidth="1"/>
    <col min="6155" max="6396" width="8.8984375" style="351"/>
    <col min="6397" max="6397" width="5.09765625" style="351" customWidth="1"/>
    <col min="6398" max="6398" width="19.5" style="351" customWidth="1"/>
    <col min="6399" max="6399" width="11.19921875" style="351" bestFit="1" customWidth="1"/>
    <col min="6400" max="6401" width="9.09765625" style="351" bestFit="1" customWidth="1"/>
    <col min="6402" max="6402" width="8.5" style="351" bestFit="1" customWidth="1"/>
    <col min="6403" max="6403" width="10" style="351" bestFit="1" customWidth="1"/>
    <col min="6404" max="6404" width="9.09765625" style="351" bestFit="1" customWidth="1"/>
    <col min="6405" max="6405" width="10" style="351" bestFit="1" customWidth="1"/>
    <col min="6406" max="6406" width="7.09765625" style="351" customWidth="1"/>
    <col min="6407" max="6407" width="13.5" style="351" customWidth="1"/>
    <col min="6408" max="6408" width="13.8984375" style="351" customWidth="1"/>
    <col min="6409" max="6409" width="10" style="351" bestFit="1" customWidth="1"/>
    <col min="6410" max="6410" width="9" style="351" bestFit="1" customWidth="1"/>
    <col min="6411" max="6652" width="8.8984375" style="351"/>
    <col min="6653" max="6653" width="5.09765625" style="351" customWidth="1"/>
    <col min="6654" max="6654" width="19.5" style="351" customWidth="1"/>
    <col min="6655" max="6655" width="11.19921875" style="351" bestFit="1" customWidth="1"/>
    <col min="6656" max="6657" width="9.09765625" style="351" bestFit="1" customWidth="1"/>
    <col min="6658" max="6658" width="8.5" style="351" bestFit="1" customWidth="1"/>
    <col min="6659" max="6659" width="10" style="351" bestFit="1" customWidth="1"/>
    <col min="6660" max="6660" width="9.09765625" style="351" bestFit="1" customWidth="1"/>
    <col min="6661" max="6661" width="10" style="351" bestFit="1" customWidth="1"/>
    <col min="6662" max="6662" width="7.09765625" style="351" customWidth="1"/>
    <col min="6663" max="6663" width="13.5" style="351" customWidth="1"/>
    <col min="6664" max="6664" width="13.8984375" style="351" customWidth="1"/>
    <col min="6665" max="6665" width="10" style="351" bestFit="1" customWidth="1"/>
    <col min="6666" max="6666" width="9" style="351" bestFit="1" customWidth="1"/>
    <col min="6667" max="6908" width="8.8984375" style="351"/>
    <col min="6909" max="6909" width="5.09765625" style="351" customWidth="1"/>
    <col min="6910" max="6910" width="19.5" style="351" customWidth="1"/>
    <col min="6911" max="6911" width="11.19921875" style="351" bestFit="1" customWidth="1"/>
    <col min="6912" max="6913" width="9.09765625" style="351" bestFit="1" customWidth="1"/>
    <col min="6914" max="6914" width="8.5" style="351" bestFit="1" customWidth="1"/>
    <col min="6915" max="6915" width="10" style="351" bestFit="1" customWidth="1"/>
    <col min="6916" max="6916" width="9.09765625" style="351" bestFit="1" customWidth="1"/>
    <col min="6917" max="6917" width="10" style="351" bestFit="1" customWidth="1"/>
    <col min="6918" max="6918" width="7.09765625" style="351" customWidth="1"/>
    <col min="6919" max="6919" width="13.5" style="351" customWidth="1"/>
    <col min="6920" max="6920" width="13.8984375" style="351" customWidth="1"/>
    <col min="6921" max="6921" width="10" style="351" bestFit="1" customWidth="1"/>
    <col min="6922" max="6922" width="9" style="351" bestFit="1" customWidth="1"/>
    <col min="6923" max="7164" width="8.8984375" style="351"/>
    <col min="7165" max="7165" width="5.09765625" style="351" customWidth="1"/>
    <col min="7166" max="7166" width="19.5" style="351" customWidth="1"/>
    <col min="7167" max="7167" width="11.19921875" style="351" bestFit="1" customWidth="1"/>
    <col min="7168" max="7169" width="9.09765625" style="351" bestFit="1" customWidth="1"/>
    <col min="7170" max="7170" width="8.5" style="351" bestFit="1" customWidth="1"/>
    <col min="7171" max="7171" width="10" style="351" bestFit="1" customWidth="1"/>
    <col min="7172" max="7172" width="9.09765625" style="351" bestFit="1" customWidth="1"/>
    <col min="7173" max="7173" width="10" style="351" bestFit="1" customWidth="1"/>
    <col min="7174" max="7174" width="7.09765625" style="351" customWidth="1"/>
    <col min="7175" max="7175" width="13.5" style="351" customWidth="1"/>
    <col min="7176" max="7176" width="13.8984375" style="351" customWidth="1"/>
    <col min="7177" max="7177" width="10" style="351" bestFit="1" customWidth="1"/>
    <col min="7178" max="7178" width="9" style="351" bestFit="1" customWidth="1"/>
    <col min="7179" max="7420" width="8.8984375" style="351"/>
    <col min="7421" max="7421" width="5.09765625" style="351" customWidth="1"/>
    <col min="7422" max="7422" width="19.5" style="351" customWidth="1"/>
    <col min="7423" max="7423" width="11.19921875" style="351" bestFit="1" customWidth="1"/>
    <col min="7424" max="7425" width="9.09765625" style="351" bestFit="1" customWidth="1"/>
    <col min="7426" max="7426" width="8.5" style="351" bestFit="1" customWidth="1"/>
    <col min="7427" max="7427" width="10" style="351" bestFit="1" customWidth="1"/>
    <col min="7428" max="7428" width="9.09765625" style="351" bestFit="1" customWidth="1"/>
    <col min="7429" max="7429" width="10" style="351" bestFit="1" customWidth="1"/>
    <col min="7430" max="7430" width="7.09765625" style="351" customWidth="1"/>
    <col min="7431" max="7431" width="13.5" style="351" customWidth="1"/>
    <col min="7432" max="7432" width="13.8984375" style="351" customWidth="1"/>
    <col min="7433" max="7433" width="10" style="351" bestFit="1" customWidth="1"/>
    <col min="7434" max="7434" width="9" style="351" bestFit="1" customWidth="1"/>
    <col min="7435" max="7676" width="8.8984375" style="351"/>
    <col min="7677" max="7677" width="5.09765625" style="351" customWidth="1"/>
    <col min="7678" max="7678" width="19.5" style="351" customWidth="1"/>
    <col min="7679" max="7679" width="11.19921875" style="351" bestFit="1" customWidth="1"/>
    <col min="7680" max="7681" width="9.09765625" style="351" bestFit="1" customWidth="1"/>
    <col min="7682" max="7682" width="8.5" style="351" bestFit="1" customWidth="1"/>
    <col min="7683" max="7683" width="10" style="351" bestFit="1" customWidth="1"/>
    <col min="7684" max="7684" width="9.09765625" style="351" bestFit="1" customWidth="1"/>
    <col min="7685" max="7685" width="10" style="351" bestFit="1" customWidth="1"/>
    <col min="7686" max="7686" width="7.09765625" style="351" customWidth="1"/>
    <col min="7687" max="7687" width="13.5" style="351" customWidth="1"/>
    <col min="7688" max="7688" width="13.8984375" style="351" customWidth="1"/>
    <col min="7689" max="7689" width="10" style="351" bestFit="1" customWidth="1"/>
    <col min="7690" max="7690" width="9" style="351" bestFit="1" customWidth="1"/>
    <col min="7691" max="7932" width="8.8984375" style="351"/>
    <col min="7933" max="7933" width="5.09765625" style="351" customWidth="1"/>
    <col min="7934" max="7934" width="19.5" style="351" customWidth="1"/>
    <col min="7935" max="7935" width="11.19921875" style="351" bestFit="1" customWidth="1"/>
    <col min="7936" max="7937" width="9.09765625" style="351" bestFit="1" customWidth="1"/>
    <col min="7938" max="7938" width="8.5" style="351" bestFit="1" customWidth="1"/>
    <col min="7939" max="7939" width="10" style="351" bestFit="1" customWidth="1"/>
    <col min="7940" max="7940" width="9.09765625" style="351" bestFit="1" customWidth="1"/>
    <col min="7941" max="7941" width="10" style="351" bestFit="1" customWidth="1"/>
    <col min="7942" max="7942" width="7.09765625" style="351" customWidth="1"/>
    <col min="7943" max="7943" width="13.5" style="351" customWidth="1"/>
    <col min="7944" max="7944" width="13.8984375" style="351" customWidth="1"/>
    <col min="7945" max="7945" width="10" style="351" bestFit="1" customWidth="1"/>
    <col min="7946" max="7946" width="9" style="351" bestFit="1" customWidth="1"/>
    <col min="7947" max="8188" width="8.8984375" style="351"/>
    <col min="8189" max="8189" width="5.09765625" style="351" customWidth="1"/>
    <col min="8190" max="8190" width="19.5" style="351" customWidth="1"/>
    <col min="8191" max="8191" width="11.19921875" style="351" bestFit="1" customWidth="1"/>
    <col min="8192" max="8193" width="9.09765625" style="351" bestFit="1" customWidth="1"/>
    <col min="8194" max="8194" width="8.5" style="351" bestFit="1" customWidth="1"/>
    <col min="8195" max="8195" width="10" style="351" bestFit="1" customWidth="1"/>
    <col min="8196" max="8196" width="9.09765625" style="351" bestFit="1" customWidth="1"/>
    <col min="8197" max="8197" width="10" style="351" bestFit="1" customWidth="1"/>
    <col min="8198" max="8198" width="7.09765625" style="351" customWidth="1"/>
    <col min="8199" max="8199" width="13.5" style="351" customWidth="1"/>
    <col min="8200" max="8200" width="13.8984375" style="351" customWidth="1"/>
    <col min="8201" max="8201" width="10" style="351" bestFit="1" customWidth="1"/>
    <col min="8202" max="8202" width="9" style="351" bestFit="1" customWidth="1"/>
    <col min="8203" max="8444" width="8.8984375" style="351"/>
    <col min="8445" max="8445" width="5.09765625" style="351" customWidth="1"/>
    <col min="8446" max="8446" width="19.5" style="351" customWidth="1"/>
    <col min="8447" max="8447" width="11.19921875" style="351" bestFit="1" customWidth="1"/>
    <col min="8448" max="8449" width="9.09765625" style="351" bestFit="1" customWidth="1"/>
    <col min="8450" max="8450" width="8.5" style="351" bestFit="1" customWidth="1"/>
    <col min="8451" max="8451" width="10" style="351" bestFit="1" customWidth="1"/>
    <col min="8452" max="8452" width="9.09765625" style="351" bestFit="1" customWidth="1"/>
    <col min="8453" max="8453" width="10" style="351" bestFit="1" customWidth="1"/>
    <col min="8454" max="8454" width="7.09765625" style="351" customWidth="1"/>
    <col min="8455" max="8455" width="13.5" style="351" customWidth="1"/>
    <col min="8456" max="8456" width="13.8984375" style="351" customWidth="1"/>
    <col min="8457" max="8457" width="10" style="351" bestFit="1" customWidth="1"/>
    <col min="8458" max="8458" width="9" style="351" bestFit="1" customWidth="1"/>
    <col min="8459" max="8700" width="8.8984375" style="351"/>
    <col min="8701" max="8701" width="5.09765625" style="351" customWidth="1"/>
    <col min="8702" max="8702" width="19.5" style="351" customWidth="1"/>
    <col min="8703" max="8703" width="11.19921875" style="351" bestFit="1" customWidth="1"/>
    <col min="8704" max="8705" width="9.09765625" style="351" bestFit="1" customWidth="1"/>
    <col min="8706" max="8706" width="8.5" style="351" bestFit="1" customWidth="1"/>
    <col min="8707" max="8707" width="10" style="351" bestFit="1" customWidth="1"/>
    <col min="8708" max="8708" width="9.09765625" style="351" bestFit="1" customWidth="1"/>
    <col min="8709" max="8709" width="10" style="351" bestFit="1" customWidth="1"/>
    <col min="8710" max="8710" width="7.09765625" style="351" customWidth="1"/>
    <col min="8711" max="8711" width="13.5" style="351" customWidth="1"/>
    <col min="8712" max="8712" width="13.8984375" style="351" customWidth="1"/>
    <col min="8713" max="8713" width="10" style="351" bestFit="1" customWidth="1"/>
    <col min="8714" max="8714" width="9" style="351" bestFit="1" customWidth="1"/>
    <col min="8715" max="8956" width="8.8984375" style="351"/>
    <col min="8957" max="8957" width="5.09765625" style="351" customWidth="1"/>
    <col min="8958" max="8958" width="19.5" style="351" customWidth="1"/>
    <col min="8959" max="8959" width="11.19921875" style="351" bestFit="1" customWidth="1"/>
    <col min="8960" max="8961" width="9.09765625" style="351" bestFit="1" customWidth="1"/>
    <col min="8962" max="8962" width="8.5" style="351" bestFit="1" customWidth="1"/>
    <col min="8963" max="8963" width="10" style="351" bestFit="1" customWidth="1"/>
    <col min="8964" max="8964" width="9.09765625" style="351" bestFit="1" customWidth="1"/>
    <col min="8965" max="8965" width="10" style="351" bestFit="1" customWidth="1"/>
    <col min="8966" max="8966" width="7.09765625" style="351" customWidth="1"/>
    <col min="8967" max="8967" width="13.5" style="351" customWidth="1"/>
    <col min="8968" max="8968" width="13.8984375" style="351" customWidth="1"/>
    <col min="8969" max="8969" width="10" style="351" bestFit="1" customWidth="1"/>
    <col min="8970" max="8970" width="9" style="351" bestFit="1" customWidth="1"/>
    <col min="8971" max="9212" width="8.8984375" style="351"/>
    <col min="9213" max="9213" width="5.09765625" style="351" customWidth="1"/>
    <col min="9214" max="9214" width="19.5" style="351" customWidth="1"/>
    <col min="9215" max="9215" width="11.19921875" style="351" bestFit="1" customWidth="1"/>
    <col min="9216" max="9217" width="9.09765625" style="351" bestFit="1" customWidth="1"/>
    <col min="9218" max="9218" width="8.5" style="351" bestFit="1" customWidth="1"/>
    <col min="9219" max="9219" width="10" style="351" bestFit="1" customWidth="1"/>
    <col min="9220" max="9220" width="9.09765625" style="351" bestFit="1" customWidth="1"/>
    <col min="9221" max="9221" width="10" style="351" bestFit="1" customWidth="1"/>
    <col min="9222" max="9222" width="7.09765625" style="351" customWidth="1"/>
    <col min="9223" max="9223" width="13.5" style="351" customWidth="1"/>
    <col min="9224" max="9224" width="13.8984375" style="351" customWidth="1"/>
    <col min="9225" max="9225" width="10" style="351" bestFit="1" customWidth="1"/>
    <col min="9226" max="9226" width="9" style="351" bestFit="1" customWidth="1"/>
    <col min="9227" max="9468" width="8.8984375" style="351"/>
    <col min="9469" max="9469" width="5.09765625" style="351" customWidth="1"/>
    <col min="9470" max="9470" width="19.5" style="351" customWidth="1"/>
    <col min="9471" max="9471" width="11.19921875" style="351" bestFit="1" customWidth="1"/>
    <col min="9472" max="9473" width="9.09765625" style="351" bestFit="1" customWidth="1"/>
    <col min="9474" max="9474" width="8.5" style="351" bestFit="1" customWidth="1"/>
    <col min="9475" max="9475" width="10" style="351" bestFit="1" customWidth="1"/>
    <col min="9476" max="9476" width="9.09765625" style="351" bestFit="1" customWidth="1"/>
    <col min="9477" max="9477" width="10" style="351" bestFit="1" customWidth="1"/>
    <col min="9478" max="9478" width="7.09765625" style="351" customWidth="1"/>
    <col min="9479" max="9479" width="13.5" style="351" customWidth="1"/>
    <col min="9480" max="9480" width="13.8984375" style="351" customWidth="1"/>
    <col min="9481" max="9481" width="10" style="351" bestFit="1" customWidth="1"/>
    <col min="9482" max="9482" width="9" style="351" bestFit="1" customWidth="1"/>
    <col min="9483" max="9724" width="8.8984375" style="351"/>
    <col min="9725" max="9725" width="5.09765625" style="351" customWidth="1"/>
    <col min="9726" max="9726" width="19.5" style="351" customWidth="1"/>
    <col min="9727" max="9727" width="11.19921875" style="351" bestFit="1" customWidth="1"/>
    <col min="9728" max="9729" width="9.09765625" style="351" bestFit="1" customWidth="1"/>
    <col min="9730" max="9730" width="8.5" style="351" bestFit="1" customWidth="1"/>
    <col min="9731" max="9731" width="10" style="351" bestFit="1" customWidth="1"/>
    <col min="9732" max="9732" width="9.09765625" style="351" bestFit="1" customWidth="1"/>
    <col min="9733" max="9733" width="10" style="351" bestFit="1" customWidth="1"/>
    <col min="9734" max="9734" width="7.09765625" style="351" customWidth="1"/>
    <col min="9735" max="9735" width="13.5" style="351" customWidth="1"/>
    <col min="9736" max="9736" width="13.8984375" style="351" customWidth="1"/>
    <col min="9737" max="9737" width="10" style="351" bestFit="1" customWidth="1"/>
    <col min="9738" max="9738" width="9" style="351" bestFit="1" customWidth="1"/>
    <col min="9739" max="9980" width="8.8984375" style="351"/>
    <col min="9981" max="9981" width="5.09765625" style="351" customWidth="1"/>
    <col min="9982" max="9982" width="19.5" style="351" customWidth="1"/>
    <col min="9983" max="9983" width="11.19921875" style="351" bestFit="1" customWidth="1"/>
    <col min="9984" max="9985" width="9.09765625" style="351" bestFit="1" customWidth="1"/>
    <col min="9986" max="9986" width="8.5" style="351" bestFit="1" customWidth="1"/>
    <col min="9987" max="9987" width="10" style="351" bestFit="1" customWidth="1"/>
    <col min="9988" max="9988" width="9.09765625" style="351" bestFit="1" customWidth="1"/>
    <col min="9989" max="9989" width="10" style="351" bestFit="1" customWidth="1"/>
    <col min="9990" max="9990" width="7.09765625" style="351" customWidth="1"/>
    <col min="9991" max="9991" width="13.5" style="351" customWidth="1"/>
    <col min="9992" max="9992" width="13.8984375" style="351" customWidth="1"/>
    <col min="9993" max="9993" width="10" style="351" bestFit="1" customWidth="1"/>
    <col min="9994" max="9994" width="9" style="351" bestFit="1" customWidth="1"/>
    <col min="9995" max="10236" width="8.8984375" style="351"/>
    <col min="10237" max="10237" width="5.09765625" style="351" customWidth="1"/>
    <col min="10238" max="10238" width="19.5" style="351" customWidth="1"/>
    <col min="10239" max="10239" width="11.19921875" style="351" bestFit="1" customWidth="1"/>
    <col min="10240" max="10241" width="9.09765625" style="351" bestFit="1" customWidth="1"/>
    <col min="10242" max="10242" width="8.5" style="351" bestFit="1" customWidth="1"/>
    <col min="10243" max="10243" width="10" style="351" bestFit="1" customWidth="1"/>
    <col min="10244" max="10244" width="9.09765625" style="351" bestFit="1" customWidth="1"/>
    <col min="10245" max="10245" width="10" style="351" bestFit="1" customWidth="1"/>
    <col min="10246" max="10246" width="7.09765625" style="351" customWidth="1"/>
    <col min="10247" max="10247" width="13.5" style="351" customWidth="1"/>
    <col min="10248" max="10248" width="13.8984375" style="351" customWidth="1"/>
    <col min="10249" max="10249" width="10" style="351" bestFit="1" customWidth="1"/>
    <col min="10250" max="10250" width="9" style="351" bestFit="1" customWidth="1"/>
    <col min="10251" max="10492" width="8.8984375" style="351"/>
    <col min="10493" max="10493" width="5.09765625" style="351" customWidth="1"/>
    <col min="10494" max="10494" width="19.5" style="351" customWidth="1"/>
    <col min="10495" max="10495" width="11.19921875" style="351" bestFit="1" customWidth="1"/>
    <col min="10496" max="10497" width="9.09765625" style="351" bestFit="1" customWidth="1"/>
    <col min="10498" max="10498" width="8.5" style="351" bestFit="1" customWidth="1"/>
    <col min="10499" max="10499" width="10" style="351" bestFit="1" customWidth="1"/>
    <col min="10500" max="10500" width="9.09765625" style="351" bestFit="1" customWidth="1"/>
    <col min="10501" max="10501" width="10" style="351" bestFit="1" customWidth="1"/>
    <col min="10502" max="10502" width="7.09765625" style="351" customWidth="1"/>
    <col min="10503" max="10503" width="13.5" style="351" customWidth="1"/>
    <col min="10504" max="10504" width="13.8984375" style="351" customWidth="1"/>
    <col min="10505" max="10505" width="10" style="351" bestFit="1" customWidth="1"/>
    <col min="10506" max="10506" width="9" style="351" bestFit="1" customWidth="1"/>
    <col min="10507" max="10748" width="8.8984375" style="351"/>
    <col min="10749" max="10749" width="5.09765625" style="351" customWidth="1"/>
    <col min="10750" max="10750" width="19.5" style="351" customWidth="1"/>
    <col min="10751" max="10751" width="11.19921875" style="351" bestFit="1" customWidth="1"/>
    <col min="10752" max="10753" width="9.09765625" style="351" bestFit="1" customWidth="1"/>
    <col min="10754" max="10754" width="8.5" style="351" bestFit="1" customWidth="1"/>
    <col min="10755" max="10755" width="10" style="351" bestFit="1" customWidth="1"/>
    <col min="10756" max="10756" width="9.09765625" style="351" bestFit="1" customWidth="1"/>
    <col min="10757" max="10757" width="10" style="351" bestFit="1" customWidth="1"/>
    <col min="10758" max="10758" width="7.09765625" style="351" customWidth="1"/>
    <col min="10759" max="10759" width="13.5" style="351" customWidth="1"/>
    <col min="10760" max="10760" width="13.8984375" style="351" customWidth="1"/>
    <col min="10761" max="10761" width="10" style="351" bestFit="1" customWidth="1"/>
    <col min="10762" max="10762" width="9" style="351" bestFit="1" customWidth="1"/>
    <col min="10763" max="11004" width="8.8984375" style="351"/>
    <col min="11005" max="11005" width="5.09765625" style="351" customWidth="1"/>
    <col min="11006" max="11006" width="19.5" style="351" customWidth="1"/>
    <col min="11007" max="11007" width="11.19921875" style="351" bestFit="1" customWidth="1"/>
    <col min="11008" max="11009" width="9.09765625" style="351" bestFit="1" customWidth="1"/>
    <col min="11010" max="11010" width="8.5" style="351" bestFit="1" customWidth="1"/>
    <col min="11011" max="11011" width="10" style="351" bestFit="1" customWidth="1"/>
    <col min="11012" max="11012" width="9.09765625" style="351" bestFit="1" customWidth="1"/>
    <col min="11013" max="11013" width="10" style="351" bestFit="1" customWidth="1"/>
    <col min="11014" max="11014" width="7.09765625" style="351" customWidth="1"/>
    <col min="11015" max="11015" width="13.5" style="351" customWidth="1"/>
    <col min="11016" max="11016" width="13.8984375" style="351" customWidth="1"/>
    <col min="11017" max="11017" width="10" style="351" bestFit="1" customWidth="1"/>
    <col min="11018" max="11018" width="9" style="351" bestFit="1" customWidth="1"/>
    <col min="11019" max="11260" width="8.8984375" style="351"/>
    <col min="11261" max="11261" width="5.09765625" style="351" customWidth="1"/>
    <col min="11262" max="11262" width="19.5" style="351" customWidth="1"/>
    <col min="11263" max="11263" width="11.19921875" style="351" bestFit="1" customWidth="1"/>
    <col min="11264" max="11265" width="9.09765625" style="351" bestFit="1" customWidth="1"/>
    <col min="11266" max="11266" width="8.5" style="351" bestFit="1" customWidth="1"/>
    <col min="11267" max="11267" width="10" style="351" bestFit="1" customWidth="1"/>
    <col min="11268" max="11268" width="9.09765625" style="351" bestFit="1" customWidth="1"/>
    <col min="11269" max="11269" width="10" style="351" bestFit="1" customWidth="1"/>
    <col min="11270" max="11270" width="7.09765625" style="351" customWidth="1"/>
    <col min="11271" max="11271" width="13.5" style="351" customWidth="1"/>
    <col min="11272" max="11272" width="13.8984375" style="351" customWidth="1"/>
    <col min="11273" max="11273" width="10" style="351" bestFit="1" customWidth="1"/>
    <col min="11274" max="11274" width="9" style="351" bestFit="1" customWidth="1"/>
    <col min="11275" max="11516" width="8.8984375" style="351"/>
    <col min="11517" max="11517" width="5.09765625" style="351" customWidth="1"/>
    <col min="11518" max="11518" width="19.5" style="351" customWidth="1"/>
    <col min="11519" max="11519" width="11.19921875" style="351" bestFit="1" customWidth="1"/>
    <col min="11520" max="11521" width="9.09765625" style="351" bestFit="1" customWidth="1"/>
    <col min="11522" max="11522" width="8.5" style="351" bestFit="1" customWidth="1"/>
    <col min="11523" max="11523" width="10" style="351" bestFit="1" customWidth="1"/>
    <col min="11524" max="11524" width="9.09765625" style="351" bestFit="1" customWidth="1"/>
    <col min="11525" max="11525" width="10" style="351" bestFit="1" customWidth="1"/>
    <col min="11526" max="11526" width="7.09765625" style="351" customWidth="1"/>
    <col min="11527" max="11527" width="13.5" style="351" customWidth="1"/>
    <col min="11528" max="11528" width="13.8984375" style="351" customWidth="1"/>
    <col min="11529" max="11529" width="10" style="351" bestFit="1" customWidth="1"/>
    <col min="11530" max="11530" width="9" style="351" bestFit="1" customWidth="1"/>
    <col min="11531" max="11772" width="8.8984375" style="351"/>
    <col min="11773" max="11773" width="5.09765625" style="351" customWidth="1"/>
    <col min="11774" max="11774" width="19.5" style="351" customWidth="1"/>
    <col min="11775" max="11775" width="11.19921875" style="351" bestFit="1" customWidth="1"/>
    <col min="11776" max="11777" width="9.09765625" style="351" bestFit="1" customWidth="1"/>
    <col min="11778" max="11778" width="8.5" style="351" bestFit="1" customWidth="1"/>
    <col min="11779" max="11779" width="10" style="351" bestFit="1" customWidth="1"/>
    <col min="11780" max="11780" width="9.09765625" style="351" bestFit="1" customWidth="1"/>
    <col min="11781" max="11781" width="10" style="351" bestFit="1" customWidth="1"/>
    <col min="11782" max="11782" width="7.09765625" style="351" customWidth="1"/>
    <col min="11783" max="11783" width="13.5" style="351" customWidth="1"/>
    <col min="11784" max="11784" width="13.8984375" style="351" customWidth="1"/>
    <col min="11785" max="11785" width="10" style="351" bestFit="1" customWidth="1"/>
    <col min="11786" max="11786" width="9" style="351" bestFit="1" customWidth="1"/>
    <col min="11787" max="12028" width="8.8984375" style="351"/>
    <col min="12029" max="12029" width="5.09765625" style="351" customWidth="1"/>
    <col min="12030" max="12030" width="19.5" style="351" customWidth="1"/>
    <col min="12031" max="12031" width="11.19921875" style="351" bestFit="1" customWidth="1"/>
    <col min="12032" max="12033" width="9.09765625" style="351" bestFit="1" customWidth="1"/>
    <col min="12034" max="12034" width="8.5" style="351" bestFit="1" customWidth="1"/>
    <col min="12035" max="12035" width="10" style="351" bestFit="1" customWidth="1"/>
    <col min="12036" max="12036" width="9.09765625" style="351" bestFit="1" customWidth="1"/>
    <col min="12037" max="12037" width="10" style="351" bestFit="1" customWidth="1"/>
    <col min="12038" max="12038" width="7.09765625" style="351" customWidth="1"/>
    <col min="12039" max="12039" width="13.5" style="351" customWidth="1"/>
    <col min="12040" max="12040" width="13.8984375" style="351" customWidth="1"/>
    <col min="12041" max="12041" width="10" style="351" bestFit="1" customWidth="1"/>
    <col min="12042" max="12042" width="9" style="351" bestFit="1" customWidth="1"/>
    <col min="12043" max="12284" width="8.8984375" style="351"/>
    <col min="12285" max="12285" width="5.09765625" style="351" customWidth="1"/>
    <col min="12286" max="12286" width="19.5" style="351" customWidth="1"/>
    <col min="12287" max="12287" width="11.19921875" style="351" bestFit="1" customWidth="1"/>
    <col min="12288" max="12289" width="9.09765625" style="351" bestFit="1" customWidth="1"/>
    <col min="12290" max="12290" width="8.5" style="351" bestFit="1" customWidth="1"/>
    <col min="12291" max="12291" width="10" style="351" bestFit="1" customWidth="1"/>
    <col min="12292" max="12292" width="9.09765625" style="351" bestFit="1" customWidth="1"/>
    <col min="12293" max="12293" width="10" style="351" bestFit="1" customWidth="1"/>
    <col min="12294" max="12294" width="7.09765625" style="351" customWidth="1"/>
    <col min="12295" max="12295" width="13.5" style="351" customWidth="1"/>
    <col min="12296" max="12296" width="13.8984375" style="351" customWidth="1"/>
    <col min="12297" max="12297" width="10" style="351" bestFit="1" customWidth="1"/>
    <col min="12298" max="12298" width="9" style="351" bestFit="1" customWidth="1"/>
    <col min="12299" max="12540" width="8.8984375" style="351"/>
    <col min="12541" max="12541" width="5.09765625" style="351" customWidth="1"/>
    <col min="12542" max="12542" width="19.5" style="351" customWidth="1"/>
    <col min="12543" max="12543" width="11.19921875" style="351" bestFit="1" customWidth="1"/>
    <col min="12544" max="12545" width="9.09765625" style="351" bestFit="1" customWidth="1"/>
    <col min="12546" max="12546" width="8.5" style="351" bestFit="1" customWidth="1"/>
    <col min="12547" max="12547" width="10" style="351" bestFit="1" customWidth="1"/>
    <col min="12548" max="12548" width="9.09765625" style="351" bestFit="1" customWidth="1"/>
    <col min="12549" max="12549" width="10" style="351" bestFit="1" customWidth="1"/>
    <col min="12550" max="12550" width="7.09765625" style="351" customWidth="1"/>
    <col min="12551" max="12551" width="13.5" style="351" customWidth="1"/>
    <col min="12552" max="12552" width="13.8984375" style="351" customWidth="1"/>
    <col min="12553" max="12553" width="10" style="351" bestFit="1" customWidth="1"/>
    <col min="12554" max="12554" width="9" style="351" bestFit="1" customWidth="1"/>
    <col min="12555" max="12796" width="8.8984375" style="351"/>
    <col min="12797" max="12797" width="5.09765625" style="351" customWidth="1"/>
    <col min="12798" max="12798" width="19.5" style="351" customWidth="1"/>
    <col min="12799" max="12799" width="11.19921875" style="351" bestFit="1" customWidth="1"/>
    <col min="12800" max="12801" width="9.09765625" style="351" bestFit="1" customWidth="1"/>
    <col min="12802" max="12802" width="8.5" style="351" bestFit="1" customWidth="1"/>
    <col min="12803" max="12803" width="10" style="351" bestFit="1" customWidth="1"/>
    <col min="12804" max="12804" width="9.09765625" style="351" bestFit="1" customWidth="1"/>
    <col min="12805" max="12805" width="10" style="351" bestFit="1" customWidth="1"/>
    <col min="12806" max="12806" width="7.09765625" style="351" customWidth="1"/>
    <col min="12807" max="12807" width="13.5" style="351" customWidth="1"/>
    <col min="12808" max="12808" width="13.8984375" style="351" customWidth="1"/>
    <col min="12809" max="12809" width="10" style="351" bestFit="1" customWidth="1"/>
    <col min="12810" max="12810" width="9" style="351" bestFit="1" customWidth="1"/>
    <col min="12811" max="13052" width="8.8984375" style="351"/>
    <col min="13053" max="13053" width="5.09765625" style="351" customWidth="1"/>
    <col min="13054" max="13054" width="19.5" style="351" customWidth="1"/>
    <col min="13055" max="13055" width="11.19921875" style="351" bestFit="1" customWidth="1"/>
    <col min="13056" max="13057" width="9.09765625" style="351" bestFit="1" customWidth="1"/>
    <col min="13058" max="13058" width="8.5" style="351" bestFit="1" customWidth="1"/>
    <col min="13059" max="13059" width="10" style="351" bestFit="1" customWidth="1"/>
    <col min="13060" max="13060" width="9.09765625" style="351" bestFit="1" customWidth="1"/>
    <col min="13061" max="13061" width="10" style="351" bestFit="1" customWidth="1"/>
    <col min="13062" max="13062" width="7.09765625" style="351" customWidth="1"/>
    <col min="13063" max="13063" width="13.5" style="351" customWidth="1"/>
    <col min="13064" max="13064" width="13.8984375" style="351" customWidth="1"/>
    <col min="13065" max="13065" width="10" style="351" bestFit="1" customWidth="1"/>
    <col min="13066" max="13066" width="9" style="351" bestFit="1" customWidth="1"/>
    <col min="13067" max="13308" width="8.8984375" style="351"/>
    <col min="13309" max="13309" width="5.09765625" style="351" customWidth="1"/>
    <col min="13310" max="13310" width="19.5" style="351" customWidth="1"/>
    <col min="13311" max="13311" width="11.19921875" style="351" bestFit="1" customWidth="1"/>
    <col min="13312" max="13313" width="9.09765625" style="351" bestFit="1" customWidth="1"/>
    <col min="13314" max="13314" width="8.5" style="351" bestFit="1" customWidth="1"/>
    <col min="13315" max="13315" width="10" style="351" bestFit="1" customWidth="1"/>
    <col min="13316" max="13316" width="9.09765625" style="351" bestFit="1" customWidth="1"/>
    <col min="13317" max="13317" width="10" style="351" bestFit="1" customWidth="1"/>
    <col min="13318" max="13318" width="7.09765625" style="351" customWidth="1"/>
    <col min="13319" max="13319" width="13.5" style="351" customWidth="1"/>
    <col min="13320" max="13320" width="13.8984375" style="351" customWidth="1"/>
    <col min="13321" max="13321" width="10" style="351" bestFit="1" customWidth="1"/>
    <col min="13322" max="13322" width="9" style="351" bestFit="1" customWidth="1"/>
    <col min="13323" max="13564" width="8.8984375" style="351"/>
    <col min="13565" max="13565" width="5.09765625" style="351" customWidth="1"/>
    <col min="13566" max="13566" width="19.5" style="351" customWidth="1"/>
    <col min="13567" max="13567" width="11.19921875" style="351" bestFit="1" customWidth="1"/>
    <col min="13568" max="13569" width="9.09765625" style="351" bestFit="1" customWidth="1"/>
    <col min="13570" max="13570" width="8.5" style="351" bestFit="1" customWidth="1"/>
    <col min="13571" max="13571" width="10" style="351" bestFit="1" customWidth="1"/>
    <col min="13572" max="13572" width="9.09765625" style="351" bestFit="1" customWidth="1"/>
    <col min="13573" max="13573" width="10" style="351" bestFit="1" customWidth="1"/>
    <col min="13574" max="13574" width="7.09765625" style="351" customWidth="1"/>
    <col min="13575" max="13575" width="13.5" style="351" customWidth="1"/>
    <col min="13576" max="13576" width="13.8984375" style="351" customWidth="1"/>
    <col min="13577" max="13577" width="10" style="351" bestFit="1" customWidth="1"/>
    <col min="13578" max="13578" width="9" style="351" bestFit="1" customWidth="1"/>
    <col min="13579" max="13820" width="8.8984375" style="351"/>
    <col min="13821" max="13821" width="5.09765625" style="351" customWidth="1"/>
    <col min="13822" max="13822" width="19.5" style="351" customWidth="1"/>
    <col min="13823" max="13823" width="11.19921875" style="351" bestFit="1" customWidth="1"/>
    <col min="13824" max="13825" width="9.09765625" style="351" bestFit="1" customWidth="1"/>
    <col min="13826" max="13826" width="8.5" style="351" bestFit="1" customWidth="1"/>
    <col min="13827" max="13827" width="10" style="351" bestFit="1" customWidth="1"/>
    <col min="13828" max="13828" width="9.09765625" style="351" bestFit="1" customWidth="1"/>
    <col min="13829" max="13829" width="10" style="351" bestFit="1" customWidth="1"/>
    <col min="13830" max="13830" width="7.09765625" style="351" customWidth="1"/>
    <col min="13831" max="13831" width="13.5" style="351" customWidth="1"/>
    <col min="13832" max="13832" width="13.8984375" style="351" customWidth="1"/>
    <col min="13833" max="13833" width="10" style="351" bestFit="1" customWidth="1"/>
    <col min="13834" max="13834" width="9" style="351" bestFit="1" customWidth="1"/>
    <col min="13835" max="14076" width="8.8984375" style="351"/>
    <col min="14077" max="14077" width="5.09765625" style="351" customWidth="1"/>
    <col min="14078" max="14078" width="19.5" style="351" customWidth="1"/>
    <col min="14079" max="14079" width="11.19921875" style="351" bestFit="1" customWidth="1"/>
    <col min="14080" max="14081" width="9.09765625" style="351" bestFit="1" customWidth="1"/>
    <col min="14082" max="14082" width="8.5" style="351" bestFit="1" customWidth="1"/>
    <col min="14083" max="14083" width="10" style="351" bestFit="1" customWidth="1"/>
    <col min="14084" max="14084" width="9.09765625" style="351" bestFit="1" customWidth="1"/>
    <col min="14085" max="14085" width="10" style="351" bestFit="1" customWidth="1"/>
    <col min="14086" max="14086" width="7.09765625" style="351" customWidth="1"/>
    <col min="14087" max="14087" width="13.5" style="351" customWidth="1"/>
    <col min="14088" max="14088" width="13.8984375" style="351" customWidth="1"/>
    <col min="14089" max="14089" width="10" style="351" bestFit="1" customWidth="1"/>
    <col min="14090" max="14090" width="9" style="351" bestFit="1" customWidth="1"/>
    <col min="14091" max="14332" width="8.8984375" style="351"/>
    <col min="14333" max="14333" width="5.09765625" style="351" customWidth="1"/>
    <col min="14334" max="14334" width="19.5" style="351" customWidth="1"/>
    <col min="14335" max="14335" width="11.19921875" style="351" bestFit="1" customWidth="1"/>
    <col min="14336" max="14337" width="9.09765625" style="351" bestFit="1" customWidth="1"/>
    <col min="14338" max="14338" width="8.5" style="351" bestFit="1" customWidth="1"/>
    <col min="14339" max="14339" width="10" style="351" bestFit="1" customWidth="1"/>
    <col min="14340" max="14340" width="9.09765625" style="351" bestFit="1" customWidth="1"/>
    <col min="14341" max="14341" width="10" style="351" bestFit="1" customWidth="1"/>
    <col min="14342" max="14342" width="7.09765625" style="351" customWidth="1"/>
    <col min="14343" max="14343" width="13.5" style="351" customWidth="1"/>
    <col min="14344" max="14344" width="13.8984375" style="351" customWidth="1"/>
    <col min="14345" max="14345" width="10" style="351" bestFit="1" customWidth="1"/>
    <col min="14346" max="14346" width="9" style="351" bestFit="1" customWidth="1"/>
    <col min="14347" max="14588" width="8.8984375" style="351"/>
    <col min="14589" max="14589" width="5.09765625" style="351" customWidth="1"/>
    <col min="14590" max="14590" width="19.5" style="351" customWidth="1"/>
    <col min="14591" max="14591" width="11.19921875" style="351" bestFit="1" customWidth="1"/>
    <col min="14592" max="14593" width="9.09765625" style="351" bestFit="1" customWidth="1"/>
    <col min="14594" max="14594" width="8.5" style="351" bestFit="1" customWidth="1"/>
    <col min="14595" max="14595" width="10" style="351" bestFit="1" customWidth="1"/>
    <col min="14596" max="14596" width="9.09765625" style="351" bestFit="1" customWidth="1"/>
    <col min="14597" max="14597" width="10" style="351" bestFit="1" customWidth="1"/>
    <col min="14598" max="14598" width="7.09765625" style="351" customWidth="1"/>
    <col min="14599" max="14599" width="13.5" style="351" customWidth="1"/>
    <col min="14600" max="14600" width="13.8984375" style="351" customWidth="1"/>
    <col min="14601" max="14601" width="10" style="351" bestFit="1" customWidth="1"/>
    <col min="14602" max="14602" width="9" style="351" bestFit="1" customWidth="1"/>
    <col min="14603" max="14844" width="8.8984375" style="351"/>
    <col min="14845" max="14845" width="5.09765625" style="351" customWidth="1"/>
    <col min="14846" max="14846" width="19.5" style="351" customWidth="1"/>
    <col min="14847" max="14847" width="11.19921875" style="351" bestFit="1" customWidth="1"/>
    <col min="14848" max="14849" width="9.09765625" style="351" bestFit="1" customWidth="1"/>
    <col min="14850" max="14850" width="8.5" style="351" bestFit="1" customWidth="1"/>
    <col min="14851" max="14851" width="10" style="351" bestFit="1" customWidth="1"/>
    <col min="14852" max="14852" width="9.09765625" style="351" bestFit="1" customWidth="1"/>
    <col min="14853" max="14853" width="10" style="351" bestFit="1" customWidth="1"/>
    <col min="14854" max="14854" width="7.09765625" style="351" customWidth="1"/>
    <col min="14855" max="14855" width="13.5" style="351" customWidth="1"/>
    <col min="14856" max="14856" width="13.8984375" style="351" customWidth="1"/>
    <col min="14857" max="14857" width="10" style="351" bestFit="1" customWidth="1"/>
    <col min="14858" max="14858" width="9" style="351" bestFit="1" customWidth="1"/>
    <col min="14859" max="15100" width="8.8984375" style="351"/>
    <col min="15101" max="15101" width="5.09765625" style="351" customWidth="1"/>
    <col min="15102" max="15102" width="19.5" style="351" customWidth="1"/>
    <col min="15103" max="15103" width="11.19921875" style="351" bestFit="1" customWidth="1"/>
    <col min="15104" max="15105" width="9.09765625" style="351" bestFit="1" customWidth="1"/>
    <col min="15106" max="15106" width="8.5" style="351" bestFit="1" customWidth="1"/>
    <col min="15107" max="15107" width="10" style="351" bestFit="1" customWidth="1"/>
    <col min="15108" max="15108" width="9.09765625" style="351" bestFit="1" customWidth="1"/>
    <col min="15109" max="15109" width="10" style="351" bestFit="1" customWidth="1"/>
    <col min="15110" max="15110" width="7.09765625" style="351" customWidth="1"/>
    <col min="15111" max="15111" width="13.5" style="351" customWidth="1"/>
    <col min="15112" max="15112" width="13.8984375" style="351" customWidth="1"/>
    <col min="15113" max="15113" width="10" style="351" bestFit="1" customWidth="1"/>
    <col min="15114" max="15114" width="9" style="351" bestFit="1" customWidth="1"/>
    <col min="15115" max="15356" width="8.8984375" style="351"/>
    <col min="15357" max="15357" width="5.09765625" style="351" customWidth="1"/>
    <col min="15358" max="15358" width="19.5" style="351" customWidth="1"/>
    <col min="15359" max="15359" width="11.19921875" style="351" bestFit="1" customWidth="1"/>
    <col min="15360" max="15361" width="9.09765625" style="351" bestFit="1" customWidth="1"/>
    <col min="15362" max="15362" width="8.5" style="351" bestFit="1" customWidth="1"/>
    <col min="15363" max="15363" width="10" style="351" bestFit="1" customWidth="1"/>
    <col min="15364" max="15364" width="9.09765625" style="351" bestFit="1" customWidth="1"/>
    <col min="15365" max="15365" width="10" style="351" bestFit="1" customWidth="1"/>
    <col min="15366" max="15366" width="7.09765625" style="351" customWidth="1"/>
    <col min="15367" max="15367" width="13.5" style="351" customWidth="1"/>
    <col min="15368" max="15368" width="13.8984375" style="351" customWidth="1"/>
    <col min="15369" max="15369" width="10" style="351" bestFit="1" customWidth="1"/>
    <col min="15370" max="15370" width="9" style="351" bestFit="1" customWidth="1"/>
    <col min="15371" max="15612" width="8.8984375" style="351"/>
    <col min="15613" max="15613" width="5.09765625" style="351" customWidth="1"/>
    <col min="15614" max="15614" width="19.5" style="351" customWidth="1"/>
    <col min="15615" max="15615" width="11.19921875" style="351" bestFit="1" customWidth="1"/>
    <col min="15616" max="15617" width="9.09765625" style="351" bestFit="1" customWidth="1"/>
    <col min="15618" max="15618" width="8.5" style="351" bestFit="1" customWidth="1"/>
    <col min="15619" max="15619" width="10" style="351" bestFit="1" customWidth="1"/>
    <col min="15620" max="15620" width="9.09765625" style="351" bestFit="1" customWidth="1"/>
    <col min="15621" max="15621" width="10" style="351" bestFit="1" customWidth="1"/>
    <col min="15622" max="15622" width="7.09765625" style="351" customWidth="1"/>
    <col min="15623" max="15623" width="13.5" style="351" customWidth="1"/>
    <col min="15624" max="15624" width="13.8984375" style="351" customWidth="1"/>
    <col min="15625" max="15625" width="10" style="351" bestFit="1" customWidth="1"/>
    <col min="15626" max="15626" width="9" style="351" bestFit="1" customWidth="1"/>
    <col min="15627" max="15868" width="8.8984375" style="351"/>
    <col min="15869" max="15869" width="5.09765625" style="351" customWidth="1"/>
    <col min="15870" max="15870" width="19.5" style="351" customWidth="1"/>
    <col min="15871" max="15871" width="11.19921875" style="351" bestFit="1" customWidth="1"/>
    <col min="15872" max="15873" width="9.09765625" style="351" bestFit="1" customWidth="1"/>
    <col min="15874" max="15874" width="8.5" style="351" bestFit="1" customWidth="1"/>
    <col min="15875" max="15875" width="10" style="351" bestFit="1" customWidth="1"/>
    <col min="15876" max="15876" width="9.09765625" style="351" bestFit="1" customWidth="1"/>
    <col min="15877" max="15877" width="10" style="351" bestFit="1" customWidth="1"/>
    <col min="15878" max="15878" width="7.09765625" style="351" customWidth="1"/>
    <col min="15879" max="15879" width="13.5" style="351" customWidth="1"/>
    <col min="15880" max="15880" width="13.8984375" style="351" customWidth="1"/>
    <col min="15881" max="15881" width="10" style="351" bestFit="1" customWidth="1"/>
    <col min="15882" max="15882" width="9" style="351" bestFit="1" customWidth="1"/>
    <col min="15883" max="16124" width="8.8984375" style="351"/>
    <col min="16125" max="16125" width="5.09765625" style="351" customWidth="1"/>
    <col min="16126" max="16126" width="19.5" style="351" customWidth="1"/>
    <col min="16127" max="16127" width="11.19921875" style="351" bestFit="1" customWidth="1"/>
    <col min="16128" max="16129" width="9.09765625" style="351" bestFit="1" customWidth="1"/>
    <col min="16130" max="16130" width="8.5" style="351" bestFit="1" customWidth="1"/>
    <col min="16131" max="16131" width="10" style="351" bestFit="1" customWidth="1"/>
    <col min="16132" max="16132" width="9.09765625" style="351" bestFit="1" customWidth="1"/>
    <col min="16133" max="16133" width="10" style="351" bestFit="1" customWidth="1"/>
    <col min="16134" max="16134" width="7.09765625" style="351" customWidth="1"/>
    <col min="16135" max="16135" width="13.5" style="351" customWidth="1"/>
    <col min="16136" max="16136" width="13.8984375" style="351" customWidth="1"/>
    <col min="16137" max="16137" width="10" style="351" bestFit="1" customWidth="1"/>
    <col min="16138" max="16138" width="9" style="351" bestFit="1" customWidth="1"/>
    <col min="16139" max="16384" width="8.8984375" style="351"/>
  </cols>
  <sheetData>
    <row r="1" spans="1:15" ht="50.25" customHeight="1">
      <c r="A1" s="405" t="s">
        <v>2001</v>
      </c>
      <c r="B1" s="405"/>
      <c r="C1" s="405"/>
      <c r="D1" s="405"/>
      <c r="E1" s="405"/>
      <c r="F1" s="405"/>
      <c r="G1" s="405"/>
      <c r="H1" s="405"/>
      <c r="I1" s="405"/>
      <c r="J1" s="405"/>
      <c r="K1" s="405"/>
      <c r="L1" s="387"/>
      <c r="M1" s="350"/>
    </row>
    <row r="2" spans="1:15" ht="15" customHeight="1">
      <c r="A2" s="406" t="s">
        <v>1990</v>
      </c>
      <c r="B2" s="406"/>
      <c r="C2" s="406"/>
      <c r="D2" s="406"/>
      <c r="E2" s="406"/>
      <c r="F2" s="406"/>
      <c r="G2" s="406"/>
      <c r="H2" s="406"/>
      <c r="I2" s="406"/>
      <c r="J2" s="406"/>
      <c r="K2" s="406"/>
      <c r="L2" s="388"/>
      <c r="M2" s="350"/>
    </row>
    <row r="3" spans="1:15" ht="15" customHeight="1">
      <c r="A3" s="403" t="s">
        <v>2027</v>
      </c>
      <c r="B3" s="403" t="s">
        <v>15</v>
      </c>
      <c r="C3" s="403" t="s">
        <v>1991</v>
      </c>
      <c r="D3" s="398" t="s">
        <v>2066</v>
      </c>
      <c r="E3" s="399"/>
      <c r="F3" s="399"/>
      <c r="G3" s="399"/>
      <c r="H3" s="399"/>
      <c r="I3" s="400"/>
      <c r="J3" s="401" t="s">
        <v>2519</v>
      </c>
      <c r="K3" s="404" t="s">
        <v>1992</v>
      </c>
      <c r="L3" s="395" t="s">
        <v>1993</v>
      </c>
      <c r="M3" s="396" t="s">
        <v>1994</v>
      </c>
    </row>
    <row r="4" spans="1:15" ht="55.2">
      <c r="A4" s="403"/>
      <c r="B4" s="403"/>
      <c r="C4" s="403"/>
      <c r="D4" s="352" t="s">
        <v>1995</v>
      </c>
      <c r="E4" s="352" t="s">
        <v>1996</v>
      </c>
      <c r="F4" s="352" t="s">
        <v>1997</v>
      </c>
      <c r="G4" s="353" t="s">
        <v>1998</v>
      </c>
      <c r="H4" s="353" t="s">
        <v>1999</v>
      </c>
      <c r="I4" s="353" t="s">
        <v>2002</v>
      </c>
      <c r="J4" s="402"/>
      <c r="K4" s="404"/>
      <c r="L4" s="395"/>
      <c r="M4" s="396"/>
    </row>
    <row r="5" spans="1:15" ht="31.2">
      <c r="A5" s="354">
        <v>32</v>
      </c>
      <c r="B5" s="354">
        <v>1</v>
      </c>
      <c r="C5" s="355" t="s">
        <v>2518</v>
      </c>
      <c r="D5" s="356"/>
      <c r="E5" s="356">
        <f>'1. Tuấn'!G15</f>
        <v>922623.97919999983</v>
      </c>
      <c r="F5" s="356"/>
      <c r="G5" s="356"/>
      <c r="H5" s="356"/>
      <c r="I5" s="356"/>
      <c r="J5" s="356"/>
      <c r="K5" s="357">
        <f t="shared" ref="K5:K68" si="0">ROUND(L5,-3)</f>
        <v>923000</v>
      </c>
      <c r="L5" s="356">
        <f>SUM(D5:J5)</f>
        <v>922623.97919999983</v>
      </c>
      <c r="M5" s="356">
        <f>'1. Tuấn'!G24</f>
        <v>923000</v>
      </c>
      <c r="N5" s="368">
        <f>K5-M5</f>
        <v>0</v>
      </c>
      <c r="O5" s="368">
        <f>SUM(D5:I5)</f>
        <v>922623.97919999983</v>
      </c>
    </row>
    <row r="6" spans="1:15" ht="31.2">
      <c r="A6" s="354">
        <v>41</v>
      </c>
      <c r="B6" s="354">
        <v>2</v>
      </c>
      <c r="C6" s="355" t="s">
        <v>2015</v>
      </c>
      <c r="D6" s="356"/>
      <c r="E6" s="356">
        <f>'2.  Diễm Mười'!G15</f>
        <v>1669801.3776</v>
      </c>
      <c r="F6" s="356"/>
      <c r="G6" s="356"/>
      <c r="H6" s="356"/>
      <c r="I6" s="356"/>
      <c r="J6" s="356"/>
      <c r="K6" s="357">
        <f t="shared" si="0"/>
        <v>1670000</v>
      </c>
      <c r="L6" s="356">
        <f t="shared" ref="L6:L69" si="1">SUM(D6:J6)</f>
        <v>1669801.3776</v>
      </c>
      <c r="M6" s="356">
        <f>'2.  Diễm Mười'!G29</f>
        <v>1670000</v>
      </c>
      <c r="N6" s="368">
        <f t="shared" ref="N6:N69" si="2">K6-M6</f>
        <v>0</v>
      </c>
      <c r="O6" s="368">
        <f t="shared" ref="O6:O69" si="3">SUM(D6:I6)</f>
        <v>1669801.3776</v>
      </c>
    </row>
    <row r="7" spans="1:15" ht="15.6">
      <c r="A7" s="354">
        <v>44</v>
      </c>
      <c r="B7" s="354">
        <v>3</v>
      </c>
      <c r="C7" s="355" t="s">
        <v>2016</v>
      </c>
      <c r="D7" s="356">
        <f>'3. Truân'!G13</f>
        <v>322140000</v>
      </c>
      <c r="E7" s="356">
        <f>'3. Truân'!G15</f>
        <v>10838865.030000001</v>
      </c>
      <c r="F7" s="356">
        <f>'3. Truân'!G18</f>
        <v>5412000</v>
      </c>
      <c r="G7" s="356"/>
      <c r="H7" s="356"/>
      <c r="I7" s="356"/>
      <c r="J7" s="356">
        <f>E7*5%</f>
        <v>541943.25150000013</v>
      </c>
      <c r="K7" s="357">
        <f t="shared" si="0"/>
        <v>338933000</v>
      </c>
      <c r="L7" s="356">
        <f t="shared" si="1"/>
        <v>338932808.28149998</v>
      </c>
      <c r="M7" s="356">
        <f>'3. Truân'!G23</f>
        <v>338391000</v>
      </c>
      <c r="N7" s="368">
        <f t="shared" si="2"/>
        <v>542000</v>
      </c>
      <c r="O7" s="368">
        <f t="shared" si="3"/>
        <v>338390865.02999997</v>
      </c>
    </row>
    <row r="8" spans="1:15" ht="31.2">
      <c r="A8" s="354">
        <v>42</v>
      </c>
      <c r="B8" s="354">
        <v>4</v>
      </c>
      <c r="C8" s="355" t="s">
        <v>2074</v>
      </c>
      <c r="D8" s="356">
        <v>0</v>
      </c>
      <c r="E8" s="356">
        <v>49594.947160000011</v>
      </c>
      <c r="F8" s="356">
        <v>8150</v>
      </c>
      <c r="G8" s="356"/>
      <c r="H8" s="356"/>
      <c r="I8" s="356"/>
      <c r="J8" s="356"/>
      <c r="K8" s="357">
        <f t="shared" si="0"/>
        <v>58000</v>
      </c>
      <c r="L8" s="356">
        <f t="shared" si="1"/>
        <v>57744.947160000011</v>
      </c>
      <c r="M8" s="356">
        <v>58000</v>
      </c>
      <c r="N8" s="368">
        <f t="shared" si="2"/>
        <v>0</v>
      </c>
      <c r="O8" s="368">
        <f t="shared" si="3"/>
        <v>57744.947160000011</v>
      </c>
    </row>
    <row r="9" spans="1:15" ht="15.6">
      <c r="A9" s="354">
        <v>46</v>
      </c>
      <c r="B9" s="354">
        <v>5</v>
      </c>
      <c r="C9" s="355" t="s">
        <v>2017</v>
      </c>
      <c r="D9" s="356">
        <f>'5. Đào'!G13</f>
        <v>69620000</v>
      </c>
      <c r="E9" s="356">
        <f>'5. Đào'!G15</f>
        <v>3489082.2668000003</v>
      </c>
      <c r="F9" s="356"/>
      <c r="G9" s="356"/>
      <c r="H9" s="356"/>
      <c r="I9" s="356"/>
      <c r="J9" s="356">
        <f t="shared" ref="J9:J54" si="4">E9*5%</f>
        <v>174454.11334000004</v>
      </c>
      <c r="K9" s="357">
        <f t="shared" si="0"/>
        <v>73284000</v>
      </c>
      <c r="L9" s="356">
        <f t="shared" si="1"/>
        <v>73283536.380140007</v>
      </c>
      <c r="M9" s="356">
        <f>'5. Đào'!G21</f>
        <v>73109000</v>
      </c>
      <c r="N9" s="368">
        <f t="shared" si="2"/>
        <v>175000</v>
      </c>
      <c r="O9" s="368">
        <f t="shared" si="3"/>
        <v>73109082.266800001</v>
      </c>
    </row>
    <row r="10" spans="1:15" ht="31.2">
      <c r="A10" s="354">
        <v>47</v>
      </c>
      <c r="B10" s="354">
        <v>6</v>
      </c>
      <c r="C10" s="355" t="s">
        <v>2018</v>
      </c>
      <c r="D10" s="356">
        <f>'6. Sơn Phượng'!G13</f>
        <v>55460000</v>
      </c>
      <c r="E10" s="356">
        <f>'6. Sơn Phượng'!G15</f>
        <v>23698303.09903333</v>
      </c>
      <c r="F10" s="356">
        <f>'6. Sơn Phượng'!G24</f>
        <v>290000</v>
      </c>
      <c r="G10" s="356"/>
      <c r="H10" s="356"/>
      <c r="I10" s="356"/>
      <c r="J10" s="356">
        <f t="shared" si="4"/>
        <v>1184915.1549516665</v>
      </c>
      <c r="K10" s="357">
        <f t="shared" si="0"/>
        <v>80633000</v>
      </c>
      <c r="L10" s="356">
        <f t="shared" si="1"/>
        <v>80633218.253984988</v>
      </c>
      <c r="M10" s="356">
        <f>'6. Sơn Phượng'!G27</f>
        <v>79448000</v>
      </c>
      <c r="N10" s="368">
        <f t="shared" si="2"/>
        <v>1185000</v>
      </c>
      <c r="O10" s="368">
        <f t="shared" si="3"/>
        <v>79448303.099033326</v>
      </c>
    </row>
    <row r="11" spans="1:15" ht="15.6">
      <c r="A11" s="354">
        <v>49</v>
      </c>
      <c r="B11" s="354">
        <v>7</v>
      </c>
      <c r="C11" s="355" t="s">
        <v>2019</v>
      </c>
      <c r="D11" s="356">
        <f>'7. Hạnh'!G13</f>
        <v>67260000</v>
      </c>
      <c r="E11" s="356">
        <f>'7. Hạnh'!G15</f>
        <v>39663122.519999996</v>
      </c>
      <c r="F11" s="356"/>
      <c r="G11" s="356"/>
      <c r="H11" s="356"/>
      <c r="I11" s="356"/>
      <c r="J11" s="356">
        <f t="shared" si="4"/>
        <v>1983156.1259999999</v>
      </c>
      <c r="K11" s="357">
        <f t="shared" si="0"/>
        <v>108906000</v>
      </c>
      <c r="L11" s="356">
        <f t="shared" si="1"/>
        <v>108906278.646</v>
      </c>
      <c r="M11" s="356">
        <f>'7. Hạnh'!G27</f>
        <v>106923000</v>
      </c>
      <c r="N11" s="368">
        <f t="shared" si="2"/>
        <v>1983000</v>
      </c>
      <c r="O11" s="368">
        <f t="shared" si="3"/>
        <v>106923122.52</v>
      </c>
    </row>
    <row r="12" spans="1:15" ht="15.6">
      <c r="A12" s="354">
        <v>50</v>
      </c>
      <c r="B12" s="354">
        <v>8</v>
      </c>
      <c r="C12" s="355" t="s">
        <v>2003</v>
      </c>
      <c r="D12" s="356">
        <f>'8. Thắm'!G13</f>
        <v>261960000</v>
      </c>
      <c r="E12" s="356">
        <f>'8. Thắm'!G15</f>
        <v>25786615.673433334</v>
      </c>
      <c r="F12" s="356">
        <f>'8. Thắm'!G25</f>
        <v>4031000</v>
      </c>
      <c r="G12" s="356"/>
      <c r="H12" s="356"/>
      <c r="I12" s="356"/>
      <c r="J12" s="356">
        <f t="shared" si="4"/>
        <v>1289330.7836716669</v>
      </c>
      <c r="K12" s="357">
        <f t="shared" si="0"/>
        <v>293067000</v>
      </c>
      <c r="L12" s="356">
        <f t="shared" si="1"/>
        <v>293066946.45710498</v>
      </c>
      <c r="M12" s="356">
        <f>'8. Thắm'!G31</f>
        <v>291778000</v>
      </c>
      <c r="N12" s="368">
        <f t="shared" si="2"/>
        <v>1289000</v>
      </c>
      <c r="O12" s="368">
        <f t="shared" si="3"/>
        <v>291777615.6734333</v>
      </c>
    </row>
    <row r="13" spans="1:15" ht="31.2">
      <c r="A13" s="354">
        <v>53</v>
      </c>
      <c r="B13" s="354">
        <v>9</v>
      </c>
      <c r="C13" s="355" t="s">
        <v>2020</v>
      </c>
      <c r="D13" s="356">
        <f>'9. Mong'!G13</f>
        <v>164020000</v>
      </c>
      <c r="E13" s="356">
        <f>'9. Mong'!G15</f>
        <v>4561040.4173999997</v>
      </c>
      <c r="F13" s="356">
        <f>'9. Mong'!G21</f>
        <v>933000</v>
      </c>
      <c r="G13" s="356"/>
      <c r="H13" s="356"/>
      <c r="I13" s="356"/>
      <c r="J13" s="356">
        <f t="shared" si="4"/>
        <v>228052.02087000001</v>
      </c>
      <c r="K13" s="357">
        <f t="shared" si="0"/>
        <v>169742000</v>
      </c>
      <c r="L13" s="356">
        <f t="shared" si="1"/>
        <v>169742092.43827</v>
      </c>
      <c r="M13" s="356">
        <f>'9. Mong'!G24</f>
        <v>169514000</v>
      </c>
      <c r="N13" s="368">
        <f t="shared" si="2"/>
        <v>228000</v>
      </c>
      <c r="O13" s="368">
        <f t="shared" si="3"/>
        <v>169514040.4174</v>
      </c>
    </row>
    <row r="14" spans="1:15" ht="15.6">
      <c r="A14" s="354">
        <v>53</v>
      </c>
      <c r="B14" s="354">
        <v>10</v>
      </c>
      <c r="C14" s="355" t="s">
        <v>2021</v>
      </c>
      <c r="D14" s="356"/>
      <c r="E14" s="356">
        <f>'10. Tươi'!G14</f>
        <v>8837637.6895000003</v>
      </c>
      <c r="F14" s="356"/>
      <c r="G14" s="356"/>
      <c r="H14" s="356"/>
      <c r="I14" s="356"/>
      <c r="J14" s="356">
        <f t="shared" si="4"/>
        <v>441881.88447500003</v>
      </c>
      <c r="K14" s="357">
        <f t="shared" si="0"/>
        <v>9280000</v>
      </c>
      <c r="L14" s="356">
        <f t="shared" si="1"/>
        <v>9279519.5739750005</v>
      </c>
      <c r="M14" s="356">
        <f>'10. Tươi'!G24</f>
        <v>8838000</v>
      </c>
      <c r="N14" s="368">
        <f t="shared" si="2"/>
        <v>442000</v>
      </c>
      <c r="O14" s="368">
        <f t="shared" si="3"/>
        <v>8837637.6895000003</v>
      </c>
    </row>
    <row r="15" spans="1:15" ht="15.6">
      <c r="A15" s="354">
        <v>52</v>
      </c>
      <c r="B15" s="354">
        <v>11</v>
      </c>
      <c r="C15" s="355" t="s">
        <v>2078</v>
      </c>
      <c r="D15" s="356">
        <v>69620000</v>
      </c>
      <c r="E15" s="356">
        <v>15119321.779550001</v>
      </c>
      <c r="F15" s="356">
        <v>300000</v>
      </c>
      <c r="G15" s="356"/>
      <c r="H15" s="356"/>
      <c r="I15" s="356"/>
      <c r="J15" s="356">
        <f t="shared" si="4"/>
        <v>755966.0889775001</v>
      </c>
      <c r="K15" s="357">
        <f t="shared" si="0"/>
        <v>85795000</v>
      </c>
      <c r="L15" s="356">
        <f t="shared" si="1"/>
        <v>85795287.868527502</v>
      </c>
      <c r="M15" s="356">
        <v>85039000</v>
      </c>
      <c r="N15" s="368">
        <f t="shared" si="2"/>
        <v>756000</v>
      </c>
      <c r="O15" s="368">
        <f t="shared" si="3"/>
        <v>85039321.779550001</v>
      </c>
    </row>
    <row r="16" spans="1:15" ht="15.6">
      <c r="A16" s="354">
        <v>52</v>
      </c>
      <c r="B16" s="354">
        <v>12</v>
      </c>
      <c r="C16" s="355" t="s">
        <v>2079</v>
      </c>
      <c r="D16" s="356">
        <v>143960000</v>
      </c>
      <c r="E16" s="356"/>
      <c r="F16" s="356"/>
      <c r="G16" s="356"/>
      <c r="H16" s="356"/>
      <c r="I16" s="356"/>
      <c r="J16" s="356"/>
      <c r="K16" s="357">
        <f t="shared" si="0"/>
        <v>143960000</v>
      </c>
      <c r="L16" s="356">
        <f t="shared" si="1"/>
        <v>143960000</v>
      </c>
      <c r="M16" s="356">
        <v>143960000</v>
      </c>
      <c r="N16" s="368">
        <f t="shared" si="2"/>
        <v>0</v>
      </c>
      <c r="O16" s="368">
        <f t="shared" si="3"/>
        <v>143960000</v>
      </c>
    </row>
    <row r="17" spans="1:15" ht="31.2">
      <c r="A17" s="354">
        <v>55</v>
      </c>
      <c r="B17" s="354">
        <v>13</v>
      </c>
      <c r="C17" s="355" t="s">
        <v>2517</v>
      </c>
      <c r="D17" s="356">
        <f>'13. Tùng'!G13</f>
        <v>74340000</v>
      </c>
      <c r="E17" s="356">
        <f>'13. Tùng'!G15</f>
        <v>22473692.635466669</v>
      </c>
      <c r="F17" s="356">
        <f>'13. Tùng'!G30</f>
        <v>2737000</v>
      </c>
      <c r="G17" s="356"/>
      <c r="H17" s="356"/>
      <c r="I17" s="356"/>
      <c r="J17" s="356">
        <f t="shared" si="4"/>
        <v>1123684.6317733335</v>
      </c>
      <c r="K17" s="357">
        <f t="shared" si="0"/>
        <v>100674000</v>
      </c>
      <c r="L17" s="356">
        <f t="shared" si="1"/>
        <v>100674377.26724</v>
      </c>
      <c r="M17" s="356">
        <f>'13. Tùng'!G33</f>
        <v>99551000</v>
      </c>
      <c r="N17" s="368">
        <f t="shared" si="2"/>
        <v>1123000</v>
      </c>
      <c r="O17" s="368">
        <f t="shared" si="3"/>
        <v>99550692.635466665</v>
      </c>
    </row>
    <row r="18" spans="1:15" ht="31.2">
      <c r="A18" s="354">
        <v>58</v>
      </c>
      <c r="B18" s="354">
        <v>14</v>
      </c>
      <c r="C18" s="355" t="s">
        <v>2516</v>
      </c>
      <c r="D18" s="356">
        <f>'14. Nhì'!G13</f>
        <v>28320000</v>
      </c>
      <c r="E18" s="356">
        <f>'14. Nhì'!G15</f>
        <v>22559849.756960001</v>
      </c>
      <c r="F18" s="356"/>
      <c r="G18" s="356"/>
      <c r="H18" s="356"/>
      <c r="I18" s="356"/>
      <c r="J18" s="356"/>
      <c r="K18" s="357">
        <f t="shared" si="0"/>
        <v>50880000</v>
      </c>
      <c r="L18" s="356">
        <f t="shared" si="1"/>
        <v>50879849.756960005</v>
      </c>
      <c r="M18" s="356">
        <f>'14. Nhì'!G25</f>
        <v>50880000</v>
      </c>
      <c r="N18" s="368">
        <f t="shared" si="2"/>
        <v>0</v>
      </c>
      <c r="O18" s="368">
        <f t="shared" si="3"/>
        <v>50879849.756960005</v>
      </c>
    </row>
    <row r="19" spans="1:15" ht="15.6">
      <c r="A19" s="354" t="s">
        <v>2028</v>
      </c>
      <c r="B19" s="354">
        <v>15</v>
      </c>
      <c r="C19" s="355" t="s">
        <v>2004</v>
      </c>
      <c r="D19" s="356">
        <f>'15. Vượng'!G13</f>
        <v>192340000</v>
      </c>
      <c r="E19" s="356">
        <f>'15. Vượng'!G17</f>
        <v>22625609.663600001</v>
      </c>
      <c r="F19" s="356"/>
      <c r="G19" s="356"/>
      <c r="H19" s="356"/>
      <c r="I19" s="356"/>
      <c r="J19" s="356">
        <f t="shared" si="4"/>
        <v>1131280.4831800002</v>
      </c>
      <c r="K19" s="357">
        <f t="shared" si="0"/>
        <v>216097000</v>
      </c>
      <c r="L19" s="356">
        <f t="shared" si="1"/>
        <v>216096890.14677998</v>
      </c>
      <c r="M19" s="356">
        <f>'15. Vượng'!G26</f>
        <v>214966000</v>
      </c>
      <c r="N19" s="368">
        <f t="shared" si="2"/>
        <v>1131000</v>
      </c>
      <c r="O19" s="368">
        <f t="shared" si="3"/>
        <v>214965609.6636</v>
      </c>
    </row>
    <row r="20" spans="1:15" ht="15.6">
      <c r="A20" s="354">
        <v>62</v>
      </c>
      <c r="B20" s="354">
        <v>16</v>
      </c>
      <c r="C20" s="355" t="s">
        <v>2022</v>
      </c>
      <c r="D20" s="356">
        <f>'16. Lâm'!G13</f>
        <v>75520000</v>
      </c>
      <c r="E20" s="356">
        <f>'16. Lâm'!G15</f>
        <v>6825020.7685333323</v>
      </c>
      <c r="F20" s="356">
        <f>'16. Lâm'!G26</f>
        <v>1555000</v>
      </c>
      <c r="G20" s="356"/>
      <c r="H20" s="356"/>
      <c r="I20" s="356"/>
      <c r="J20" s="356">
        <f t="shared" si="4"/>
        <v>341251.03842666664</v>
      </c>
      <c r="K20" s="357">
        <f t="shared" si="0"/>
        <v>84241000</v>
      </c>
      <c r="L20" s="356">
        <f t="shared" si="1"/>
        <v>84241271.806960002</v>
      </c>
      <c r="M20" s="356">
        <f>'16. Lâm'!G29</f>
        <v>83900000</v>
      </c>
      <c r="N20" s="368">
        <f t="shared" si="2"/>
        <v>341000</v>
      </c>
      <c r="O20" s="368">
        <f t="shared" si="3"/>
        <v>83900020.768533334</v>
      </c>
    </row>
    <row r="21" spans="1:15" ht="31.2">
      <c r="A21" s="354">
        <v>63</v>
      </c>
      <c r="B21" s="354">
        <v>17</v>
      </c>
      <c r="C21" s="355" t="s">
        <v>2023</v>
      </c>
      <c r="D21" s="356">
        <f>'17. Đức Nhung'!G13</f>
        <v>132159999.99999999</v>
      </c>
      <c r="E21" s="356">
        <f>'17. Đức Nhung'!G15</f>
        <v>11414248.6141</v>
      </c>
      <c r="F21" s="356"/>
      <c r="G21" s="356"/>
      <c r="H21" s="356"/>
      <c r="I21" s="356"/>
      <c r="J21" s="356">
        <f t="shared" si="4"/>
        <v>570712.43070500006</v>
      </c>
      <c r="K21" s="357">
        <f t="shared" si="0"/>
        <v>144145000</v>
      </c>
      <c r="L21" s="356">
        <f t="shared" si="1"/>
        <v>144144961.04480499</v>
      </c>
      <c r="M21" s="356">
        <f>'17. Đức Nhung'!G31</f>
        <v>143574000</v>
      </c>
      <c r="N21" s="368">
        <f t="shared" si="2"/>
        <v>571000</v>
      </c>
      <c r="O21" s="368">
        <f t="shared" si="3"/>
        <v>143574248.61409998</v>
      </c>
    </row>
    <row r="22" spans="1:15" ht="31.2">
      <c r="A22" s="354">
        <v>75</v>
      </c>
      <c r="B22" s="354">
        <v>18</v>
      </c>
      <c r="C22" s="355" t="s">
        <v>2023</v>
      </c>
      <c r="D22" s="356">
        <f>'18. Đức Nhung'!G13</f>
        <v>19470000</v>
      </c>
      <c r="E22" s="356">
        <f>'18. Đức Nhung'!G15</f>
        <v>5238831.051466668</v>
      </c>
      <c r="F22" s="356"/>
      <c r="G22" s="356"/>
      <c r="H22" s="356"/>
      <c r="I22" s="356"/>
      <c r="J22" s="356"/>
      <c r="K22" s="357">
        <f t="shared" si="0"/>
        <v>24709000</v>
      </c>
      <c r="L22" s="356">
        <f t="shared" si="1"/>
        <v>24708831.051466666</v>
      </c>
      <c r="M22" s="356">
        <f>'18. Đức Nhung'!G26</f>
        <v>24709000</v>
      </c>
      <c r="N22" s="368">
        <f t="shared" si="2"/>
        <v>0</v>
      </c>
      <c r="O22" s="368">
        <f t="shared" si="3"/>
        <v>24708831.051466666</v>
      </c>
    </row>
    <row r="23" spans="1:15" ht="15.6">
      <c r="A23" s="354">
        <v>66</v>
      </c>
      <c r="B23" s="354">
        <v>19</v>
      </c>
      <c r="C23" s="355" t="s">
        <v>2024</v>
      </c>
      <c r="D23" s="356">
        <f>'19. Thuê'!G13</f>
        <v>84960000</v>
      </c>
      <c r="E23" s="356">
        <f>'19. Thuê'!G15</f>
        <v>318156.2648</v>
      </c>
      <c r="F23" s="356">
        <f>'19. Thuê'!G17</f>
        <v>1555000</v>
      </c>
      <c r="G23" s="356"/>
      <c r="H23" s="356"/>
      <c r="I23" s="356"/>
      <c r="J23" s="356">
        <f t="shared" si="4"/>
        <v>15907.813240000001</v>
      </c>
      <c r="K23" s="357">
        <f t="shared" si="0"/>
        <v>86849000</v>
      </c>
      <c r="L23" s="356">
        <f t="shared" si="1"/>
        <v>86849064.078040004</v>
      </c>
      <c r="M23" s="356">
        <f>'19. Thuê'!G20</f>
        <v>86833000</v>
      </c>
      <c r="N23" s="368">
        <f t="shared" si="2"/>
        <v>16000</v>
      </c>
      <c r="O23" s="368">
        <f t="shared" si="3"/>
        <v>86833156.264799997</v>
      </c>
    </row>
    <row r="24" spans="1:15" ht="15.6">
      <c r="A24" s="354">
        <v>67</v>
      </c>
      <c r="B24" s="354">
        <v>20</v>
      </c>
      <c r="C24" s="355" t="s">
        <v>2006</v>
      </c>
      <c r="D24" s="356">
        <f>'20. Luyên'!G13</f>
        <v>89680000</v>
      </c>
      <c r="E24" s="356">
        <f>'20. Luyên'!G15</f>
        <v>94345998.616800025</v>
      </c>
      <c r="F24" s="356"/>
      <c r="G24" s="356"/>
      <c r="H24" s="356"/>
      <c r="I24" s="356"/>
      <c r="J24" s="356">
        <f t="shared" si="4"/>
        <v>4717299.9308400014</v>
      </c>
      <c r="K24" s="357">
        <f t="shared" si="0"/>
        <v>188743000</v>
      </c>
      <c r="L24" s="356">
        <f t="shared" si="1"/>
        <v>188743298.54764003</v>
      </c>
      <c r="M24" s="356">
        <f>'20. Luyên'!G36</f>
        <v>184026000</v>
      </c>
      <c r="N24" s="368">
        <f t="shared" si="2"/>
        <v>4717000</v>
      </c>
      <c r="O24" s="368">
        <f t="shared" si="3"/>
        <v>184025998.61680001</v>
      </c>
    </row>
    <row r="25" spans="1:15" ht="15.6">
      <c r="A25" s="354">
        <v>68</v>
      </c>
      <c r="B25" s="354">
        <v>21</v>
      </c>
      <c r="C25" s="355" t="s">
        <v>2007</v>
      </c>
      <c r="D25" s="356">
        <f>'21. Kiếm'!G13</f>
        <v>210040000</v>
      </c>
      <c r="E25" s="356">
        <f>'21. Kiếm'!G15</f>
        <v>26781489.979463331</v>
      </c>
      <c r="F25" s="356">
        <f>'21. Kiếm'!G26</f>
        <v>2077900</v>
      </c>
      <c r="G25" s="356"/>
      <c r="H25" s="356"/>
      <c r="I25" s="356"/>
      <c r="J25" s="356">
        <f t="shared" si="4"/>
        <v>1339074.4989731666</v>
      </c>
      <c r="K25" s="357">
        <f t="shared" si="0"/>
        <v>240238000</v>
      </c>
      <c r="L25" s="356">
        <f t="shared" si="1"/>
        <v>240238464.4784365</v>
      </c>
      <c r="M25" s="356">
        <f>'21. Kiếm'!G31</f>
        <v>238899000</v>
      </c>
      <c r="N25" s="368">
        <f t="shared" si="2"/>
        <v>1339000</v>
      </c>
      <c r="O25" s="368">
        <f t="shared" si="3"/>
        <v>238899389.97946334</v>
      </c>
    </row>
    <row r="26" spans="1:15" ht="15.6">
      <c r="A26" s="354">
        <v>70</v>
      </c>
      <c r="B26" s="354">
        <v>22</v>
      </c>
      <c r="C26" s="355" t="s">
        <v>2008</v>
      </c>
      <c r="D26" s="356">
        <f>'22. Việt'!G13</f>
        <v>50740000</v>
      </c>
      <c r="E26" s="356">
        <f>'22. Việt'!G15</f>
        <v>30761127.95992</v>
      </c>
      <c r="F26" s="356">
        <f>'22. Việt'!G27</f>
        <v>270000</v>
      </c>
      <c r="G26" s="356"/>
      <c r="H26" s="356"/>
      <c r="I26" s="356"/>
      <c r="J26" s="356">
        <f t="shared" si="4"/>
        <v>1538056.397996</v>
      </c>
      <c r="K26" s="357">
        <f t="shared" si="0"/>
        <v>83309000</v>
      </c>
      <c r="L26" s="356">
        <f t="shared" si="1"/>
        <v>83309184.357915998</v>
      </c>
      <c r="M26" s="356">
        <f>'22. Việt'!G30</f>
        <v>81771000</v>
      </c>
      <c r="N26" s="368">
        <f t="shared" si="2"/>
        <v>1538000</v>
      </c>
      <c r="O26" s="368">
        <f t="shared" si="3"/>
        <v>81771127.959920004</v>
      </c>
    </row>
    <row r="27" spans="1:15" ht="15.6">
      <c r="A27" s="354">
        <v>72</v>
      </c>
      <c r="B27" s="354">
        <v>23</v>
      </c>
      <c r="C27" s="355" t="s">
        <v>2010</v>
      </c>
      <c r="D27" s="356">
        <f>'23. Chức'!G13</f>
        <v>12980000.000000002</v>
      </c>
      <c r="E27" s="356">
        <f>'23. Chức'!G15</f>
        <v>1303806.4000000001</v>
      </c>
      <c r="F27" s="356"/>
      <c r="G27" s="356"/>
      <c r="H27" s="356"/>
      <c r="I27" s="356"/>
      <c r="J27" s="356"/>
      <c r="K27" s="357">
        <f t="shared" si="0"/>
        <v>14284000</v>
      </c>
      <c r="L27" s="356">
        <f t="shared" si="1"/>
        <v>14283806.400000002</v>
      </c>
      <c r="M27" s="356">
        <f>'23. Chức'!G21</f>
        <v>14284000</v>
      </c>
      <c r="N27" s="368">
        <f t="shared" si="2"/>
        <v>0</v>
      </c>
      <c r="O27" s="368">
        <f t="shared" si="3"/>
        <v>14283806.400000002</v>
      </c>
    </row>
    <row r="28" spans="1:15" ht="15.6">
      <c r="A28" s="354">
        <v>73</v>
      </c>
      <c r="B28" s="354">
        <v>24</v>
      </c>
      <c r="C28" s="355" t="s">
        <v>2009</v>
      </c>
      <c r="D28" s="356">
        <f>'24. Hận'!G13</f>
        <v>11800000</v>
      </c>
      <c r="E28" s="356">
        <f>'24. Hận'!G15</f>
        <v>4292653.0855999999</v>
      </c>
      <c r="F28" s="356"/>
      <c r="G28" s="356"/>
      <c r="H28" s="356"/>
      <c r="I28" s="356"/>
      <c r="J28" s="356"/>
      <c r="K28" s="357">
        <f t="shared" si="0"/>
        <v>16093000</v>
      </c>
      <c r="L28" s="356">
        <f t="shared" si="1"/>
        <v>16092653.0856</v>
      </c>
      <c r="M28" s="356">
        <f>'24. Hận'!G25</f>
        <v>16093000</v>
      </c>
      <c r="N28" s="368">
        <f t="shared" si="2"/>
        <v>0</v>
      </c>
      <c r="O28" s="368">
        <f t="shared" si="3"/>
        <v>16092653.0856</v>
      </c>
    </row>
    <row r="29" spans="1:15" ht="15.6">
      <c r="A29" s="354">
        <v>74</v>
      </c>
      <c r="B29" s="354">
        <v>25</v>
      </c>
      <c r="C29" s="355" t="s">
        <v>2011</v>
      </c>
      <c r="D29" s="356">
        <f>'25. Kiên'!G13</f>
        <v>14160000</v>
      </c>
      <c r="E29" s="356">
        <f>'25. Kiên'!G15</f>
        <v>2146518.4952000002</v>
      </c>
      <c r="F29" s="356"/>
      <c r="G29" s="356"/>
      <c r="H29" s="356"/>
      <c r="I29" s="356"/>
      <c r="J29" s="356"/>
      <c r="K29" s="357">
        <f t="shared" si="0"/>
        <v>16307000</v>
      </c>
      <c r="L29" s="356">
        <f t="shared" si="1"/>
        <v>16306518.495200001</v>
      </c>
      <c r="M29" s="356">
        <f>'25. Kiên'!G23</f>
        <v>16307000</v>
      </c>
      <c r="N29" s="368">
        <f t="shared" si="2"/>
        <v>0</v>
      </c>
      <c r="O29" s="368">
        <f t="shared" si="3"/>
        <v>16306518.495200001</v>
      </c>
    </row>
    <row r="30" spans="1:15" ht="15.6">
      <c r="A30" s="354">
        <v>76</v>
      </c>
      <c r="B30" s="354">
        <v>26</v>
      </c>
      <c r="C30" s="355" t="s">
        <v>2012</v>
      </c>
      <c r="D30" s="356">
        <f>'26. Ngọc'!G13</f>
        <v>48379999.999999993</v>
      </c>
      <c r="E30" s="356">
        <f>'26. Ngọc'!G15</f>
        <v>11965950.694499999</v>
      </c>
      <c r="F30" s="356">
        <f>'26. Ngọc'!G17</f>
        <v>1195000</v>
      </c>
      <c r="G30" s="356"/>
      <c r="H30" s="356"/>
      <c r="I30" s="356"/>
      <c r="J30" s="356">
        <f t="shared" si="4"/>
        <v>598297.53472500003</v>
      </c>
      <c r="K30" s="357">
        <f t="shared" si="0"/>
        <v>62139000</v>
      </c>
      <c r="L30" s="356">
        <f t="shared" si="1"/>
        <v>62139248.229224995</v>
      </c>
      <c r="M30" s="356">
        <f>'26. Ngọc'!G22</f>
        <v>61541000</v>
      </c>
      <c r="N30" s="368">
        <f t="shared" si="2"/>
        <v>598000</v>
      </c>
      <c r="O30" s="368">
        <f t="shared" si="3"/>
        <v>61540950.694499992</v>
      </c>
    </row>
    <row r="31" spans="1:15" ht="31.2">
      <c r="A31" s="354">
        <v>77</v>
      </c>
      <c r="B31" s="354">
        <v>27</v>
      </c>
      <c r="C31" s="355" t="s">
        <v>2515</v>
      </c>
      <c r="D31" s="356">
        <f>'27. Xuân'!G13</f>
        <v>41890000</v>
      </c>
      <c r="E31" s="356"/>
      <c r="F31" s="356"/>
      <c r="G31" s="356"/>
      <c r="H31" s="356"/>
      <c r="I31" s="356"/>
      <c r="J31" s="356"/>
      <c r="K31" s="357">
        <f t="shared" si="0"/>
        <v>41890000</v>
      </c>
      <c r="L31" s="356">
        <f t="shared" si="1"/>
        <v>41890000</v>
      </c>
      <c r="M31" s="356">
        <f>'27. Xuân'!G20</f>
        <v>41890000</v>
      </c>
      <c r="N31" s="368">
        <f t="shared" si="2"/>
        <v>0</v>
      </c>
      <c r="O31" s="368">
        <f t="shared" si="3"/>
        <v>41890000</v>
      </c>
    </row>
    <row r="32" spans="1:15" ht="46.8">
      <c r="A32" s="354">
        <v>78</v>
      </c>
      <c r="B32" s="354">
        <v>28</v>
      </c>
      <c r="C32" s="355" t="s">
        <v>2514</v>
      </c>
      <c r="D32" s="356">
        <f>'28. Hiển'!G13</f>
        <v>132159999.99999999</v>
      </c>
      <c r="E32" s="356"/>
      <c r="F32" s="356"/>
      <c r="G32" s="356"/>
      <c r="H32" s="356"/>
      <c r="I32" s="356"/>
      <c r="J32" s="356"/>
      <c r="K32" s="357">
        <f t="shared" si="0"/>
        <v>132160000</v>
      </c>
      <c r="L32" s="356">
        <f t="shared" si="1"/>
        <v>132159999.99999999</v>
      </c>
      <c r="M32" s="356">
        <f>'28. Hiển'!G20</f>
        <v>132160000</v>
      </c>
      <c r="N32" s="368">
        <f t="shared" si="2"/>
        <v>0</v>
      </c>
      <c r="O32" s="368">
        <f t="shared" si="3"/>
        <v>132159999.99999999</v>
      </c>
    </row>
    <row r="33" spans="1:15" ht="15.6">
      <c r="A33" s="354">
        <v>87</v>
      </c>
      <c r="B33" s="354">
        <v>29</v>
      </c>
      <c r="C33" s="355" t="s">
        <v>2013</v>
      </c>
      <c r="D33" s="356">
        <f>'29. Thạch'!G13</f>
        <v>127440000.00000001</v>
      </c>
      <c r="E33" s="356">
        <f>'29. Thạch'!G15</f>
        <v>8763062.044433333</v>
      </c>
      <c r="F33" s="356">
        <f>'29. Thạch'!G25</f>
        <v>4200700</v>
      </c>
      <c r="G33" s="356"/>
      <c r="H33" s="356"/>
      <c r="I33" s="356"/>
      <c r="J33" s="356">
        <f t="shared" si="4"/>
        <v>438153.10222166666</v>
      </c>
      <c r="K33" s="357">
        <f t="shared" si="0"/>
        <v>140842000</v>
      </c>
      <c r="L33" s="356">
        <f t="shared" si="1"/>
        <v>140841915.14665502</v>
      </c>
      <c r="M33" s="356">
        <f>'29. Thạch'!G31</f>
        <v>140404000</v>
      </c>
      <c r="N33" s="368">
        <f t="shared" si="2"/>
        <v>438000</v>
      </c>
      <c r="O33" s="368">
        <f t="shared" si="3"/>
        <v>140403762.04443336</v>
      </c>
    </row>
    <row r="34" spans="1:15" ht="46.8">
      <c r="A34" s="354">
        <v>88</v>
      </c>
      <c r="B34" s="354">
        <v>30</v>
      </c>
      <c r="C34" s="355" t="s">
        <v>2520</v>
      </c>
      <c r="D34" s="356">
        <f>'30. Hà'!G13</f>
        <v>51920000.000000007</v>
      </c>
      <c r="E34" s="356">
        <f>'30. Hà'!G15</f>
        <v>283065.50030000007</v>
      </c>
      <c r="F34" s="356"/>
      <c r="G34" s="356"/>
      <c r="H34" s="356"/>
      <c r="I34" s="356"/>
      <c r="J34" s="356">
        <f t="shared" si="4"/>
        <v>14153.275015000005</v>
      </c>
      <c r="K34" s="357">
        <f t="shared" si="0"/>
        <v>52217000</v>
      </c>
      <c r="L34" s="356">
        <f t="shared" si="1"/>
        <v>52217218.775315002</v>
      </c>
      <c r="M34" s="356">
        <f>'30. Hà'!G20</f>
        <v>52203000</v>
      </c>
      <c r="N34" s="368">
        <f t="shared" si="2"/>
        <v>14000</v>
      </c>
      <c r="O34" s="368">
        <f t="shared" si="3"/>
        <v>52203065.500300005</v>
      </c>
    </row>
    <row r="35" spans="1:15" ht="46.8">
      <c r="A35" s="354">
        <v>89</v>
      </c>
      <c r="B35" s="354">
        <v>31</v>
      </c>
      <c r="C35" s="355" t="s">
        <v>2513</v>
      </c>
      <c r="D35" s="356">
        <f>'31. Luật'!G13</f>
        <v>15340000</v>
      </c>
      <c r="E35" s="356">
        <f>'31. Luật'!G15</f>
        <v>20648958.650399998</v>
      </c>
      <c r="F35" s="356"/>
      <c r="G35" s="356"/>
      <c r="H35" s="356"/>
      <c r="I35" s="356"/>
      <c r="J35" s="356">
        <f t="shared" si="4"/>
        <v>1032447.9325199999</v>
      </c>
      <c r="K35" s="357">
        <f t="shared" si="0"/>
        <v>37021000</v>
      </c>
      <c r="L35" s="356">
        <f t="shared" si="1"/>
        <v>37021406.58292</v>
      </c>
      <c r="M35" s="356">
        <f>'31. Luật'!G27</f>
        <v>35989000</v>
      </c>
      <c r="N35" s="368">
        <f t="shared" si="2"/>
        <v>1032000</v>
      </c>
      <c r="O35" s="368">
        <f t="shared" si="3"/>
        <v>35988958.650399998</v>
      </c>
    </row>
    <row r="36" spans="1:15" s="386" customFormat="1" ht="15.6">
      <c r="A36" s="381">
        <v>90</v>
      </c>
      <c r="B36" s="381">
        <v>32</v>
      </c>
      <c r="C36" s="382" t="s">
        <v>2014</v>
      </c>
      <c r="D36" s="383">
        <f>'32. Thách'!G13</f>
        <v>101952000</v>
      </c>
      <c r="E36" s="383">
        <f>'32. Thách'!G16</f>
        <v>68310333.011799991</v>
      </c>
      <c r="F36" s="383">
        <f>'32. Thách'!G38</f>
        <v>585000</v>
      </c>
      <c r="G36" s="383"/>
      <c r="H36" s="383"/>
      <c r="I36" s="383"/>
      <c r="J36" s="390">
        <v>2995781.4991800003</v>
      </c>
      <c r="K36" s="384">
        <f t="shared" si="0"/>
        <v>173843000</v>
      </c>
      <c r="L36" s="383">
        <f t="shared" si="1"/>
        <v>173843114.51097998</v>
      </c>
      <c r="M36" s="383">
        <f>'32. Thách'!G41</f>
        <v>170847000</v>
      </c>
      <c r="N36" s="385">
        <f t="shared" si="2"/>
        <v>2996000</v>
      </c>
      <c r="O36" s="385">
        <f t="shared" si="3"/>
        <v>170847333.01179999</v>
      </c>
    </row>
    <row r="37" spans="1:15" ht="15.6">
      <c r="A37" s="354">
        <v>97</v>
      </c>
      <c r="B37" s="354">
        <v>33</v>
      </c>
      <c r="C37" s="355" t="s">
        <v>2032</v>
      </c>
      <c r="D37" s="356"/>
      <c r="E37" s="356"/>
      <c r="F37" s="356">
        <f>'33. Thắm'!G17</f>
        <v>388750</v>
      </c>
      <c r="G37" s="356"/>
      <c r="H37" s="356"/>
      <c r="I37" s="356"/>
      <c r="J37" s="356"/>
      <c r="K37" s="357">
        <f t="shared" si="0"/>
        <v>389000</v>
      </c>
      <c r="L37" s="356">
        <f t="shared" si="1"/>
        <v>388750</v>
      </c>
      <c r="M37" s="356">
        <f>'33. Thắm'!G21</f>
        <v>389000</v>
      </c>
      <c r="N37" s="368">
        <f t="shared" si="2"/>
        <v>0</v>
      </c>
      <c r="O37" s="368">
        <f t="shared" si="3"/>
        <v>388750</v>
      </c>
    </row>
    <row r="38" spans="1:15" ht="15.6">
      <c r="A38" s="354">
        <v>99</v>
      </c>
      <c r="B38" s="354">
        <v>34</v>
      </c>
      <c r="C38" s="355" t="s">
        <v>2025</v>
      </c>
      <c r="D38" s="356">
        <f>'34. Chính'!G13</f>
        <v>1180000</v>
      </c>
      <c r="E38" s="356">
        <f>'34. Chính'!G15</f>
        <v>3460551.6412333334</v>
      </c>
      <c r="F38" s="356">
        <f>'34. Chính'!G21</f>
        <v>90000</v>
      </c>
      <c r="G38" s="356"/>
      <c r="H38" s="356"/>
      <c r="I38" s="356"/>
      <c r="J38" s="356">
        <f t="shared" si="4"/>
        <v>173027.58206166668</v>
      </c>
      <c r="K38" s="357">
        <f t="shared" si="0"/>
        <v>4904000</v>
      </c>
      <c r="L38" s="356">
        <f t="shared" si="1"/>
        <v>4903579.2232950004</v>
      </c>
      <c r="M38" s="356">
        <f>'34. Chính'!G24</f>
        <v>4731000</v>
      </c>
      <c r="N38" s="368">
        <f t="shared" si="2"/>
        <v>173000</v>
      </c>
      <c r="O38" s="368">
        <f t="shared" si="3"/>
        <v>4730551.6412333334</v>
      </c>
    </row>
    <row r="39" spans="1:15" ht="15.6">
      <c r="A39" s="354">
        <v>61</v>
      </c>
      <c r="B39" s="354">
        <v>35</v>
      </c>
      <c r="C39" s="355" t="s">
        <v>2005</v>
      </c>
      <c r="D39" s="356">
        <f>'35. Thắng'!G13</f>
        <v>44840000</v>
      </c>
      <c r="E39" s="356">
        <f>'35. Thắng'!G15</f>
        <v>5094809.5860000001</v>
      </c>
      <c r="F39" s="356"/>
      <c r="G39" s="356"/>
      <c r="H39" s="356"/>
      <c r="I39" s="356"/>
      <c r="J39" s="356"/>
      <c r="K39" s="357">
        <f t="shared" si="0"/>
        <v>49935000</v>
      </c>
      <c r="L39" s="356">
        <f t="shared" si="1"/>
        <v>49934809.586000003</v>
      </c>
      <c r="M39" s="356">
        <f>'35. Thắng'!G23</f>
        <v>49935000</v>
      </c>
      <c r="N39" s="368">
        <f t="shared" si="2"/>
        <v>0</v>
      </c>
      <c r="O39" s="368">
        <f t="shared" si="3"/>
        <v>49934809.586000003</v>
      </c>
    </row>
    <row r="40" spans="1:15" ht="27.6">
      <c r="A40" s="354" t="s">
        <v>2067</v>
      </c>
      <c r="B40" s="354">
        <v>36</v>
      </c>
      <c r="C40" s="355" t="s">
        <v>2068</v>
      </c>
      <c r="D40" s="356">
        <v>59631000.000000015</v>
      </c>
      <c r="E40" s="356">
        <v>208735244.27403334</v>
      </c>
      <c r="F40" s="356">
        <v>111894500</v>
      </c>
      <c r="G40" s="356">
        <v>156555000</v>
      </c>
      <c r="H40" s="356">
        <v>7776000</v>
      </c>
      <c r="I40" s="356">
        <v>9393300</v>
      </c>
      <c r="J40" s="356"/>
      <c r="K40" s="357">
        <f t="shared" si="0"/>
        <v>553985000</v>
      </c>
      <c r="L40" s="356">
        <f t="shared" si="1"/>
        <v>553985044.27403331</v>
      </c>
      <c r="M40" s="356">
        <v>553985000</v>
      </c>
      <c r="N40" s="368">
        <f t="shared" si="2"/>
        <v>0</v>
      </c>
      <c r="O40" s="368">
        <f t="shared" si="3"/>
        <v>553985044.27403331</v>
      </c>
    </row>
    <row r="41" spans="1:15" ht="31.2">
      <c r="A41" s="354">
        <v>18</v>
      </c>
      <c r="B41" s="354">
        <v>37</v>
      </c>
      <c r="C41" s="355" t="s">
        <v>2069</v>
      </c>
      <c r="D41" s="356">
        <v>23388000.000000004</v>
      </c>
      <c r="E41" s="356">
        <v>5158830.1998240007</v>
      </c>
      <c r="F41" s="356">
        <v>1935000</v>
      </c>
      <c r="G41" s="356">
        <v>7200000</v>
      </c>
      <c r="H41" s="356"/>
      <c r="I41" s="356">
        <v>432000</v>
      </c>
      <c r="J41" s="356"/>
      <c r="K41" s="357">
        <f t="shared" si="0"/>
        <v>38114000</v>
      </c>
      <c r="L41" s="356">
        <f t="shared" si="1"/>
        <v>38113830.199824005</v>
      </c>
      <c r="M41" s="356">
        <v>38114000</v>
      </c>
      <c r="N41" s="368">
        <f t="shared" si="2"/>
        <v>0</v>
      </c>
      <c r="O41" s="368">
        <f t="shared" si="3"/>
        <v>38113830.199824005</v>
      </c>
    </row>
    <row r="42" spans="1:15" ht="15.6">
      <c r="A42" s="354">
        <v>19</v>
      </c>
      <c r="B42" s="354">
        <v>38</v>
      </c>
      <c r="C42" s="355" t="s">
        <v>2070</v>
      </c>
      <c r="D42" s="356">
        <v>31388000</v>
      </c>
      <c r="E42" s="356">
        <v>3259942.3636000003</v>
      </c>
      <c r="F42" s="356">
        <v>3958125</v>
      </c>
      <c r="G42" s="356"/>
      <c r="H42" s="356"/>
      <c r="I42" s="356"/>
      <c r="J42" s="356"/>
      <c r="K42" s="357">
        <f t="shared" si="0"/>
        <v>38606000</v>
      </c>
      <c r="L42" s="356">
        <f t="shared" si="1"/>
        <v>38606067.363600001</v>
      </c>
      <c r="M42" s="356">
        <v>38606000</v>
      </c>
      <c r="N42" s="368">
        <f t="shared" si="2"/>
        <v>0</v>
      </c>
      <c r="O42" s="368">
        <f t="shared" si="3"/>
        <v>38606067.363600001</v>
      </c>
    </row>
    <row r="43" spans="1:15" ht="15.6">
      <c r="A43" s="354">
        <v>35</v>
      </c>
      <c r="B43" s="354">
        <v>39</v>
      </c>
      <c r="C43" s="355" t="s">
        <v>2071</v>
      </c>
      <c r="D43" s="356">
        <v>12508000</v>
      </c>
      <c r="E43" s="356">
        <v>3976287.8595599998</v>
      </c>
      <c r="F43" s="356">
        <v>146250</v>
      </c>
      <c r="G43" s="356"/>
      <c r="H43" s="356"/>
      <c r="I43" s="356"/>
      <c r="J43" s="356"/>
      <c r="K43" s="357">
        <f t="shared" si="0"/>
        <v>16631000</v>
      </c>
      <c r="L43" s="356">
        <f t="shared" si="1"/>
        <v>16630537.85956</v>
      </c>
      <c r="M43" s="356">
        <v>16631000</v>
      </c>
      <c r="N43" s="368">
        <f t="shared" si="2"/>
        <v>0</v>
      </c>
      <c r="O43" s="368">
        <f t="shared" si="3"/>
        <v>16630537.85956</v>
      </c>
    </row>
    <row r="44" spans="1:15" ht="15.6">
      <c r="A44" s="354">
        <v>36</v>
      </c>
      <c r="B44" s="354">
        <v>40</v>
      </c>
      <c r="C44" s="355" t="s">
        <v>2072</v>
      </c>
      <c r="D44" s="356">
        <v>16284000</v>
      </c>
      <c r="E44" s="356">
        <v>2106047.6120600002</v>
      </c>
      <c r="F44" s="356"/>
      <c r="G44" s="356"/>
      <c r="H44" s="356"/>
      <c r="I44" s="356"/>
      <c r="J44" s="356"/>
      <c r="K44" s="357">
        <f t="shared" si="0"/>
        <v>18390000</v>
      </c>
      <c r="L44" s="356">
        <f t="shared" si="1"/>
        <v>18390047.612059999</v>
      </c>
      <c r="M44" s="356">
        <v>18390000</v>
      </c>
      <c r="N44" s="368">
        <f t="shared" si="2"/>
        <v>0</v>
      </c>
      <c r="O44" s="368">
        <f t="shared" si="3"/>
        <v>18390047.612059999</v>
      </c>
    </row>
    <row r="45" spans="1:15" ht="31.2">
      <c r="A45" s="354">
        <v>37</v>
      </c>
      <c r="B45" s="354">
        <v>41</v>
      </c>
      <c r="C45" s="355" t="s">
        <v>2512</v>
      </c>
      <c r="D45" s="356">
        <v>16284000</v>
      </c>
      <c r="E45" s="356">
        <v>2326025.7653999999</v>
      </c>
      <c r="F45" s="356">
        <v>208500</v>
      </c>
      <c r="G45" s="356"/>
      <c r="H45" s="356"/>
      <c r="I45" s="356"/>
      <c r="J45" s="356"/>
      <c r="K45" s="357">
        <f t="shared" si="0"/>
        <v>18819000</v>
      </c>
      <c r="L45" s="356">
        <f t="shared" si="1"/>
        <v>18818525.7654</v>
      </c>
      <c r="M45" s="356">
        <v>18819000</v>
      </c>
      <c r="N45" s="368">
        <f t="shared" si="2"/>
        <v>0</v>
      </c>
      <c r="O45" s="368">
        <f t="shared" si="3"/>
        <v>18818525.7654</v>
      </c>
    </row>
    <row r="46" spans="1:15" ht="15.6">
      <c r="A46" s="354">
        <v>39</v>
      </c>
      <c r="B46" s="354">
        <v>42</v>
      </c>
      <c r="C46" s="355" t="s">
        <v>2073</v>
      </c>
      <c r="D46" s="356">
        <v>8260000</v>
      </c>
      <c r="E46" s="356">
        <v>2594515.5544000003</v>
      </c>
      <c r="F46" s="356">
        <v>684250</v>
      </c>
      <c r="G46" s="356"/>
      <c r="H46" s="356"/>
      <c r="I46" s="356"/>
      <c r="J46" s="356"/>
      <c r="K46" s="357">
        <f t="shared" si="0"/>
        <v>11539000</v>
      </c>
      <c r="L46" s="356">
        <f t="shared" si="1"/>
        <v>11538765.554400001</v>
      </c>
      <c r="M46" s="356">
        <v>11539000</v>
      </c>
      <c r="N46" s="368">
        <f t="shared" si="2"/>
        <v>0</v>
      </c>
      <c r="O46" s="368">
        <f t="shared" si="3"/>
        <v>11538765.554400001</v>
      </c>
    </row>
    <row r="47" spans="1:15" ht="15.6">
      <c r="A47" s="354">
        <v>43</v>
      </c>
      <c r="B47" s="354">
        <v>43</v>
      </c>
      <c r="C47" s="355" t="s">
        <v>2075</v>
      </c>
      <c r="D47" s="356">
        <v>13216000</v>
      </c>
      <c r="E47" s="356">
        <v>3553411.5277866665</v>
      </c>
      <c r="F47" s="356">
        <v>466500</v>
      </c>
      <c r="G47" s="356"/>
      <c r="H47" s="356"/>
      <c r="I47" s="356"/>
      <c r="J47" s="356"/>
      <c r="K47" s="357">
        <f t="shared" si="0"/>
        <v>17236000</v>
      </c>
      <c r="L47" s="356">
        <f t="shared" si="1"/>
        <v>17235911.527786665</v>
      </c>
      <c r="M47" s="356">
        <v>17236000</v>
      </c>
      <c r="N47" s="368">
        <f t="shared" si="2"/>
        <v>0</v>
      </c>
      <c r="O47" s="368">
        <f t="shared" si="3"/>
        <v>17235911.527786665</v>
      </c>
    </row>
    <row r="48" spans="1:15" ht="15.6">
      <c r="A48" s="354">
        <v>45</v>
      </c>
      <c r="B48" s="354">
        <v>44</v>
      </c>
      <c r="C48" s="355" t="s">
        <v>2076</v>
      </c>
      <c r="D48" s="356">
        <f>'44. Bản'!G13</f>
        <v>238360000</v>
      </c>
      <c r="E48" s="356">
        <f>'44. Bản'!G15</f>
        <v>24536207.151000001</v>
      </c>
      <c r="F48" s="356">
        <f>'44. Bản'!G28</f>
        <v>5391000</v>
      </c>
      <c r="G48" s="356"/>
      <c r="H48" s="356"/>
      <c r="I48" s="356"/>
      <c r="J48" s="356">
        <f t="shared" si="4"/>
        <v>1226810.3575500001</v>
      </c>
      <c r="K48" s="357">
        <f t="shared" si="0"/>
        <v>269514000</v>
      </c>
      <c r="L48" s="356">
        <f>SUM(D48:J48)</f>
        <v>269514017.50854999</v>
      </c>
      <c r="M48" s="356">
        <f>'44. Bản'!G33</f>
        <v>268287000</v>
      </c>
      <c r="N48" s="368">
        <f t="shared" si="2"/>
        <v>1227000</v>
      </c>
      <c r="O48" s="368">
        <f t="shared" si="3"/>
        <v>268287207.15099999</v>
      </c>
    </row>
    <row r="49" spans="1:15" ht="31.2">
      <c r="A49" s="354">
        <v>45</v>
      </c>
      <c r="B49" s="354">
        <v>45</v>
      </c>
      <c r="C49" s="355" t="s">
        <v>2511</v>
      </c>
      <c r="D49" s="356">
        <v>66079999.999999993</v>
      </c>
      <c r="E49" s="356">
        <v>1997991.9270999997</v>
      </c>
      <c r="F49" s="356"/>
      <c r="G49" s="356"/>
      <c r="H49" s="356"/>
      <c r="I49" s="356"/>
      <c r="J49" s="356">
        <f t="shared" si="4"/>
        <v>99899.596354999987</v>
      </c>
      <c r="K49" s="357">
        <f t="shared" si="0"/>
        <v>68178000</v>
      </c>
      <c r="L49" s="356">
        <f t="shared" si="1"/>
        <v>68177891.523454994</v>
      </c>
      <c r="M49" s="356">
        <v>68078000</v>
      </c>
      <c r="N49" s="368">
        <f t="shared" si="2"/>
        <v>100000</v>
      </c>
      <c r="O49" s="368">
        <f t="shared" si="3"/>
        <v>68077991.927099988</v>
      </c>
    </row>
    <row r="50" spans="1:15" ht="15.6">
      <c r="A50" s="354">
        <v>48</v>
      </c>
      <c r="B50" s="354">
        <v>46</v>
      </c>
      <c r="C50" s="355" t="s">
        <v>2510</v>
      </c>
      <c r="D50" s="356">
        <v>67260000</v>
      </c>
      <c r="E50" s="356"/>
      <c r="F50" s="356"/>
      <c r="G50" s="356"/>
      <c r="H50" s="356"/>
      <c r="I50" s="356"/>
      <c r="J50" s="356"/>
      <c r="K50" s="357">
        <f t="shared" si="0"/>
        <v>67260000</v>
      </c>
      <c r="L50" s="356">
        <f t="shared" si="1"/>
        <v>67260000</v>
      </c>
      <c r="M50" s="356">
        <v>67260000</v>
      </c>
      <c r="N50" s="368">
        <f t="shared" si="2"/>
        <v>0</v>
      </c>
      <c r="O50" s="368">
        <f t="shared" si="3"/>
        <v>67260000</v>
      </c>
    </row>
    <row r="51" spans="1:15" ht="15.6">
      <c r="A51" s="354">
        <v>48</v>
      </c>
      <c r="B51" s="354">
        <v>47</v>
      </c>
      <c r="C51" s="355" t="s">
        <v>2077</v>
      </c>
      <c r="D51" s="356">
        <v>54279999.999999993</v>
      </c>
      <c r="E51" s="356"/>
      <c r="F51" s="356"/>
      <c r="G51" s="356"/>
      <c r="H51" s="356"/>
      <c r="I51" s="356"/>
      <c r="J51" s="356"/>
      <c r="K51" s="357">
        <f t="shared" si="0"/>
        <v>54280000</v>
      </c>
      <c r="L51" s="356">
        <f t="shared" si="1"/>
        <v>54279999.999999993</v>
      </c>
      <c r="M51" s="356">
        <v>54280000</v>
      </c>
      <c r="N51" s="368">
        <f t="shared" si="2"/>
        <v>0</v>
      </c>
      <c r="O51" s="368">
        <f t="shared" si="3"/>
        <v>54279999.999999993</v>
      </c>
    </row>
    <row r="52" spans="1:15" ht="31.2">
      <c r="A52" s="354" t="s">
        <v>2082</v>
      </c>
      <c r="B52" s="354">
        <v>48</v>
      </c>
      <c r="C52" s="355" t="s">
        <v>2083</v>
      </c>
      <c r="D52" s="356">
        <v>14160000</v>
      </c>
      <c r="E52" s="356">
        <v>1075640.28</v>
      </c>
      <c r="F52" s="356"/>
      <c r="G52" s="356"/>
      <c r="H52" s="356"/>
      <c r="I52" s="356"/>
      <c r="J52" s="356">
        <f t="shared" si="4"/>
        <v>53782.014000000003</v>
      </c>
      <c r="K52" s="357">
        <f t="shared" si="0"/>
        <v>15289000</v>
      </c>
      <c r="L52" s="356">
        <f t="shared" si="1"/>
        <v>15289422.294</v>
      </c>
      <c r="M52" s="356">
        <v>15236000</v>
      </c>
      <c r="N52" s="368">
        <f t="shared" si="2"/>
        <v>53000</v>
      </c>
      <c r="O52" s="368">
        <f t="shared" si="3"/>
        <v>15235640.279999999</v>
      </c>
    </row>
    <row r="53" spans="1:15" ht="15.6">
      <c r="A53" s="354">
        <v>64</v>
      </c>
      <c r="B53" s="354">
        <v>49</v>
      </c>
      <c r="C53" s="355" t="s">
        <v>2085</v>
      </c>
      <c r="D53" s="356">
        <v>14160000</v>
      </c>
      <c r="E53" s="356">
        <v>1637569.01</v>
      </c>
      <c r="F53" s="356">
        <v>113000</v>
      </c>
      <c r="G53" s="356"/>
      <c r="H53" s="356"/>
      <c r="I53" s="356"/>
      <c r="J53" s="356">
        <f t="shared" si="4"/>
        <v>81878.450500000006</v>
      </c>
      <c r="K53" s="357">
        <f t="shared" si="0"/>
        <v>15992000</v>
      </c>
      <c r="L53" s="356">
        <f t="shared" si="1"/>
        <v>15992447.4605</v>
      </c>
      <c r="M53" s="356">
        <v>15911000</v>
      </c>
      <c r="N53" s="368">
        <f t="shared" si="2"/>
        <v>81000</v>
      </c>
      <c r="O53" s="368">
        <f t="shared" si="3"/>
        <v>15910569.01</v>
      </c>
    </row>
    <row r="54" spans="1:15" ht="46.8">
      <c r="A54" s="354">
        <v>82</v>
      </c>
      <c r="B54" s="354">
        <v>50</v>
      </c>
      <c r="C54" s="355" t="s">
        <v>2509</v>
      </c>
      <c r="D54" s="356">
        <v>80240000</v>
      </c>
      <c r="E54" s="356">
        <v>11076369.943999998</v>
      </c>
      <c r="F54" s="356">
        <v>280000</v>
      </c>
      <c r="G54" s="356"/>
      <c r="H54" s="356"/>
      <c r="I54" s="356"/>
      <c r="J54" s="356">
        <f t="shared" si="4"/>
        <v>553818.49719999998</v>
      </c>
      <c r="K54" s="357">
        <f t="shared" si="0"/>
        <v>92150000</v>
      </c>
      <c r="L54" s="356">
        <f t="shared" si="1"/>
        <v>92150188.441200003</v>
      </c>
      <c r="M54" s="356">
        <v>91596000</v>
      </c>
      <c r="N54" s="368">
        <f t="shared" si="2"/>
        <v>554000</v>
      </c>
      <c r="O54" s="368">
        <f t="shared" si="3"/>
        <v>91596369.944000006</v>
      </c>
    </row>
    <row r="55" spans="1:15" ht="46.8">
      <c r="A55" s="354">
        <v>82</v>
      </c>
      <c r="B55" s="354">
        <v>51</v>
      </c>
      <c r="C55" s="355" t="s">
        <v>2508</v>
      </c>
      <c r="D55" s="356">
        <v>51920000.000000007</v>
      </c>
      <c r="E55" s="356"/>
      <c r="F55" s="356"/>
      <c r="G55" s="356"/>
      <c r="H55" s="356"/>
      <c r="I55" s="356"/>
      <c r="J55" s="356"/>
      <c r="K55" s="357">
        <f t="shared" si="0"/>
        <v>51920000</v>
      </c>
      <c r="L55" s="356">
        <f t="shared" si="1"/>
        <v>51920000.000000007</v>
      </c>
      <c r="M55" s="356">
        <v>51920000</v>
      </c>
      <c r="N55" s="368">
        <f t="shared" si="2"/>
        <v>0</v>
      </c>
      <c r="O55" s="368">
        <f t="shared" si="3"/>
        <v>51920000.000000007</v>
      </c>
    </row>
    <row r="56" spans="1:15" ht="15.6">
      <c r="A56" s="354">
        <v>84</v>
      </c>
      <c r="B56" s="354">
        <v>52</v>
      </c>
      <c r="C56" s="355" t="s">
        <v>2086</v>
      </c>
      <c r="D56" s="356">
        <v>26196000</v>
      </c>
      <c r="E56" s="356">
        <v>1199132.6359999999</v>
      </c>
      <c r="F56" s="356"/>
      <c r="G56" s="356"/>
      <c r="H56" s="356"/>
      <c r="I56" s="356"/>
      <c r="J56" s="356"/>
      <c r="K56" s="357">
        <f t="shared" si="0"/>
        <v>27395000</v>
      </c>
      <c r="L56" s="356">
        <f t="shared" si="1"/>
        <v>27395132.636</v>
      </c>
      <c r="M56" s="356">
        <v>27395000</v>
      </c>
      <c r="N56" s="368">
        <f t="shared" si="2"/>
        <v>0</v>
      </c>
      <c r="O56" s="368">
        <f t="shared" si="3"/>
        <v>27395132.636</v>
      </c>
    </row>
    <row r="57" spans="1:15" ht="31.2">
      <c r="A57" s="354">
        <v>85</v>
      </c>
      <c r="B57" s="354">
        <v>53</v>
      </c>
      <c r="C57" s="355" t="s">
        <v>2507</v>
      </c>
      <c r="D57" s="356">
        <v>7788000</v>
      </c>
      <c r="E57" s="356">
        <v>7794312.7132000001</v>
      </c>
      <c r="F57" s="356"/>
      <c r="G57" s="356"/>
      <c r="H57" s="356"/>
      <c r="I57" s="356"/>
      <c r="J57" s="356"/>
      <c r="K57" s="357">
        <f t="shared" si="0"/>
        <v>15582000</v>
      </c>
      <c r="L57" s="356">
        <f t="shared" si="1"/>
        <v>15582312.713199999</v>
      </c>
      <c r="M57" s="356">
        <v>15582000</v>
      </c>
      <c r="N57" s="368">
        <f t="shared" si="2"/>
        <v>0</v>
      </c>
      <c r="O57" s="368">
        <f t="shared" si="3"/>
        <v>15582312.713199999</v>
      </c>
    </row>
    <row r="58" spans="1:15" ht="15.6">
      <c r="A58" s="354">
        <v>86</v>
      </c>
      <c r="B58" s="354">
        <v>54</v>
      </c>
      <c r="C58" s="355" t="s">
        <v>2087</v>
      </c>
      <c r="D58" s="356">
        <v>7788000</v>
      </c>
      <c r="E58" s="356">
        <v>6779140.6198400017</v>
      </c>
      <c r="F58" s="356"/>
      <c r="G58" s="356"/>
      <c r="H58" s="356"/>
      <c r="I58" s="356"/>
      <c r="J58" s="356"/>
      <c r="K58" s="357">
        <f t="shared" si="0"/>
        <v>14567000</v>
      </c>
      <c r="L58" s="356">
        <f t="shared" si="1"/>
        <v>14567140.619840002</v>
      </c>
      <c r="M58" s="356">
        <v>14567000</v>
      </c>
      <c r="N58" s="368">
        <f t="shared" si="2"/>
        <v>0</v>
      </c>
      <c r="O58" s="368">
        <f t="shared" si="3"/>
        <v>14567140.619840002</v>
      </c>
    </row>
    <row r="59" spans="1:15" ht="15.6">
      <c r="A59" s="354">
        <v>91</v>
      </c>
      <c r="B59" s="354">
        <v>55</v>
      </c>
      <c r="C59" s="355" t="s">
        <v>2088</v>
      </c>
      <c r="D59" s="356">
        <v>7552000</v>
      </c>
      <c r="E59" s="356">
        <v>1624493.625</v>
      </c>
      <c r="F59" s="356">
        <v>1088750</v>
      </c>
      <c r="G59" s="356"/>
      <c r="H59" s="356"/>
      <c r="I59" s="356"/>
      <c r="J59" s="356"/>
      <c r="K59" s="357">
        <f t="shared" si="0"/>
        <v>10265000</v>
      </c>
      <c r="L59" s="356">
        <f t="shared" si="1"/>
        <v>10265243.625</v>
      </c>
      <c r="M59" s="356">
        <v>10265000</v>
      </c>
      <c r="N59" s="368">
        <f t="shared" si="2"/>
        <v>0</v>
      </c>
      <c r="O59" s="368">
        <f t="shared" si="3"/>
        <v>10265243.625</v>
      </c>
    </row>
    <row r="60" spans="1:15" ht="15.6">
      <c r="A60" s="354">
        <v>100</v>
      </c>
      <c r="B60" s="354">
        <v>56</v>
      </c>
      <c r="C60" s="355" t="s">
        <v>2506</v>
      </c>
      <c r="D60" s="356">
        <v>20532000</v>
      </c>
      <c r="E60" s="356">
        <v>2275136.9440000001</v>
      </c>
      <c r="F60" s="356"/>
      <c r="G60" s="356"/>
      <c r="H60" s="356"/>
      <c r="I60" s="356"/>
      <c r="J60" s="356"/>
      <c r="K60" s="357">
        <f t="shared" si="0"/>
        <v>22807000</v>
      </c>
      <c r="L60" s="356">
        <f t="shared" si="1"/>
        <v>22807136.943999998</v>
      </c>
      <c r="M60" s="356">
        <v>22807000</v>
      </c>
      <c r="N60" s="368">
        <f t="shared" si="2"/>
        <v>0</v>
      </c>
      <c r="O60" s="368">
        <f t="shared" si="3"/>
        <v>22807136.943999998</v>
      </c>
    </row>
    <row r="61" spans="1:15" ht="15.6">
      <c r="A61" s="354"/>
      <c r="B61" s="354">
        <v>57</v>
      </c>
      <c r="C61" s="355" t="s">
        <v>2090</v>
      </c>
      <c r="D61" s="356">
        <v>5552000</v>
      </c>
      <c r="E61" s="356">
        <v>22683464.21024134</v>
      </c>
      <c r="F61" s="356">
        <v>699250</v>
      </c>
      <c r="G61" s="356"/>
      <c r="H61" s="356">
        <v>5184000</v>
      </c>
      <c r="I61" s="356">
        <v>1665600</v>
      </c>
      <c r="J61" s="356"/>
      <c r="K61" s="357">
        <f t="shared" si="0"/>
        <v>35784000</v>
      </c>
      <c r="L61" s="356">
        <f t="shared" si="1"/>
        <v>35784314.21024134</v>
      </c>
      <c r="M61" s="356">
        <v>35784000</v>
      </c>
      <c r="N61" s="368">
        <f t="shared" si="2"/>
        <v>0</v>
      </c>
      <c r="O61" s="368">
        <f t="shared" si="3"/>
        <v>35784314.21024134</v>
      </c>
    </row>
    <row r="62" spans="1:15" ht="31.2">
      <c r="A62" s="354"/>
      <c r="B62" s="354">
        <v>58</v>
      </c>
      <c r="C62" s="355" t="s">
        <v>2091</v>
      </c>
      <c r="D62" s="356">
        <v>417348000</v>
      </c>
      <c r="E62" s="356">
        <v>65858944.731459178</v>
      </c>
      <c r="F62" s="356">
        <v>2205250</v>
      </c>
      <c r="G62" s="356"/>
      <c r="H62" s="356">
        <v>3888000</v>
      </c>
      <c r="I62" s="356">
        <v>1466400</v>
      </c>
      <c r="J62" s="356"/>
      <c r="K62" s="357">
        <f t="shared" si="0"/>
        <v>490767000</v>
      </c>
      <c r="L62" s="356">
        <f t="shared" si="1"/>
        <v>490766594.7314592</v>
      </c>
      <c r="M62" s="356">
        <v>490767000</v>
      </c>
      <c r="N62" s="368">
        <f t="shared" si="2"/>
        <v>0</v>
      </c>
      <c r="O62" s="368">
        <f t="shared" si="3"/>
        <v>490766594.7314592</v>
      </c>
    </row>
    <row r="63" spans="1:15" ht="46.8">
      <c r="A63" s="354"/>
      <c r="B63" s="354">
        <v>59</v>
      </c>
      <c r="C63" s="355" t="s">
        <v>2092</v>
      </c>
      <c r="D63" s="356">
        <v>5776000</v>
      </c>
      <c r="E63" s="356">
        <v>9700403.7813679986</v>
      </c>
      <c r="F63" s="356">
        <v>3733000</v>
      </c>
      <c r="G63" s="356"/>
      <c r="H63" s="356">
        <v>5184000</v>
      </c>
      <c r="I63" s="356">
        <v>1732800</v>
      </c>
      <c r="J63" s="356"/>
      <c r="K63" s="357">
        <f t="shared" si="0"/>
        <v>26126000</v>
      </c>
      <c r="L63" s="356">
        <f t="shared" si="1"/>
        <v>26126203.781367999</v>
      </c>
      <c r="M63" s="356">
        <v>26126000</v>
      </c>
      <c r="N63" s="368">
        <f t="shared" si="2"/>
        <v>0</v>
      </c>
      <c r="O63" s="368">
        <f t="shared" si="3"/>
        <v>26126203.781367999</v>
      </c>
    </row>
    <row r="64" spans="1:15" ht="15.6">
      <c r="A64" s="354"/>
      <c r="B64" s="354">
        <v>60</v>
      </c>
      <c r="C64" s="355" t="s">
        <v>2093</v>
      </c>
      <c r="D64" s="356">
        <v>4512000</v>
      </c>
      <c r="E64" s="356">
        <v>71409.69</v>
      </c>
      <c r="F64" s="356">
        <v>2180000</v>
      </c>
      <c r="G64" s="356"/>
      <c r="H64" s="356">
        <v>2592000</v>
      </c>
      <c r="I64" s="356">
        <v>1353600</v>
      </c>
      <c r="J64" s="356"/>
      <c r="K64" s="357">
        <f t="shared" si="0"/>
        <v>10709000</v>
      </c>
      <c r="L64" s="356">
        <f t="shared" si="1"/>
        <v>10709009.690000001</v>
      </c>
      <c r="M64" s="356">
        <v>10709000</v>
      </c>
      <c r="N64" s="368">
        <f t="shared" si="2"/>
        <v>0</v>
      </c>
      <c r="O64" s="368">
        <f t="shared" si="3"/>
        <v>10709009.690000001</v>
      </c>
    </row>
    <row r="65" spans="1:16" ht="15.6">
      <c r="A65" s="354"/>
      <c r="B65" s="354">
        <v>61</v>
      </c>
      <c r="C65" s="355" t="s">
        <v>2094</v>
      </c>
      <c r="D65" s="356">
        <v>13296000</v>
      </c>
      <c r="E65" s="356">
        <v>7260618.9016000004</v>
      </c>
      <c r="F65" s="356">
        <v>16686000</v>
      </c>
      <c r="G65" s="356"/>
      <c r="H65" s="356">
        <v>3888000</v>
      </c>
      <c r="I65" s="356">
        <v>3988800</v>
      </c>
      <c r="J65" s="356"/>
      <c r="K65" s="357">
        <f t="shared" si="0"/>
        <v>45119000</v>
      </c>
      <c r="L65" s="356">
        <f t="shared" si="1"/>
        <v>45119418.901600003</v>
      </c>
      <c r="M65" s="356">
        <v>45119000</v>
      </c>
      <c r="N65" s="368">
        <f t="shared" si="2"/>
        <v>0</v>
      </c>
      <c r="O65" s="368">
        <f t="shared" si="3"/>
        <v>45119418.901600003</v>
      </c>
    </row>
    <row r="66" spans="1:16" ht="15.6">
      <c r="A66" s="354"/>
      <c r="B66" s="354">
        <v>62</v>
      </c>
      <c r="C66" s="355" t="s">
        <v>2095</v>
      </c>
      <c r="D66" s="356">
        <v>14720000</v>
      </c>
      <c r="E66" s="356">
        <v>1490000.8503</v>
      </c>
      <c r="F66" s="356">
        <v>4197000</v>
      </c>
      <c r="G66" s="356"/>
      <c r="H66" s="356">
        <v>6480000</v>
      </c>
      <c r="I66" s="356">
        <v>4416000</v>
      </c>
      <c r="J66" s="356"/>
      <c r="K66" s="357">
        <f t="shared" si="0"/>
        <v>31303000</v>
      </c>
      <c r="L66" s="356">
        <f t="shared" si="1"/>
        <v>31303000.850299999</v>
      </c>
      <c r="M66" s="356">
        <v>31303000</v>
      </c>
      <c r="N66" s="368">
        <f t="shared" si="2"/>
        <v>0</v>
      </c>
      <c r="O66" s="368">
        <f t="shared" si="3"/>
        <v>31303000.850299999</v>
      </c>
    </row>
    <row r="67" spans="1:16" ht="15.6">
      <c r="A67" s="354"/>
      <c r="B67" s="354">
        <v>63</v>
      </c>
      <c r="C67" s="355" t="s">
        <v>2096</v>
      </c>
      <c r="D67" s="356">
        <v>15056000</v>
      </c>
      <c r="E67" s="356">
        <v>48516968.250333346</v>
      </c>
      <c r="F67" s="356">
        <v>14101300</v>
      </c>
      <c r="G67" s="356">
        <v>50840000</v>
      </c>
      <c r="H67" s="356">
        <v>2592000</v>
      </c>
      <c r="I67" s="356">
        <v>4516800</v>
      </c>
      <c r="J67" s="356"/>
      <c r="K67" s="357">
        <f t="shared" si="0"/>
        <v>135623000</v>
      </c>
      <c r="L67" s="356">
        <f t="shared" si="1"/>
        <v>135623068.25033334</v>
      </c>
      <c r="M67" s="356">
        <v>135623000</v>
      </c>
      <c r="N67" s="368">
        <f t="shared" si="2"/>
        <v>0</v>
      </c>
      <c r="O67" s="368">
        <f t="shared" si="3"/>
        <v>135623068.25033334</v>
      </c>
    </row>
    <row r="68" spans="1:16" ht="15.6">
      <c r="A68" s="354"/>
      <c r="B68" s="354">
        <v>64</v>
      </c>
      <c r="C68" s="355" t="s">
        <v>2097</v>
      </c>
      <c r="D68" s="356">
        <v>2596000.0000000005</v>
      </c>
      <c r="E68" s="356"/>
      <c r="F68" s="356"/>
      <c r="G68" s="356"/>
      <c r="H68" s="356"/>
      <c r="I68" s="356"/>
      <c r="J68" s="356"/>
      <c r="K68" s="357">
        <f t="shared" si="0"/>
        <v>2596000</v>
      </c>
      <c r="L68" s="356">
        <f t="shared" si="1"/>
        <v>2596000.0000000005</v>
      </c>
      <c r="M68" s="356">
        <v>2596000</v>
      </c>
      <c r="N68" s="368">
        <f t="shared" si="2"/>
        <v>0</v>
      </c>
      <c r="O68" s="368">
        <f t="shared" si="3"/>
        <v>2596000.0000000005</v>
      </c>
    </row>
    <row r="69" spans="1:16" ht="15.6">
      <c r="A69" s="354"/>
      <c r="B69" s="354">
        <v>65</v>
      </c>
      <c r="C69" s="355" t="s">
        <v>2098</v>
      </c>
      <c r="D69" s="356">
        <v>4040000</v>
      </c>
      <c r="E69" s="356">
        <v>117960164.83597334</v>
      </c>
      <c r="F69" s="356">
        <v>717250</v>
      </c>
      <c r="G69" s="356"/>
      <c r="H69" s="356"/>
      <c r="I69" s="356"/>
      <c r="J69" s="356"/>
      <c r="K69" s="357">
        <f t="shared" ref="K69:K78" si="5">ROUND(L69,-3)</f>
        <v>122717000</v>
      </c>
      <c r="L69" s="356">
        <f t="shared" si="1"/>
        <v>122717414.83597334</v>
      </c>
      <c r="M69" s="356">
        <v>122717000</v>
      </c>
      <c r="N69" s="368">
        <f t="shared" si="2"/>
        <v>0</v>
      </c>
      <c r="O69" s="368">
        <f t="shared" si="3"/>
        <v>122717414.83597334</v>
      </c>
    </row>
    <row r="70" spans="1:16" ht="15.6">
      <c r="A70" s="354"/>
      <c r="B70" s="354">
        <v>66</v>
      </c>
      <c r="C70" s="355" t="s">
        <v>2099</v>
      </c>
      <c r="D70" s="356">
        <v>4664000</v>
      </c>
      <c r="E70" s="356"/>
      <c r="F70" s="356"/>
      <c r="G70" s="356"/>
      <c r="H70" s="356">
        <v>6480000</v>
      </c>
      <c r="I70" s="356">
        <v>1399200</v>
      </c>
      <c r="J70" s="356"/>
      <c r="K70" s="357">
        <f t="shared" si="5"/>
        <v>12543000</v>
      </c>
      <c r="L70" s="356">
        <f t="shared" ref="L70:L78" si="6">SUM(D70:J70)</f>
        <v>12543200</v>
      </c>
      <c r="M70" s="356">
        <v>12543000</v>
      </c>
      <c r="N70" s="368">
        <f t="shared" ref="N70:N78" si="7">K70-M70</f>
        <v>0</v>
      </c>
      <c r="O70" s="368">
        <f t="shared" ref="O70:O78" si="8">SUM(D70:I70)</f>
        <v>12543200</v>
      </c>
    </row>
    <row r="71" spans="1:16" ht="31.2">
      <c r="A71" s="354"/>
      <c r="B71" s="354">
        <v>67</v>
      </c>
      <c r="C71" s="355" t="s">
        <v>2502</v>
      </c>
      <c r="D71" s="356"/>
      <c r="E71" s="356"/>
      <c r="F71" s="356">
        <v>112000</v>
      </c>
      <c r="G71" s="356"/>
      <c r="H71" s="356"/>
      <c r="I71" s="356"/>
      <c r="J71" s="356"/>
      <c r="K71" s="357">
        <f t="shared" si="5"/>
        <v>112000</v>
      </c>
      <c r="L71" s="356">
        <f t="shared" si="6"/>
        <v>112000</v>
      </c>
      <c r="M71" s="356">
        <v>112000</v>
      </c>
      <c r="N71" s="368">
        <f t="shared" si="7"/>
        <v>0</v>
      </c>
      <c r="O71" s="368">
        <f t="shared" si="8"/>
        <v>112000</v>
      </c>
    </row>
    <row r="72" spans="1:16" ht="15.6">
      <c r="A72" s="354">
        <v>93</v>
      </c>
      <c r="B72" s="354">
        <v>68</v>
      </c>
      <c r="C72" s="355" t="s">
        <v>2089</v>
      </c>
      <c r="D72" s="356">
        <v>10384000.000000002</v>
      </c>
      <c r="E72" s="356">
        <v>2764988.7075999998</v>
      </c>
      <c r="F72" s="356">
        <v>385750</v>
      </c>
      <c r="G72" s="356"/>
      <c r="H72" s="356"/>
      <c r="I72" s="356"/>
      <c r="J72" s="356"/>
      <c r="K72" s="357">
        <f t="shared" si="5"/>
        <v>13535000</v>
      </c>
      <c r="L72" s="356">
        <f t="shared" si="6"/>
        <v>13534738.707600001</v>
      </c>
      <c r="M72" s="356">
        <v>13535000</v>
      </c>
      <c r="N72" s="368">
        <f t="shared" si="7"/>
        <v>0</v>
      </c>
      <c r="O72" s="368">
        <f t="shared" si="8"/>
        <v>13534738.707600001</v>
      </c>
    </row>
    <row r="73" spans="1:16" ht="15.6">
      <c r="A73" s="354">
        <v>54</v>
      </c>
      <c r="B73" s="354">
        <v>69</v>
      </c>
      <c r="C73" s="355" t="s">
        <v>2081</v>
      </c>
      <c r="D73" s="356">
        <v>15340000</v>
      </c>
      <c r="E73" s="356"/>
      <c r="F73" s="356">
        <f>'69. Hải'!G17</f>
        <v>1555000</v>
      </c>
      <c r="G73" s="356"/>
      <c r="H73" s="356"/>
      <c r="I73" s="356"/>
      <c r="J73" s="356"/>
      <c r="K73" s="357">
        <f t="shared" si="5"/>
        <v>16895000</v>
      </c>
      <c r="L73" s="356">
        <f t="shared" si="6"/>
        <v>16895000</v>
      </c>
      <c r="M73" s="356">
        <v>16895000</v>
      </c>
      <c r="N73" s="368">
        <f t="shared" si="7"/>
        <v>0</v>
      </c>
      <c r="O73" s="368">
        <f t="shared" si="8"/>
        <v>16895000</v>
      </c>
    </row>
    <row r="74" spans="1:16" ht="31.2">
      <c r="A74" s="354">
        <v>57</v>
      </c>
      <c r="B74" s="354">
        <v>70</v>
      </c>
      <c r="C74" s="355" t="s">
        <v>2084</v>
      </c>
      <c r="D74" s="356">
        <v>146320000</v>
      </c>
      <c r="E74" s="356">
        <v>19301917.737500001</v>
      </c>
      <c r="F74" s="356">
        <v>2100600</v>
      </c>
      <c r="G74" s="356"/>
      <c r="H74" s="356"/>
      <c r="I74" s="356"/>
      <c r="J74" s="356">
        <f>E74*5%</f>
        <v>965095.88687500008</v>
      </c>
      <c r="K74" s="357">
        <f t="shared" si="5"/>
        <v>168688000</v>
      </c>
      <c r="L74" s="356">
        <f t="shared" si="6"/>
        <v>168687613.62437502</v>
      </c>
      <c r="M74" s="356">
        <v>167723000</v>
      </c>
      <c r="N74" s="368">
        <f t="shared" si="7"/>
        <v>965000</v>
      </c>
      <c r="O74" s="368">
        <f t="shared" si="8"/>
        <v>167722517.73750001</v>
      </c>
    </row>
    <row r="75" spans="1:16" ht="15.6">
      <c r="A75" s="354">
        <v>54</v>
      </c>
      <c r="B75" s="354">
        <v>71</v>
      </c>
      <c r="C75" s="355" t="s">
        <v>2080</v>
      </c>
      <c r="D75" s="356">
        <v>33039999.999999996</v>
      </c>
      <c r="E75" s="356"/>
      <c r="F75" s="356"/>
      <c r="G75" s="356"/>
      <c r="H75" s="356"/>
      <c r="I75" s="356"/>
      <c r="J75" s="356"/>
      <c r="K75" s="357">
        <f t="shared" si="5"/>
        <v>33040000</v>
      </c>
      <c r="L75" s="356">
        <f t="shared" si="6"/>
        <v>33039999.999999996</v>
      </c>
      <c r="M75" s="356">
        <v>33040000</v>
      </c>
      <c r="N75" s="368">
        <f t="shared" si="7"/>
        <v>0</v>
      </c>
      <c r="O75" s="368">
        <f t="shared" si="8"/>
        <v>33039999.999999996</v>
      </c>
    </row>
    <row r="76" spans="1:16" ht="15.6">
      <c r="A76" s="354">
        <v>79</v>
      </c>
      <c r="B76" s="354">
        <v>72</v>
      </c>
      <c r="C76" s="355" t="s">
        <v>2521</v>
      </c>
      <c r="D76" s="356">
        <v>61360000</v>
      </c>
      <c r="E76" s="356"/>
      <c r="F76" s="356"/>
      <c r="G76" s="356"/>
      <c r="H76" s="356"/>
      <c r="I76" s="356"/>
      <c r="J76" s="356"/>
      <c r="K76" s="357">
        <f t="shared" si="5"/>
        <v>61360000</v>
      </c>
      <c r="L76" s="356">
        <f t="shared" si="6"/>
        <v>61360000</v>
      </c>
      <c r="M76" s="356">
        <v>61360000</v>
      </c>
      <c r="N76" s="368">
        <f t="shared" si="7"/>
        <v>0</v>
      </c>
      <c r="O76" s="368">
        <f t="shared" si="8"/>
        <v>61360000</v>
      </c>
    </row>
    <row r="77" spans="1:16" ht="15.6">
      <c r="A77" s="354">
        <v>79</v>
      </c>
      <c r="B77" s="354">
        <v>73</v>
      </c>
      <c r="C77" s="355" t="s">
        <v>2522</v>
      </c>
      <c r="D77" s="356">
        <v>67260000</v>
      </c>
      <c r="E77" s="356">
        <v>24306305.243050002</v>
      </c>
      <c r="F77" s="356">
        <v>3508000</v>
      </c>
      <c r="G77" s="356"/>
      <c r="H77" s="356"/>
      <c r="I77" s="356"/>
      <c r="J77" s="356">
        <f>E77*5%</f>
        <v>1215315.2621525002</v>
      </c>
      <c r="K77" s="357">
        <f t="shared" si="5"/>
        <v>96290000</v>
      </c>
      <c r="L77" s="356">
        <f t="shared" si="6"/>
        <v>96289620.505202502</v>
      </c>
      <c r="M77" s="356">
        <v>95074000</v>
      </c>
      <c r="N77" s="368">
        <f t="shared" si="7"/>
        <v>1216000</v>
      </c>
      <c r="O77" s="368">
        <f t="shared" si="8"/>
        <v>95074305.243050009</v>
      </c>
    </row>
    <row r="78" spans="1:16" s="386" customFormat="1" ht="15.6">
      <c r="A78" s="381"/>
      <c r="B78" s="381">
        <v>74</v>
      </c>
      <c r="C78" s="382" t="s">
        <v>2528</v>
      </c>
      <c r="D78" s="383">
        <f>'74. Dương'!G13</f>
        <v>11210000</v>
      </c>
      <c r="E78" s="383">
        <f>'74. Dương'!G16</f>
        <v>1108235.4400000002</v>
      </c>
      <c r="F78" s="383"/>
      <c r="G78" s="383"/>
      <c r="H78" s="383"/>
      <c r="I78" s="383"/>
      <c r="J78" s="383"/>
      <c r="K78" s="384">
        <f t="shared" si="5"/>
        <v>12318000</v>
      </c>
      <c r="L78" s="383">
        <f t="shared" si="6"/>
        <v>12318235.439999999</v>
      </c>
      <c r="M78" s="383">
        <f>'74. Dương'!G24</f>
        <v>12318000</v>
      </c>
      <c r="N78" s="385">
        <f t="shared" si="7"/>
        <v>0</v>
      </c>
      <c r="O78" s="385">
        <f t="shared" si="8"/>
        <v>12318235.439999999</v>
      </c>
    </row>
    <row r="79" spans="1:16" ht="15.6">
      <c r="B79" s="397" t="s">
        <v>2000</v>
      </c>
      <c r="C79" s="397"/>
      <c r="D79" s="180">
        <f>SUM(D5:D78)</f>
        <v>4385401000</v>
      </c>
      <c r="E79" s="180">
        <f t="shared" ref="E79:M79" si="9">SUM(E5:E78)</f>
        <v>1116979465.5864825</v>
      </c>
      <c r="F79" s="180">
        <f t="shared" si="9"/>
        <v>203974775</v>
      </c>
      <c r="G79" s="180">
        <f t="shared" si="9"/>
        <v>214595000</v>
      </c>
      <c r="H79" s="180">
        <f t="shared" si="9"/>
        <v>44064000</v>
      </c>
      <c r="I79" s="180">
        <f t="shared" si="9"/>
        <v>30364500</v>
      </c>
      <c r="J79" s="180">
        <f t="shared" si="9"/>
        <v>26825427.63927583</v>
      </c>
      <c r="K79" s="180">
        <f t="shared" si="9"/>
        <v>6022204000</v>
      </c>
      <c r="L79" s="180">
        <f t="shared" si="9"/>
        <v>6022204168.2257576</v>
      </c>
      <c r="M79" s="180">
        <f t="shared" si="9"/>
        <v>5995381000</v>
      </c>
      <c r="O79" s="380">
        <f>SUM(O5:O78)</f>
        <v>5995378740.5864811</v>
      </c>
      <c r="P79" s="380"/>
    </row>
    <row r="82" spans="4:11" s="378" customFormat="1" ht="15.6">
      <c r="D82" s="379">
        <f>ROUND(D79,-3)</f>
        <v>4385401000</v>
      </c>
      <c r="E82" s="379">
        <f t="shared" ref="E82:J82" si="10">ROUND(E79,-3)</f>
        <v>1116979000</v>
      </c>
      <c r="F82" s="379">
        <f t="shared" si="10"/>
        <v>203975000</v>
      </c>
      <c r="G82" s="379">
        <f t="shared" si="10"/>
        <v>214595000</v>
      </c>
      <c r="H82" s="379">
        <f t="shared" si="10"/>
        <v>44064000</v>
      </c>
      <c r="I82" s="379">
        <f t="shared" si="10"/>
        <v>30365000</v>
      </c>
      <c r="J82" s="379">
        <f t="shared" si="10"/>
        <v>26825000</v>
      </c>
      <c r="K82" s="379">
        <f>SUM(D82:J82)</f>
        <v>6022204000</v>
      </c>
    </row>
    <row r="84" spans="4:11" ht="15.6">
      <c r="K84" s="378" t="s">
        <v>2533</v>
      </c>
    </row>
    <row r="87" spans="4:11">
      <c r="K87" s="351" t="s">
        <v>2529</v>
      </c>
    </row>
  </sheetData>
  <mergeCells count="11">
    <mergeCell ref="A1:K1"/>
    <mergeCell ref="A2:K2"/>
    <mergeCell ref="A3:A4"/>
    <mergeCell ref="L3:L4"/>
    <mergeCell ref="M3:M4"/>
    <mergeCell ref="B79:C79"/>
    <mergeCell ref="D3:I3"/>
    <mergeCell ref="J3:J4"/>
    <mergeCell ref="B3:B4"/>
    <mergeCell ref="C3:C4"/>
    <mergeCell ref="K3:K4"/>
  </mergeCells>
  <pageMargins left="0.25" right="0.2" top="0.75" bottom="0.75" header="0.3" footer="0.3"/>
  <pageSetup paperSize="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324"/>
  <sheetViews>
    <sheetView topLeftCell="A7"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2246</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2247</v>
      </c>
      <c r="C13" s="425"/>
      <c r="D13" s="425"/>
      <c r="E13" s="425"/>
      <c r="F13" s="425"/>
      <c r="G13" s="73">
        <f>G14</f>
        <v>66079999.999999993</v>
      </c>
      <c r="H13" s="74"/>
    </row>
    <row r="14" spans="1:8" s="131" customFormat="1" ht="40.5" customHeight="1">
      <c r="A14" s="123"/>
      <c r="B14" s="124" t="s">
        <v>1757</v>
      </c>
      <c r="C14" s="125" t="s">
        <v>1753</v>
      </c>
      <c r="D14" s="126">
        <v>5.6</v>
      </c>
      <c r="E14" s="127">
        <v>11800000</v>
      </c>
      <c r="F14" s="128">
        <v>1</v>
      </c>
      <c r="G14" s="129">
        <f>D14*E14*F14</f>
        <v>66079999.999999993</v>
      </c>
      <c r="H14" s="130"/>
    </row>
    <row r="15" spans="1:8" ht="27" customHeight="1">
      <c r="A15" s="75" t="s">
        <v>18</v>
      </c>
      <c r="B15" s="426" t="s">
        <v>1725</v>
      </c>
      <c r="C15" s="426"/>
      <c r="D15" s="426"/>
      <c r="E15" s="426"/>
      <c r="F15" s="426"/>
      <c r="G15" s="76">
        <f>SUM(G16:G17)</f>
        <v>1997991.9270999997</v>
      </c>
      <c r="H15" s="11"/>
    </row>
    <row r="16" spans="1:8" ht="31.2">
      <c r="A16" s="77">
        <v>1</v>
      </c>
      <c r="B16" s="78" t="s">
        <v>2248</v>
      </c>
      <c r="C16" s="14" t="s">
        <v>1754</v>
      </c>
      <c r="D16" s="132">
        <f>0.9*1.3*0.11</f>
        <v>0.12870000000000001</v>
      </c>
      <c r="E16" s="15">
        <v>2126713</v>
      </c>
      <c r="F16" s="14">
        <v>1</v>
      </c>
      <c r="G16" s="79">
        <f t="shared" ref="G16:G17" si="0">D16*E16*F16</f>
        <v>273707.96309999999</v>
      </c>
      <c r="H16" s="15"/>
    </row>
    <row r="17" spans="1:8" ht="15.6">
      <c r="A17" s="77">
        <v>2</v>
      </c>
      <c r="B17" s="78" t="s">
        <v>2249</v>
      </c>
      <c r="C17" s="14" t="s">
        <v>1754</v>
      </c>
      <c r="D17" s="132">
        <f>2.3*4.6*0.1</f>
        <v>1.0579999999999998</v>
      </c>
      <c r="E17" s="15">
        <v>1629758</v>
      </c>
      <c r="F17" s="14">
        <v>1</v>
      </c>
      <c r="G17" s="79">
        <f t="shared" si="0"/>
        <v>1724283.9639999997</v>
      </c>
      <c r="H17" s="15"/>
    </row>
    <row r="18" spans="1:8" ht="24" customHeight="1">
      <c r="A18" s="75" t="s">
        <v>19</v>
      </c>
      <c r="B18" s="426" t="s">
        <v>1727</v>
      </c>
      <c r="C18" s="426"/>
      <c r="D18" s="426"/>
      <c r="E18" s="426"/>
      <c r="F18" s="426"/>
      <c r="G18" s="76">
        <f>SUM(G19:G19)</f>
        <v>0</v>
      </c>
      <c r="H18" s="11"/>
    </row>
    <row r="19" spans="1:8" ht="30.6" customHeight="1">
      <c r="A19" s="77"/>
      <c r="B19" s="78" t="s">
        <v>1728</v>
      </c>
      <c r="C19" s="13"/>
      <c r="D19" s="13"/>
      <c r="E19" s="13"/>
      <c r="F19" s="13"/>
      <c r="G19" s="79"/>
      <c r="H19" s="15"/>
    </row>
    <row r="20" spans="1:8" ht="15.6">
      <c r="A20" s="80"/>
      <c r="B20" s="427" t="s">
        <v>62</v>
      </c>
      <c r="C20" s="428"/>
      <c r="D20" s="428"/>
      <c r="E20" s="428"/>
      <c r="F20" s="429"/>
      <c r="G20" s="81">
        <f>G13+G15+G18</f>
        <v>68077991.927099988</v>
      </c>
      <c r="H20" s="82"/>
    </row>
    <row r="21" spans="1:8" ht="15.6">
      <c r="A21" s="80"/>
      <c r="B21" s="427" t="s">
        <v>1726</v>
      </c>
      <c r="C21" s="428"/>
      <c r="D21" s="428"/>
      <c r="E21" s="428"/>
      <c r="F21" s="429"/>
      <c r="G21" s="81">
        <f>ROUND(G20,-3)</f>
        <v>68078000</v>
      </c>
      <c r="H21" s="82"/>
    </row>
    <row r="22" spans="1:8" ht="15.6">
      <c r="A22" s="430" t="e">
        <f ca="1">[19]!vnd(G21)</f>
        <v>#NAME?</v>
      </c>
      <c r="B22" s="431"/>
      <c r="C22" s="431"/>
      <c r="D22" s="431"/>
      <c r="E22" s="431"/>
      <c r="F22" s="431"/>
      <c r="G22" s="431"/>
      <c r="H22" s="432"/>
    </row>
    <row r="23" spans="1:8">
      <c r="A23" s="17"/>
      <c r="B23" s="17"/>
      <c r="C23" s="97"/>
      <c r="D23" s="20"/>
      <c r="E23" s="19"/>
      <c r="F23" s="97"/>
      <c r="G23" s="19"/>
      <c r="H23" s="17"/>
    </row>
    <row r="24" spans="1:8" s="109" customFormat="1" ht="16.5" customHeight="1">
      <c r="A24" s="108"/>
      <c r="B24" s="108"/>
      <c r="C24" s="424" t="s">
        <v>1742</v>
      </c>
      <c r="D24" s="424"/>
      <c r="E24" s="424"/>
      <c r="F24" s="424"/>
      <c r="G24" s="424"/>
      <c r="H24" s="424"/>
    </row>
    <row r="25" spans="1:8" s="109" customFormat="1" ht="16.5" customHeight="1">
      <c r="A25" s="423" t="s">
        <v>63</v>
      </c>
      <c r="B25" s="423"/>
      <c r="C25" s="424" t="s">
        <v>1743</v>
      </c>
      <c r="D25" s="424"/>
      <c r="E25" s="424"/>
      <c r="F25" s="424" t="s">
        <v>1744</v>
      </c>
      <c r="G25" s="424"/>
      <c r="H25" s="424"/>
    </row>
    <row r="26" spans="1:8" s="109" customFormat="1" ht="15.6">
      <c r="A26" s="108"/>
      <c r="B26" s="108"/>
      <c r="C26" s="108"/>
      <c r="D26" s="110"/>
      <c r="E26" s="111"/>
      <c r="F26" s="112"/>
      <c r="G26" s="111"/>
      <c r="H26" s="113"/>
    </row>
    <row r="27" spans="1:8" s="109" customFormat="1" ht="15.6">
      <c r="A27" s="108"/>
      <c r="B27" s="108"/>
      <c r="C27" s="108"/>
      <c r="D27" s="110"/>
      <c r="E27" s="111"/>
      <c r="F27" s="112"/>
      <c r="G27" s="114"/>
      <c r="H27" s="113"/>
    </row>
    <row r="28" spans="1:8" s="109" customFormat="1" ht="15.6">
      <c r="A28" s="108"/>
      <c r="B28" s="108"/>
      <c r="C28" s="108"/>
      <c r="D28" s="110"/>
      <c r="E28" s="111"/>
      <c r="F28" s="112"/>
      <c r="G28" s="111"/>
      <c r="H28" s="113"/>
    </row>
    <row r="29" spans="1:8" s="109" customFormat="1" ht="15.6">
      <c r="A29" s="108"/>
      <c r="B29" s="108"/>
      <c r="C29" s="108"/>
      <c r="D29" s="110"/>
      <c r="E29" s="111"/>
      <c r="F29" s="112"/>
      <c r="G29" s="111"/>
      <c r="H29" s="113"/>
    </row>
    <row r="30" spans="1:8" s="109" customFormat="1" ht="15.6">
      <c r="A30" s="108"/>
      <c r="B30" s="108"/>
      <c r="C30" s="108"/>
      <c r="D30" s="110"/>
      <c r="E30" s="111"/>
      <c r="F30" s="112"/>
      <c r="G30" s="111"/>
      <c r="H30" s="113"/>
    </row>
    <row r="31" spans="1:8" s="109" customFormat="1" ht="16.5" customHeight="1">
      <c r="A31" s="108"/>
      <c r="B31" s="198" t="s">
        <v>64</v>
      </c>
      <c r="C31" s="424"/>
      <c r="D31" s="424"/>
      <c r="E31" s="424"/>
      <c r="F31" s="424" t="s">
        <v>1745</v>
      </c>
      <c r="G31" s="424"/>
      <c r="H31" s="424"/>
    </row>
    <row r="32" spans="1:8" s="109" customFormat="1" ht="15.6">
      <c r="A32" s="108"/>
      <c r="B32" s="198"/>
      <c r="C32" s="199"/>
      <c r="D32" s="199"/>
      <c r="E32" s="199"/>
      <c r="F32" s="199"/>
      <c r="G32" s="199"/>
      <c r="H32" s="199"/>
    </row>
    <row r="33" spans="1:8" s="109" customFormat="1" ht="15" customHeight="1">
      <c r="A33" s="424" t="s">
        <v>1746</v>
      </c>
      <c r="B33" s="424"/>
      <c r="C33" s="424"/>
      <c r="D33" s="424"/>
      <c r="E33" s="424" t="s">
        <v>1747</v>
      </c>
      <c r="F33" s="424"/>
      <c r="G33" s="424"/>
      <c r="H33" s="424"/>
    </row>
    <row r="34" spans="1:8" s="109" customFormat="1" ht="33.6" customHeight="1">
      <c r="A34" s="424" t="s">
        <v>1748</v>
      </c>
      <c r="B34" s="424"/>
      <c r="C34" s="424"/>
      <c r="D34" s="424"/>
      <c r="E34" s="424" t="s">
        <v>65</v>
      </c>
      <c r="F34" s="424"/>
      <c r="G34" s="424"/>
      <c r="H34" s="424"/>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ustomHeight="1">
      <c r="A40" s="108"/>
      <c r="B40" s="108"/>
      <c r="C40" s="108"/>
      <c r="D40" s="115"/>
      <c r="E40" s="439" t="s">
        <v>1749</v>
      </c>
      <c r="F40" s="439"/>
      <c r="G40" s="439"/>
      <c r="H40" s="439"/>
    </row>
    <row r="41" spans="1:8" s="109" customFormat="1" ht="16.5" customHeight="1">
      <c r="A41" s="424" t="s">
        <v>1751</v>
      </c>
      <c r="B41" s="424"/>
      <c r="C41" s="424"/>
      <c r="D41" s="424"/>
      <c r="E41" s="424" t="s">
        <v>1750</v>
      </c>
      <c r="F41" s="424"/>
      <c r="G41" s="424"/>
      <c r="H41" s="424"/>
    </row>
    <row r="42" spans="1:8" s="118" customFormat="1" ht="16.2" customHeight="1">
      <c r="A42" s="440"/>
      <c r="B42" s="440"/>
      <c r="C42" s="116"/>
      <c r="D42" s="117"/>
      <c r="E42" s="440"/>
      <c r="F42" s="440"/>
      <c r="G42" s="440"/>
      <c r="H42" s="440"/>
    </row>
    <row r="43" spans="1:8" s="118" customFormat="1" ht="15.75" customHeight="1">
      <c r="A43" s="440"/>
      <c r="B43" s="440"/>
      <c r="C43" s="440"/>
      <c r="D43" s="440"/>
      <c r="E43" s="440"/>
      <c r="F43" s="440"/>
      <c r="G43" s="440"/>
      <c r="H43" s="440"/>
    </row>
    <row r="44" spans="1:8" s="98" customFormat="1" ht="16.2" customHeight="1">
      <c r="A44" s="436"/>
      <c r="B44" s="436"/>
      <c r="C44" s="436"/>
      <c r="D44" s="436"/>
      <c r="E44" s="119"/>
      <c r="F44" s="120"/>
      <c r="G44" s="119"/>
      <c r="H44" s="121"/>
    </row>
    <row r="45" spans="1:8" s="98" customFormat="1" ht="16.2" customHeight="1">
      <c r="A45" s="436"/>
      <c r="B45" s="436"/>
      <c r="C45" s="436"/>
      <c r="D45" s="436"/>
      <c r="E45" s="119"/>
      <c r="F45" s="120"/>
      <c r="G45" s="119"/>
      <c r="H45" s="121"/>
    </row>
    <row r="46" spans="1:8" s="98" customFormat="1" ht="16.2" customHeight="1">
      <c r="A46" s="121"/>
      <c r="B46" s="121"/>
      <c r="C46" s="121"/>
      <c r="D46" s="122"/>
      <c r="E46" s="119"/>
      <c r="F46" s="120"/>
      <c r="G46" s="119"/>
      <c r="H46" s="121"/>
    </row>
    <row r="47" spans="1:8" ht="16.2" customHeight="1">
      <c r="A47" s="83"/>
      <c r="B47" s="83"/>
      <c r="C47" s="83"/>
      <c r="D47" s="84"/>
      <c r="E47" s="85"/>
      <c r="F47" s="86"/>
      <c r="G47" s="85"/>
      <c r="H47" s="83"/>
    </row>
    <row r="48" spans="1:8" ht="16.2" customHeight="1">
      <c r="A48" s="83"/>
      <c r="B48" s="83"/>
      <c r="C48" s="83"/>
      <c r="D48" s="84"/>
      <c r="E48" s="85"/>
      <c r="F48" s="86"/>
      <c r="G48" s="85"/>
      <c r="H48" s="83"/>
    </row>
    <row r="49" spans="1:8" ht="16.2" customHeight="1">
      <c r="A49" s="83"/>
      <c r="B49" s="83"/>
      <c r="C49" s="83"/>
      <c r="D49" s="84"/>
      <c r="E49" s="85"/>
      <c r="F49" s="86"/>
      <c r="G49" s="85"/>
      <c r="H49" s="83"/>
    </row>
    <row r="50" spans="1:8" ht="16.2" customHeight="1">
      <c r="A50" s="83"/>
      <c r="B50" s="83"/>
      <c r="C50" s="83"/>
      <c r="D50" s="84"/>
      <c r="E50" s="437"/>
      <c r="F50" s="437"/>
      <c r="G50" s="437"/>
      <c r="H50" s="437"/>
    </row>
    <row r="51" spans="1:8" ht="20.25" customHeight="1">
      <c r="A51" s="438"/>
      <c r="B51" s="438"/>
      <c r="C51" s="438"/>
      <c r="D51" s="438"/>
      <c r="E51" s="438"/>
      <c r="F51" s="438"/>
      <c r="G51" s="438"/>
      <c r="H51" s="438"/>
    </row>
    <row r="52" spans="1:8" s="17" customFormat="1" ht="16.2" customHeight="1">
      <c r="D52" s="18"/>
      <c r="E52" s="19"/>
      <c r="F52" s="97"/>
      <c r="G52" s="19"/>
    </row>
    <row r="53" spans="1:8" s="17" customFormat="1" ht="16.2" customHeight="1">
      <c r="D53" s="18"/>
      <c r="E53" s="19"/>
      <c r="F53" s="97"/>
      <c r="G53" s="19"/>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C68" s="97"/>
      <c r="D68" s="20"/>
      <c r="E68" s="19"/>
      <c r="F68" s="97"/>
      <c r="G68" s="19"/>
    </row>
    <row r="69" spans="3:7" s="17" customFormat="1" ht="16.2" customHeight="1">
      <c r="C69" s="97"/>
      <c r="D69" s="20"/>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ht="16.2" customHeight="1"/>
    <row r="81" ht="16.2" customHeight="1"/>
    <row r="82" ht="16.2" customHeight="1"/>
    <row r="83" ht="16.2" customHeight="1"/>
    <row r="84" ht="16.2" customHeight="1"/>
    <row r="85" ht="16.2" customHeight="1"/>
    <row r="86" ht="16.2" customHeight="1"/>
    <row r="87" ht="16.2" customHeight="1"/>
    <row r="88" ht="16.2" customHeight="1"/>
    <row r="89" ht="16.2" customHeight="1"/>
    <row r="90" ht="16.2" customHeight="1"/>
    <row r="91" ht="16.2" customHeight="1"/>
    <row r="92" ht="16.2" customHeight="1"/>
    <row r="93" ht="16.2" customHeight="1"/>
    <row r="94" ht="16.2" customHeight="1"/>
    <row r="95" ht="16.2" customHeight="1"/>
    <row r="96"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row r="227"/>
    <row r="228"/>
    <row r="229"/>
    <row r="230"/>
    <row r="231"/>
    <row r="232"/>
    <row r="233"/>
    <row r="234"/>
    <row r="235"/>
    <row r="236"/>
    <row r="237"/>
    <row r="238"/>
    <row r="239"/>
    <row r="240"/>
    <row r="24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sheetData>
  <mergeCells count="40">
    <mergeCell ref="A4:B4"/>
    <mergeCell ref="C4:H4"/>
    <mergeCell ref="A1:B1"/>
    <mergeCell ref="C1:H1"/>
    <mergeCell ref="A2:B2"/>
    <mergeCell ref="C2:H2"/>
    <mergeCell ref="A3:B3"/>
    <mergeCell ref="A22:H22"/>
    <mergeCell ref="A6:H6"/>
    <mergeCell ref="A7:H7"/>
    <mergeCell ref="A8:H8"/>
    <mergeCell ref="A9:H9"/>
    <mergeCell ref="A10:H10"/>
    <mergeCell ref="A11:H11"/>
    <mergeCell ref="B13:F13"/>
    <mergeCell ref="B15:F15"/>
    <mergeCell ref="B18:F18"/>
    <mergeCell ref="B20:F20"/>
    <mergeCell ref="B21:F21"/>
    <mergeCell ref="A41:D41"/>
    <mergeCell ref="E41:H41"/>
    <mergeCell ref="C24:H24"/>
    <mergeCell ref="A25:B25"/>
    <mergeCell ref="C25:E25"/>
    <mergeCell ref="F25:H25"/>
    <mergeCell ref="C31:E31"/>
    <mergeCell ref="F31:H31"/>
    <mergeCell ref="A33:D33"/>
    <mergeCell ref="E33:H33"/>
    <mergeCell ref="A34:D34"/>
    <mergeCell ref="E34:H34"/>
    <mergeCell ref="E40:H40"/>
    <mergeCell ref="E50:H50"/>
    <mergeCell ref="A51:H51"/>
    <mergeCell ref="A42:B42"/>
    <mergeCell ref="E42:H42"/>
    <mergeCell ref="A43:D43"/>
    <mergeCell ref="E43:H43"/>
    <mergeCell ref="A44:D44"/>
    <mergeCell ref="A45:D45"/>
  </mergeCells>
  <dataValidations count="1">
    <dataValidation type="list" allowBlank="1" showInputMessage="1" showErrorMessage="1" sqref="WVJ983043:WVJ983060 B983043:B983060 IX983043:IX983060 ST983043:ST983060 ACP983043:ACP983060 AML983043:AML983060 AWH983043:AWH983060 BGD983043:BGD983060 BPZ983043:BPZ983060 BZV983043:BZV983060 CJR983043:CJR983060 CTN983043:CTN983060 DDJ983043:DDJ983060 DNF983043:DNF983060 DXB983043:DXB983060 EGX983043:EGX983060 EQT983043:EQT983060 FAP983043:FAP983060 FKL983043:FKL983060 FUH983043:FUH983060 GED983043:GED983060 GNZ983043:GNZ983060 GXV983043:GXV983060 HHR983043:HHR983060 HRN983043:HRN983060 IBJ983043:IBJ983060 ILF983043:ILF983060 IVB983043:IVB983060 JEX983043:JEX983060 JOT983043:JOT983060 JYP983043:JYP983060 KIL983043:KIL983060 KSH983043:KSH983060 LCD983043:LCD983060 LLZ983043:LLZ983060 LVV983043:LVV983060 MFR983043:MFR983060 MPN983043:MPN983060 MZJ983043:MZJ983060 NJF983043:NJF983060 NTB983043:NTB983060 OCX983043:OCX983060 OMT983043:OMT983060 OWP983043:OWP983060 PGL983043:PGL983060 PQH983043:PQH983060 QAD983043:QAD983060 QJZ983043:QJZ983060 QTV983043:QTV983060 RDR983043:RDR983060 RNN983043:RNN983060 RXJ983043:RXJ983060 SHF983043:SHF983060 SRB983043:SRB983060 TAX983043:TAX983060 TKT983043:TKT983060 TUP983043:TUP983060 UEL983043:UEL983060 UOH983043:UOH983060 UYD983043:UYD983060 VHZ983043:VHZ983060 VRV983043:VRV983060 WBR983043:WBR983060 WLN983043:WLN983060 B65539:B65556 IX65539:IX65556 ST65539:ST65556 ACP65539:ACP65556 AML65539:AML65556 AWH65539:AWH65556 BGD65539:BGD65556 BPZ65539:BPZ65556 BZV65539:BZV65556 CJR65539:CJR65556 CTN65539:CTN65556 DDJ65539:DDJ65556 DNF65539:DNF65556 DXB65539:DXB65556 EGX65539:EGX65556 EQT65539:EQT65556 FAP65539:FAP65556 FKL65539:FKL65556 FUH65539:FUH65556 GED65539:GED65556 GNZ65539:GNZ65556 GXV65539:GXV65556 HHR65539:HHR65556 HRN65539:HRN65556 IBJ65539:IBJ65556 ILF65539:ILF65556 IVB65539:IVB65556 JEX65539:JEX65556 JOT65539:JOT65556 JYP65539:JYP65556 KIL65539:KIL65556 KSH65539:KSH65556 LCD65539:LCD65556 LLZ65539:LLZ65556 LVV65539:LVV65556 MFR65539:MFR65556 MPN65539:MPN65556 MZJ65539:MZJ65556 NJF65539:NJF65556 NTB65539:NTB65556 OCX65539:OCX65556 OMT65539:OMT65556 OWP65539:OWP65556 PGL65539:PGL65556 PQH65539:PQH65556 QAD65539:QAD65556 QJZ65539:QJZ65556 QTV65539:QTV65556 RDR65539:RDR65556 RNN65539:RNN65556 RXJ65539:RXJ65556 SHF65539:SHF65556 SRB65539:SRB65556 TAX65539:TAX65556 TKT65539:TKT65556 TUP65539:TUP65556 UEL65539:UEL65556 UOH65539:UOH65556 UYD65539:UYD65556 VHZ65539:VHZ65556 VRV65539:VRV65556 WBR65539:WBR65556 WLN65539:WLN65556 WVJ65539:WVJ65556 B131075:B131092 IX131075:IX131092 ST131075:ST131092 ACP131075:ACP131092 AML131075:AML131092 AWH131075:AWH131092 BGD131075:BGD131092 BPZ131075:BPZ131092 BZV131075:BZV131092 CJR131075:CJR131092 CTN131075:CTN131092 DDJ131075:DDJ131092 DNF131075:DNF131092 DXB131075:DXB131092 EGX131075:EGX131092 EQT131075:EQT131092 FAP131075:FAP131092 FKL131075:FKL131092 FUH131075:FUH131092 GED131075:GED131092 GNZ131075:GNZ131092 GXV131075:GXV131092 HHR131075:HHR131092 HRN131075:HRN131092 IBJ131075:IBJ131092 ILF131075:ILF131092 IVB131075:IVB131092 JEX131075:JEX131092 JOT131075:JOT131092 JYP131075:JYP131092 KIL131075:KIL131092 KSH131075:KSH131092 LCD131075:LCD131092 LLZ131075:LLZ131092 LVV131075:LVV131092 MFR131075:MFR131092 MPN131075:MPN131092 MZJ131075:MZJ131092 NJF131075:NJF131092 NTB131075:NTB131092 OCX131075:OCX131092 OMT131075:OMT131092 OWP131075:OWP131092 PGL131075:PGL131092 PQH131075:PQH131092 QAD131075:QAD131092 QJZ131075:QJZ131092 QTV131075:QTV131092 RDR131075:RDR131092 RNN131075:RNN131092 RXJ131075:RXJ131092 SHF131075:SHF131092 SRB131075:SRB131092 TAX131075:TAX131092 TKT131075:TKT131092 TUP131075:TUP131092 UEL131075:UEL131092 UOH131075:UOH131092 UYD131075:UYD131092 VHZ131075:VHZ131092 VRV131075:VRV131092 WBR131075:WBR131092 WLN131075:WLN131092 WVJ131075:WVJ131092 B196611:B196628 IX196611:IX196628 ST196611:ST196628 ACP196611:ACP196628 AML196611:AML196628 AWH196611:AWH196628 BGD196611:BGD196628 BPZ196611:BPZ196628 BZV196611:BZV196628 CJR196611:CJR196628 CTN196611:CTN196628 DDJ196611:DDJ196628 DNF196611:DNF196628 DXB196611:DXB196628 EGX196611:EGX196628 EQT196611:EQT196628 FAP196611:FAP196628 FKL196611:FKL196628 FUH196611:FUH196628 GED196611:GED196628 GNZ196611:GNZ196628 GXV196611:GXV196628 HHR196611:HHR196628 HRN196611:HRN196628 IBJ196611:IBJ196628 ILF196611:ILF196628 IVB196611:IVB196628 JEX196611:JEX196628 JOT196611:JOT196628 JYP196611:JYP196628 KIL196611:KIL196628 KSH196611:KSH196628 LCD196611:LCD196628 LLZ196611:LLZ196628 LVV196611:LVV196628 MFR196611:MFR196628 MPN196611:MPN196628 MZJ196611:MZJ196628 NJF196611:NJF196628 NTB196611:NTB196628 OCX196611:OCX196628 OMT196611:OMT196628 OWP196611:OWP196628 PGL196611:PGL196628 PQH196611:PQH196628 QAD196611:QAD196628 QJZ196611:QJZ196628 QTV196611:QTV196628 RDR196611:RDR196628 RNN196611:RNN196628 RXJ196611:RXJ196628 SHF196611:SHF196628 SRB196611:SRB196628 TAX196611:TAX196628 TKT196611:TKT196628 TUP196611:TUP196628 UEL196611:UEL196628 UOH196611:UOH196628 UYD196611:UYD196628 VHZ196611:VHZ196628 VRV196611:VRV196628 WBR196611:WBR196628 WLN196611:WLN196628 WVJ196611:WVJ196628 B262147:B262164 IX262147:IX262164 ST262147:ST262164 ACP262147:ACP262164 AML262147:AML262164 AWH262147:AWH262164 BGD262147:BGD262164 BPZ262147:BPZ262164 BZV262147:BZV262164 CJR262147:CJR262164 CTN262147:CTN262164 DDJ262147:DDJ262164 DNF262147:DNF262164 DXB262147:DXB262164 EGX262147:EGX262164 EQT262147:EQT262164 FAP262147:FAP262164 FKL262147:FKL262164 FUH262147:FUH262164 GED262147:GED262164 GNZ262147:GNZ262164 GXV262147:GXV262164 HHR262147:HHR262164 HRN262147:HRN262164 IBJ262147:IBJ262164 ILF262147:ILF262164 IVB262147:IVB262164 JEX262147:JEX262164 JOT262147:JOT262164 JYP262147:JYP262164 KIL262147:KIL262164 KSH262147:KSH262164 LCD262147:LCD262164 LLZ262147:LLZ262164 LVV262147:LVV262164 MFR262147:MFR262164 MPN262147:MPN262164 MZJ262147:MZJ262164 NJF262147:NJF262164 NTB262147:NTB262164 OCX262147:OCX262164 OMT262147:OMT262164 OWP262147:OWP262164 PGL262147:PGL262164 PQH262147:PQH262164 QAD262147:QAD262164 QJZ262147:QJZ262164 QTV262147:QTV262164 RDR262147:RDR262164 RNN262147:RNN262164 RXJ262147:RXJ262164 SHF262147:SHF262164 SRB262147:SRB262164 TAX262147:TAX262164 TKT262147:TKT262164 TUP262147:TUP262164 UEL262147:UEL262164 UOH262147:UOH262164 UYD262147:UYD262164 VHZ262147:VHZ262164 VRV262147:VRV262164 WBR262147:WBR262164 WLN262147:WLN262164 WVJ262147:WVJ262164 B327683:B327700 IX327683:IX327700 ST327683:ST327700 ACP327683:ACP327700 AML327683:AML327700 AWH327683:AWH327700 BGD327683:BGD327700 BPZ327683:BPZ327700 BZV327683:BZV327700 CJR327683:CJR327700 CTN327683:CTN327700 DDJ327683:DDJ327700 DNF327683:DNF327700 DXB327683:DXB327700 EGX327683:EGX327700 EQT327683:EQT327700 FAP327683:FAP327700 FKL327683:FKL327700 FUH327683:FUH327700 GED327683:GED327700 GNZ327683:GNZ327700 GXV327683:GXV327700 HHR327683:HHR327700 HRN327683:HRN327700 IBJ327683:IBJ327700 ILF327683:ILF327700 IVB327683:IVB327700 JEX327683:JEX327700 JOT327683:JOT327700 JYP327683:JYP327700 KIL327683:KIL327700 KSH327683:KSH327700 LCD327683:LCD327700 LLZ327683:LLZ327700 LVV327683:LVV327700 MFR327683:MFR327700 MPN327683:MPN327700 MZJ327683:MZJ327700 NJF327683:NJF327700 NTB327683:NTB327700 OCX327683:OCX327700 OMT327683:OMT327700 OWP327683:OWP327700 PGL327683:PGL327700 PQH327683:PQH327700 QAD327683:QAD327700 QJZ327683:QJZ327700 QTV327683:QTV327700 RDR327683:RDR327700 RNN327683:RNN327700 RXJ327683:RXJ327700 SHF327683:SHF327700 SRB327683:SRB327700 TAX327683:TAX327700 TKT327683:TKT327700 TUP327683:TUP327700 UEL327683:UEL327700 UOH327683:UOH327700 UYD327683:UYD327700 VHZ327683:VHZ327700 VRV327683:VRV327700 WBR327683:WBR327700 WLN327683:WLN327700 WVJ327683:WVJ327700 B393219:B393236 IX393219:IX393236 ST393219:ST393236 ACP393219:ACP393236 AML393219:AML393236 AWH393219:AWH393236 BGD393219:BGD393236 BPZ393219:BPZ393236 BZV393219:BZV393236 CJR393219:CJR393236 CTN393219:CTN393236 DDJ393219:DDJ393236 DNF393219:DNF393236 DXB393219:DXB393236 EGX393219:EGX393236 EQT393219:EQT393236 FAP393219:FAP393236 FKL393219:FKL393236 FUH393219:FUH393236 GED393219:GED393236 GNZ393219:GNZ393236 GXV393219:GXV393236 HHR393219:HHR393236 HRN393219:HRN393236 IBJ393219:IBJ393236 ILF393219:ILF393236 IVB393219:IVB393236 JEX393219:JEX393236 JOT393219:JOT393236 JYP393219:JYP393236 KIL393219:KIL393236 KSH393219:KSH393236 LCD393219:LCD393236 LLZ393219:LLZ393236 LVV393219:LVV393236 MFR393219:MFR393236 MPN393219:MPN393236 MZJ393219:MZJ393236 NJF393219:NJF393236 NTB393219:NTB393236 OCX393219:OCX393236 OMT393219:OMT393236 OWP393219:OWP393236 PGL393219:PGL393236 PQH393219:PQH393236 QAD393219:QAD393236 QJZ393219:QJZ393236 QTV393219:QTV393236 RDR393219:RDR393236 RNN393219:RNN393236 RXJ393219:RXJ393236 SHF393219:SHF393236 SRB393219:SRB393236 TAX393219:TAX393236 TKT393219:TKT393236 TUP393219:TUP393236 UEL393219:UEL393236 UOH393219:UOH393236 UYD393219:UYD393236 VHZ393219:VHZ393236 VRV393219:VRV393236 WBR393219:WBR393236 WLN393219:WLN393236 WVJ393219:WVJ393236 B458755:B458772 IX458755:IX458772 ST458755:ST458772 ACP458755:ACP458772 AML458755:AML458772 AWH458755:AWH458772 BGD458755:BGD458772 BPZ458755:BPZ458772 BZV458755:BZV458772 CJR458755:CJR458772 CTN458755:CTN458772 DDJ458755:DDJ458772 DNF458755:DNF458772 DXB458755:DXB458772 EGX458755:EGX458772 EQT458755:EQT458772 FAP458755:FAP458772 FKL458755:FKL458772 FUH458755:FUH458772 GED458755:GED458772 GNZ458755:GNZ458772 GXV458755:GXV458772 HHR458755:HHR458772 HRN458755:HRN458772 IBJ458755:IBJ458772 ILF458755:ILF458772 IVB458755:IVB458772 JEX458755:JEX458772 JOT458755:JOT458772 JYP458755:JYP458772 KIL458755:KIL458772 KSH458755:KSH458772 LCD458755:LCD458772 LLZ458755:LLZ458772 LVV458755:LVV458772 MFR458755:MFR458772 MPN458755:MPN458772 MZJ458755:MZJ458772 NJF458755:NJF458772 NTB458755:NTB458772 OCX458755:OCX458772 OMT458755:OMT458772 OWP458755:OWP458772 PGL458755:PGL458772 PQH458755:PQH458772 QAD458755:QAD458772 QJZ458755:QJZ458772 QTV458755:QTV458772 RDR458755:RDR458772 RNN458755:RNN458772 RXJ458755:RXJ458772 SHF458755:SHF458772 SRB458755:SRB458772 TAX458755:TAX458772 TKT458755:TKT458772 TUP458755:TUP458772 UEL458755:UEL458772 UOH458755:UOH458772 UYD458755:UYD458772 VHZ458755:VHZ458772 VRV458755:VRV458772 WBR458755:WBR458772 WLN458755:WLN458772 WVJ458755:WVJ458772 B524291:B524308 IX524291:IX524308 ST524291:ST524308 ACP524291:ACP524308 AML524291:AML524308 AWH524291:AWH524308 BGD524291:BGD524308 BPZ524291:BPZ524308 BZV524291:BZV524308 CJR524291:CJR524308 CTN524291:CTN524308 DDJ524291:DDJ524308 DNF524291:DNF524308 DXB524291:DXB524308 EGX524291:EGX524308 EQT524291:EQT524308 FAP524291:FAP524308 FKL524291:FKL524308 FUH524291:FUH524308 GED524291:GED524308 GNZ524291:GNZ524308 GXV524291:GXV524308 HHR524291:HHR524308 HRN524291:HRN524308 IBJ524291:IBJ524308 ILF524291:ILF524308 IVB524291:IVB524308 JEX524291:JEX524308 JOT524291:JOT524308 JYP524291:JYP524308 KIL524291:KIL524308 KSH524291:KSH524308 LCD524291:LCD524308 LLZ524291:LLZ524308 LVV524291:LVV524308 MFR524291:MFR524308 MPN524291:MPN524308 MZJ524291:MZJ524308 NJF524291:NJF524308 NTB524291:NTB524308 OCX524291:OCX524308 OMT524291:OMT524308 OWP524291:OWP524308 PGL524291:PGL524308 PQH524291:PQH524308 QAD524291:QAD524308 QJZ524291:QJZ524308 QTV524291:QTV524308 RDR524291:RDR524308 RNN524291:RNN524308 RXJ524291:RXJ524308 SHF524291:SHF524308 SRB524291:SRB524308 TAX524291:TAX524308 TKT524291:TKT524308 TUP524291:TUP524308 UEL524291:UEL524308 UOH524291:UOH524308 UYD524291:UYD524308 VHZ524291:VHZ524308 VRV524291:VRV524308 WBR524291:WBR524308 WLN524291:WLN524308 WVJ524291:WVJ524308 B589827:B589844 IX589827:IX589844 ST589827:ST589844 ACP589827:ACP589844 AML589827:AML589844 AWH589827:AWH589844 BGD589827:BGD589844 BPZ589827:BPZ589844 BZV589827:BZV589844 CJR589827:CJR589844 CTN589827:CTN589844 DDJ589827:DDJ589844 DNF589827:DNF589844 DXB589827:DXB589844 EGX589827:EGX589844 EQT589827:EQT589844 FAP589827:FAP589844 FKL589827:FKL589844 FUH589827:FUH589844 GED589827:GED589844 GNZ589827:GNZ589844 GXV589827:GXV589844 HHR589827:HHR589844 HRN589827:HRN589844 IBJ589827:IBJ589844 ILF589827:ILF589844 IVB589827:IVB589844 JEX589827:JEX589844 JOT589827:JOT589844 JYP589827:JYP589844 KIL589827:KIL589844 KSH589827:KSH589844 LCD589827:LCD589844 LLZ589827:LLZ589844 LVV589827:LVV589844 MFR589827:MFR589844 MPN589827:MPN589844 MZJ589827:MZJ589844 NJF589827:NJF589844 NTB589827:NTB589844 OCX589827:OCX589844 OMT589827:OMT589844 OWP589827:OWP589844 PGL589827:PGL589844 PQH589827:PQH589844 QAD589827:QAD589844 QJZ589827:QJZ589844 QTV589827:QTV589844 RDR589827:RDR589844 RNN589827:RNN589844 RXJ589827:RXJ589844 SHF589827:SHF589844 SRB589827:SRB589844 TAX589827:TAX589844 TKT589827:TKT589844 TUP589827:TUP589844 UEL589827:UEL589844 UOH589827:UOH589844 UYD589827:UYD589844 VHZ589827:VHZ589844 VRV589827:VRV589844 WBR589827:WBR589844 WLN589827:WLN589844 WVJ589827:WVJ589844 B655363:B655380 IX655363:IX655380 ST655363:ST655380 ACP655363:ACP655380 AML655363:AML655380 AWH655363:AWH655380 BGD655363:BGD655380 BPZ655363:BPZ655380 BZV655363:BZV655380 CJR655363:CJR655380 CTN655363:CTN655380 DDJ655363:DDJ655380 DNF655363:DNF655380 DXB655363:DXB655380 EGX655363:EGX655380 EQT655363:EQT655380 FAP655363:FAP655380 FKL655363:FKL655380 FUH655363:FUH655380 GED655363:GED655380 GNZ655363:GNZ655380 GXV655363:GXV655380 HHR655363:HHR655380 HRN655363:HRN655380 IBJ655363:IBJ655380 ILF655363:ILF655380 IVB655363:IVB655380 JEX655363:JEX655380 JOT655363:JOT655380 JYP655363:JYP655380 KIL655363:KIL655380 KSH655363:KSH655380 LCD655363:LCD655380 LLZ655363:LLZ655380 LVV655363:LVV655380 MFR655363:MFR655380 MPN655363:MPN655380 MZJ655363:MZJ655380 NJF655363:NJF655380 NTB655363:NTB655380 OCX655363:OCX655380 OMT655363:OMT655380 OWP655363:OWP655380 PGL655363:PGL655380 PQH655363:PQH655380 QAD655363:QAD655380 QJZ655363:QJZ655380 QTV655363:QTV655380 RDR655363:RDR655380 RNN655363:RNN655380 RXJ655363:RXJ655380 SHF655363:SHF655380 SRB655363:SRB655380 TAX655363:TAX655380 TKT655363:TKT655380 TUP655363:TUP655380 UEL655363:UEL655380 UOH655363:UOH655380 UYD655363:UYD655380 VHZ655363:VHZ655380 VRV655363:VRV655380 WBR655363:WBR655380 WLN655363:WLN655380 WVJ655363:WVJ655380 B720899:B720916 IX720899:IX720916 ST720899:ST720916 ACP720899:ACP720916 AML720899:AML720916 AWH720899:AWH720916 BGD720899:BGD720916 BPZ720899:BPZ720916 BZV720899:BZV720916 CJR720899:CJR720916 CTN720899:CTN720916 DDJ720899:DDJ720916 DNF720899:DNF720916 DXB720899:DXB720916 EGX720899:EGX720916 EQT720899:EQT720916 FAP720899:FAP720916 FKL720899:FKL720916 FUH720899:FUH720916 GED720899:GED720916 GNZ720899:GNZ720916 GXV720899:GXV720916 HHR720899:HHR720916 HRN720899:HRN720916 IBJ720899:IBJ720916 ILF720899:ILF720916 IVB720899:IVB720916 JEX720899:JEX720916 JOT720899:JOT720916 JYP720899:JYP720916 KIL720899:KIL720916 KSH720899:KSH720916 LCD720899:LCD720916 LLZ720899:LLZ720916 LVV720899:LVV720916 MFR720899:MFR720916 MPN720899:MPN720916 MZJ720899:MZJ720916 NJF720899:NJF720916 NTB720899:NTB720916 OCX720899:OCX720916 OMT720899:OMT720916 OWP720899:OWP720916 PGL720899:PGL720916 PQH720899:PQH720916 QAD720899:QAD720916 QJZ720899:QJZ720916 QTV720899:QTV720916 RDR720899:RDR720916 RNN720899:RNN720916 RXJ720899:RXJ720916 SHF720899:SHF720916 SRB720899:SRB720916 TAX720899:TAX720916 TKT720899:TKT720916 TUP720899:TUP720916 UEL720899:UEL720916 UOH720899:UOH720916 UYD720899:UYD720916 VHZ720899:VHZ720916 VRV720899:VRV720916 WBR720899:WBR720916 WLN720899:WLN720916 WVJ720899:WVJ720916 B786435:B786452 IX786435:IX786452 ST786435:ST786452 ACP786435:ACP786452 AML786435:AML786452 AWH786435:AWH786452 BGD786435:BGD786452 BPZ786435:BPZ786452 BZV786435:BZV786452 CJR786435:CJR786452 CTN786435:CTN786452 DDJ786435:DDJ786452 DNF786435:DNF786452 DXB786435:DXB786452 EGX786435:EGX786452 EQT786435:EQT786452 FAP786435:FAP786452 FKL786435:FKL786452 FUH786435:FUH786452 GED786435:GED786452 GNZ786435:GNZ786452 GXV786435:GXV786452 HHR786435:HHR786452 HRN786435:HRN786452 IBJ786435:IBJ786452 ILF786435:ILF786452 IVB786435:IVB786452 JEX786435:JEX786452 JOT786435:JOT786452 JYP786435:JYP786452 KIL786435:KIL786452 KSH786435:KSH786452 LCD786435:LCD786452 LLZ786435:LLZ786452 LVV786435:LVV786452 MFR786435:MFR786452 MPN786435:MPN786452 MZJ786435:MZJ786452 NJF786435:NJF786452 NTB786435:NTB786452 OCX786435:OCX786452 OMT786435:OMT786452 OWP786435:OWP786452 PGL786435:PGL786452 PQH786435:PQH786452 QAD786435:QAD786452 QJZ786435:QJZ786452 QTV786435:QTV786452 RDR786435:RDR786452 RNN786435:RNN786452 RXJ786435:RXJ786452 SHF786435:SHF786452 SRB786435:SRB786452 TAX786435:TAX786452 TKT786435:TKT786452 TUP786435:TUP786452 UEL786435:UEL786452 UOH786435:UOH786452 UYD786435:UYD786452 VHZ786435:VHZ786452 VRV786435:VRV786452 WBR786435:WBR786452 WLN786435:WLN786452 WVJ786435:WVJ786452 B851971:B851988 IX851971:IX851988 ST851971:ST851988 ACP851971:ACP851988 AML851971:AML851988 AWH851971:AWH851988 BGD851971:BGD851988 BPZ851971:BPZ851988 BZV851971:BZV851988 CJR851971:CJR851988 CTN851971:CTN851988 DDJ851971:DDJ851988 DNF851971:DNF851988 DXB851971:DXB851988 EGX851971:EGX851988 EQT851971:EQT851988 FAP851971:FAP851988 FKL851971:FKL851988 FUH851971:FUH851988 GED851971:GED851988 GNZ851971:GNZ851988 GXV851971:GXV851988 HHR851971:HHR851988 HRN851971:HRN851988 IBJ851971:IBJ851988 ILF851971:ILF851988 IVB851971:IVB851988 JEX851971:JEX851988 JOT851971:JOT851988 JYP851971:JYP851988 KIL851971:KIL851988 KSH851971:KSH851988 LCD851971:LCD851988 LLZ851971:LLZ851988 LVV851971:LVV851988 MFR851971:MFR851988 MPN851971:MPN851988 MZJ851971:MZJ851988 NJF851971:NJF851988 NTB851971:NTB851988 OCX851971:OCX851988 OMT851971:OMT851988 OWP851971:OWP851988 PGL851971:PGL851988 PQH851971:PQH851988 QAD851971:QAD851988 QJZ851971:QJZ851988 QTV851971:QTV851988 RDR851971:RDR851988 RNN851971:RNN851988 RXJ851971:RXJ851988 SHF851971:SHF851988 SRB851971:SRB851988 TAX851971:TAX851988 TKT851971:TKT851988 TUP851971:TUP851988 UEL851971:UEL851988 UOH851971:UOH851988 UYD851971:UYD851988 VHZ851971:VHZ851988 VRV851971:VRV851988 WBR851971:WBR851988 WLN851971:WLN851988 WVJ851971:WVJ851988 B917507:B917524 IX917507:IX917524 ST917507:ST917524 ACP917507:ACP917524 AML917507:AML917524 AWH917507:AWH917524 BGD917507:BGD917524 BPZ917507:BPZ917524 BZV917507:BZV917524 CJR917507:CJR917524 CTN917507:CTN917524 DDJ917507:DDJ917524 DNF917507:DNF917524 DXB917507:DXB917524 EGX917507:EGX917524 EQT917507:EQT917524 FAP917507:FAP917524 FKL917507:FKL917524 FUH917507:FUH917524 GED917507:GED917524 GNZ917507:GNZ917524 GXV917507:GXV917524 HHR917507:HHR917524 HRN917507:HRN917524 IBJ917507:IBJ917524 ILF917507:ILF917524 IVB917507:IVB917524 JEX917507:JEX917524 JOT917507:JOT917524 JYP917507:JYP917524 KIL917507:KIL917524 KSH917507:KSH917524 LCD917507:LCD917524 LLZ917507:LLZ917524 LVV917507:LVV917524 MFR917507:MFR917524 MPN917507:MPN917524 MZJ917507:MZJ917524 NJF917507:NJF917524 NTB917507:NTB917524 OCX917507:OCX917524 OMT917507:OMT917524 OWP917507:OWP917524 PGL917507:PGL917524 PQH917507:PQH917524 QAD917507:QAD917524 QJZ917507:QJZ917524 QTV917507:QTV917524 RDR917507:RDR917524 RNN917507:RNN917524 RXJ917507:RXJ917524 SHF917507:SHF917524 SRB917507:SRB917524 TAX917507:TAX917524 TKT917507:TKT917524 TUP917507:TUP917524 UEL917507:UEL917524 UOH917507:UOH917524 UYD917507:UYD917524 VHZ917507:VHZ917524 VRV917507:VRV917524 WBR917507:WBR917524 WLN917507:WLN917524 WVJ917507:WVJ917524" xr:uid="{00000000-0002-0000-3100-000000000000}">
      <formula1>trung</formula1>
    </dataValidation>
  </dataValidation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325"/>
  <sheetViews>
    <sheetView topLeftCell="A6"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2250</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2251</v>
      </c>
      <c r="C13" s="425"/>
      <c r="D13" s="425"/>
      <c r="E13" s="425"/>
      <c r="F13" s="425"/>
      <c r="G13" s="73">
        <f>G14</f>
        <v>67260000</v>
      </c>
      <c r="H13" s="74"/>
    </row>
    <row r="14" spans="1:8" s="131" customFormat="1" ht="40.5" customHeight="1">
      <c r="A14" s="123"/>
      <c r="B14" s="124" t="s">
        <v>1757</v>
      </c>
      <c r="C14" s="125" t="s">
        <v>1753</v>
      </c>
      <c r="D14" s="126">
        <v>5.7</v>
      </c>
      <c r="E14" s="127">
        <v>11800000</v>
      </c>
      <c r="F14" s="128">
        <v>1</v>
      </c>
      <c r="G14" s="129">
        <f>D14*E14*F14</f>
        <v>67260000</v>
      </c>
      <c r="H14" s="130"/>
    </row>
    <row r="15" spans="1:8" ht="27" customHeight="1">
      <c r="A15" s="75" t="s">
        <v>18</v>
      </c>
      <c r="B15" s="426" t="s">
        <v>1725</v>
      </c>
      <c r="C15" s="426"/>
      <c r="D15" s="426"/>
      <c r="E15" s="426"/>
      <c r="F15" s="426"/>
      <c r="G15" s="76">
        <f>SUM(G16:G16)</f>
        <v>0</v>
      </c>
      <c r="H15" s="11"/>
    </row>
    <row r="16" spans="1:8" ht="30.6" customHeight="1">
      <c r="A16" s="77"/>
      <c r="B16" s="78" t="s">
        <v>1728</v>
      </c>
      <c r="C16" s="13"/>
      <c r="D16" s="13"/>
      <c r="E16" s="13"/>
      <c r="F16" s="13"/>
      <c r="G16" s="79"/>
      <c r="H16" s="15"/>
    </row>
    <row r="17" spans="1:8" ht="24" customHeight="1">
      <c r="A17" s="75" t="s">
        <v>19</v>
      </c>
      <c r="B17" s="426" t="s">
        <v>1727</v>
      </c>
      <c r="C17" s="426"/>
      <c r="D17" s="426"/>
      <c r="E17" s="426"/>
      <c r="F17" s="426"/>
      <c r="G17" s="76">
        <f>SUM(G18:G18)</f>
        <v>0</v>
      </c>
      <c r="H17" s="11"/>
    </row>
    <row r="18" spans="1:8" ht="30.6" customHeight="1">
      <c r="A18" s="77"/>
      <c r="B18" s="78" t="s">
        <v>1728</v>
      </c>
      <c r="C18" s="13"/>
      <c r="D18" s="13"/>
      <c r="E18" s="13"/>
      <c r="F18" s="13"/>
      <c r="G18" s="79"/>
      <c r="H18" s="15"/>
    </row>
    <row r="19" spans="1:8" ht="15.6">
      <c r="A19" s="80"/>
      <c r="B19" s="427" t="s">
        <v>62</v>
      </c>
      <c r="C19" s="428"/>
      <c r="D19" s="428"/>
      <c r="E19" s="428"/>
      <c r="F19" s="429"/>
      <c r="G19" s="81">
        <f>G13+G15+G17</f>
        <v>67260000</v>
      </c>
      <c r="H19" s="82"/>
    </row>
    <row r="20" spans="1:8" ht="15.6">
      <c r="A20" s="80"/>
      <c r="B20" s="427" t="s">
        <v>1726</v>
      </c>
      <c r="C20" s="428"/>
      <c r="D20" s="428"/>
      <c r="E20" s="428"/>
      <c r="F20" s="429"/>
      <c r="G20" s="81">
        <f>ROUND(G19,-3)</f>
        <v>67260000</v>
      </c>
      <c r="H20" s="82"/>
    </row>
    <row r="21" spans="1:8" ht="15.6">
      <c r="A21" s="430" t="e">
        <f ca="1">[19]!vnd(G20)</f>
        <v>#NAME?</v>
      </c>
      <c r="B21" s="431"/>
      <c r="C21" s="431"/>
      <c r="D21" s="431"/>
      <c r="E21" s="431"/>
      <c r="F21" s="431"/>
      <c r="G21" s="431"/>
      <c r="H21" s="432"/>
    </row>
    <row r="22" spans="1:8">
      <c r="A22" s="17"/>
      <c r="B22" s="17"/>
      <c r="C22" s="97"/>
      <c r="D22" s="20"/>
      <c r="E22" s="19"/>
      <c r="F22" s="97"/>
      <c r="G22" s="19"/>
      <c r="H22" s="17"/>
    </row>
    <row r="23" spans="1:8" s="109" customFormat="1" ht="16.5" customHeight="1">
      <c r="A23" s="108"/>
      <c r="B23" s="108"/>
      <c r="C23" s="424" t="s">
        <v>1742</v>
      </c>
      <c r="D23" s="424"/>
      <c r="E23" s="424"/>
      <c r="F23" s="424"/>
      <c r="G23" s="424"/>
      <c r="H23" s="424"/>
    </row>
    <row r="24" spans="1:8" s="109" customFormat="1" ht="16.5" customHeight="1">
      <c r="A24" s="423" t="s">
        <v>63</v>
      </c>
      <c r="B24" s="423"/>
      <c r="C24" s="424" t="s">
        <v>1743</v>
      </c>
      <c r="D24" s="424"/>
      <c r="E24" s="424"/>
      <c r="F24" s="424" t="s">
        <v>1744</v>
      </c>
      <c r="G24" s="424"/>
      <c r="H24" s="424"/>
    </row>
    <row r="25" spans="1:8" s="109" customFormat="1" ht="15.6">
      <c r="A25" s="108"/>
      <c r="B25" s="108"/>
      <c r="C25" s="108"/>
      <c r="D25" s="110"/>
      <c r="E25" s="111"/>
      <c r="F25" s="112"/>
      <c r="G25" s="111"/>
      <c r="H25" s="113"/>
    </row>
    <row r="26" spans="1:8" s="109" customFormat="1" ht="15.6">
      <c r="A26" s="108"/>
      <c r="B26" s="108"/>
      <c r="C26" s="108"/>
      <c r="D26" s="110"/>
      <c r="E26" s="111"/>
      <c r="F26" s="112"/>
      <c r="G26" s="114"/>
      <c r="H26" s="113"/>
    </row>
    <row r="27" spans="1:8" s="109" customFormat="1" ht="15.6">
      <c r="A27" s="108"/>
      <c r="B27" s="108"/>
      <c r="C27" s="108"/>
      <c r="D27" s="110"/>
      <c r="E27" s="111"/>
      <c r="F27" s="112"/>
      <c r="G27" s="111"/>
      <c r="H27" s="113"/>
    </row>
    <row r="28" spans="1:8" s="109" customFormat="1" ht="15.6">
      <c r="A28" s="108"/>
      <c r="B28" s="108"/>
      <c r="C28" s="108"/>
      <c r="D28" s="110"/>
      <c r="E28" s="111"/>
      <c r="F28" s="112"/>
      <c r="G28" s="111"/>
      <c r="H28" s="113"/>
    </row>
    <row r="29" spans="1:8" s="109" customFormat="1" ht="15.6">
      <c r="A29" s="108"/>
      <c r="B29" s="108"/>
      <c r="C29" s="108"/>
      <c r="D29" s="110"/>
      <c r="E29" s="111"/>
      <c r="F29" s="112"/>
      <c r="G29" s="111"/>
      <c r="H29" s="113"/>
    </row>
    <row r="30" spans="1:8" s="109" customFormat="1" ht="16.5" customHeight="1">
      <c r="A30" s="108"/>
      <c r="B30" s="198" t="s">
        <v>64</v>
      </c>
      <c r="C30" s="424"/>
      <c r="D30" s="424"/>
      <c r="E30" s="424"/>
      <c r="F30" s="424" t="s">
        <v>1745</v>
      </c>
      <c r="G30" s="424"/>
      <c r="H30" s="424"/>
    </row>
    <row r="31" spans="1:8" s="109" customFormat="1" ht="15.6">
      <c r="A31" s="108"/>
      <c r="B31" s="198"/>
      <c r="C31" s="199"/>
      <c r="D31" s="199"/>
      <c r="E31" s="199"/>
      <c r="F31" s="199"/>
      <c r="G31" s="199"/>
      <c r="H31" s="199"/>
    </row>
    <row r="32" spans="1:8" s="109" customFormat="1" ht="15" customHeight="1">
      <c r="A32" s="424" t="s">
        <v>1746</v>
      </c>
      <c r="B32" s="424"/>
      <c r="C32" s="424"/>
      <c r="D32" s="424"/>
      <c r="E32" s="424" t="s">
        <v>1747</v>
      </c>
      <c r="F32" s="424"/>
      <c r="G32" s="424"/>
      <c r="H32" s="424"/>
    </row>
    <row r="33" spans="1:8" s="109" customFormat="1" ht="33.6" customHeight="1">
      <c r="A33" s="424" t="s">
        <v>1748</v>
      </c>
      <c r="B33" s="424"/>
      <c r="C33" s="424"/>
      <c r="D33" s="424"/>
      <c r="E33" s="424" t="s">
        <v>65</v>
      </c>
      <c r="F33" s="424"/>
      <c r="G33" s="424"/>
      <c r="H33" s="424"/>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ustomHeight="1">
      <c r="A39" s="108"/>
      <c r="B39" s="108"/>
      <c r="C39" s="108"/>
      <c r="D39" s="115"/>
      <c r="E39" s="439" t="s">
        <v>1749</v>
      </c>
      <c r="F39" s="439"/>
      <c r="G39" s="439"/>
      <c r="H39" s="439"/>
    </row>
    <row r="40" spans="1:8" s="109" customFormat="1" ht="16.5" customHeight="1">
      <c r="A40" s="424" t="s">
        <v>1751</v>
      </c>
      <c r="B40" s="424"/>
      <c r="C40" s="424"/>
      <c r="D40" s="424"/>
      <c r="E40" s="424" t="s">
        <v>1750</v>
      </c>
      <c r="F40" s="424"/>
      <c r="G40" s="424"/>
      <c r="H40" s="424"/>
    </row>
    <row r="41" spans="1:8" s="118" customFormat="1" ht="16.2" customHeight="1">
      <c r="A41" s="440"/>
      <c r="B41" s="440"/>
      <c r="C41" s="116"/>
      <c r="D41" s="117"/>
      <c r="E41" s="440"/>
      <c r="F41" s="440"/>
      <c r="G41" s="440"/>
      <c r="H41" s="440"/>
    </row>
    <row r="42" spans="1:8" s="118" customFormat="1" ht="15.75" customHeight="1">
      <c r="A42" s="440"/>
      <c r="B42" s="440"/>
      <c r="C42" s="440"/>
      <c r="D42" s="440"/>
      <c r="E42" s="440"/>
      <c r="F42" s="440"/>
      <c r="G42" s="440"/>
      <c r="H42" s="440"/>
    </row>
    <row r="43" spans="1:8" s="98" customFormat="1" ht="16.2" customHeight="1">
      <c r="A43" s="436"/>
      <c r="B43" s="436"/>
      <c r="C43" s="436"/>
      <c r="D43" s="436"/>
      <c r="E43" s="119"/>
      <c r="F43" s="120"/>
      <c r="G43" s="119"/>
      <c r="H43" s="121"/>
    </row>
    <row r="44" spans="1:8" s="98" customFormat="1" ht="16.2" customHeight="1">
      <c r="A44" s="436"/>
      <c r="B44" s="436"/>
      <c r="C44" s="436"/>
      <c r="D44" s="436"/>
      <c r="E44" s="119"/>
      <c r="F44" s="120"/>
      <c r="G44" s="119"/>
      <c r="H44" s="121"/>
    </row>
    <row r="45" spans="1:8" s="98" customFormat="1" ht="16.2" customHeight="1">
      <c r="A45" s="121"/>
      <c r="B45" s="121"/>
      <c r="C45" s="121"/>
      <c r="D45" s="122"/>
      <c r="E45" s="119"/>
      <c r="F45" s="120"/>
      <c r="G45" s="119"/>
      <c r="H45" s="121"/>
    </row>
    <row r="46" spans="1:8" ht="16.2" customHeight="1">
      <c r="A46" s="83"/>
      <c r="B46" s="83"/>
      <c r="C46" s="83"/>
      <c r="D46" s="84"/>
      <c r="E46" s="85"/>
      <c r="F46" s="86"/>
      <c r="G46" s="85"/>
      <c r="H46" s="83"/>
    </row>
    <row r="47" spans="1:8" ht="16.2" customHeight="1">
      <c r="A47" s="83"/>
      <c r="B47" s="83"/>
      <c r="C47" s="83"/>
      <c r="D47" s="84"/>
      <c r="E47" s="85"/>
      <c r="F47" s="86"/>
      <c r="G47" s="85"/>
      <c r="H47" s="83"/>
    </row>
    <row r="48" spans="1:8" ht="16.2" customHeight="1">
      <c r="A48" s="83"/>
      <c r="B48" s="83"/>
      <c r="C48" s="83"/>
      <c r="D48" s="84"/>
      <c r="E48" s="85"/>
      <c r="F48" s="86"/>
      <c r="G48" s="85"/>
      <c r="H48" s="83"/>
    </row>
    <row r="49" spans="1:8" ht="16.2" customHeight="1">
      <c r="A49" s="83"/>
      <c r="B49" s="83"/>
      <c r="C49" s="83"/>
      <c r="D49" s="84"/>
      <c r="E49" s="437"/>
      <c r="F49" s="437"/>
      <c r="G49" s="437"/>
      <c r="H49" s="437"/>
    </row>
    <row r="50" spans="1:8" ht="20.25" customHeight="1">
      <c r="A50" s="438"/>
      <c r="B50" s="438"/>
      <c r="C50" s="438"/>
      <c r="D50" s="438"/>
      <c r="E50" s="438"/>
      <c r="F50" s="438"/>
      <c r="G50" s="438"/>
      <c r="H50" s="438"/>
    </row>
    <row r="51" spans="1:8" s="17" customFormat="1" ht="16.2" customHeight="1">
      <c r="D51" s="18"/>
      <c r="E51" s="19"/>
      <c r="F51" s="97"/>
      <c r="G51" s="19"/>
    </row>
    <row r="52" spans="1:8" s="17" customFormat="1" ht="16.2" customHeight="1">
      <c r="D52" s="18"/>
      <c r="E52" s="19"/>
      <c r="F52" s="97"/>
      <c r="G52" s="19"/>
    </row>
    <row r="53" spans="1:8" s="17" customFormat="1" ht="16.2" customHeight="1">
      <c r="D53" s="18"/>
      <c r="E53" s="19"/>
      <c r="F53" s="97"/>
      <c r="G53" s="19"/>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C67" s="97"/>
      <c r="D67" s="20"/>
      <c r="E67" s="19"/>
      <c r="F67" s="97"/>
      <c r="G67" s="19"/>
    </row>
    <row r="68" spans="3:7" s="17" customFormat="1" ht="16.2" customHeight="1">
      <c r="C68" s="97"/>
      <c r="D68" s="20"/>
      <c r="E68" s="19"/>
      <c r="F68" s="97"/>
      <c r="G68" s="19"/>
    </row>
    <row r="69" spans="3:7" s="17" customFormat="1" ht="16.2" customHeight="1">
      <c r="C69" s="97"/>
      <c r="D69" s="20"/>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ht="16.2" customHeight="1"/>
    <row r="80" spans="3:7" ht="16.2" customHeight="1"/>
    <row r="81" ht="16.2" customHeight="1"/>
    <row r="82" ht="16.2" customHeight="1"/>
    <row r="83" ht="16.2" customHeight="1"/>
    <row r="84" ht="16.2" customHeight="1"/>
    <row r="85" ht="16.2" customHeight="1"/>
    <row r="86" ht="16.2" customHeight="1"/>
    <row r="87" ht="16.2" customHeight="1"/>
    <row r="88" ht="16.2" customHeight="1"/>
    <row r="89" ht="16.2" customHeight="1"/>
    <row r="90" ht="16.2" customHeight="1"/>
    <row r="91" ht="16.2" customHeight="1"/>
    <row r="92" ht="16.2" customHeight="1"/>
    <row r="93" ht="16.2" customHeight="1"/>
    <row r="94" ht="16.2" customHeight="1"/>
    <row r="95" ht="16.2" customHeight="1"/>
    <row r="96"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row r="226"/>
    <row r="227"/>
    <row r="228"/>
    <row r="229"/>
    <row r="230"/>
    <row r="231"/>
    <row r="232"/>
    <row r="233"/>
    <row r="234"/>
    <row r="235"/>
    <row r="236"/>
    <row r="237"/>
    <row r="238"/>
    <row r="239"/>
    <row r="240"/>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sheetData>
  <mergeCells count="40">
    <mergeCell ref="A4:B4"/>
    <mergeCell ref="C4:H4"/>
    <mergeCell ref="A1:B1"/>
    <mergeCell ref="C1:H1"/>
    <mergeCell ref="A2:B2"/>
    <mergeCell ref="C2:H2"/>
    <mergeCell ref="A3:B3"/>
    <mergeCell ref="A21:H21"/>
    <mergeCell ref="A6:H6"/>
    <mergeCell ref="A7:H7"/>
    <mergeCell ref="A8:H8"/>
    <mergeCell ref="A9:H9"/>
    <mergeCell ref="A10:H10"/>
    <mergeCell ref="A11:H11"/>
    <mergeCell ref="B13:F13"/>
    <mergeCell ref="B15:F15"/>
    <mergeCell ref="B17:F17"/>
    <mergeCell ref="B19:F19"/>
    <mergeCell ref="B20:F20"/>
    <mergeCell ref="A40:D40"/>
    <mergeCell ref="E40:H40"/>
    <mergeCell ref="C23:H23"/>
    <mergeCell ref="A24:B24"/>
    <mergeCell ref="C24:E24"/>
    <mergeCell ref="F24:H24"/>
    <mergeCell ref="C30:E30"/>
    <mergeCell ref="F30:H30"/>
    <mergeCell ref="A32:D32"/>
    <mergeCell ref="E32:H32"/>
    <mergeCell ref="A33:D33"/>
    <mergeCell ref="E33:H33"/>
    <mergeCell ref="E39:H39"/>
    <mergeCell ref="E49:H49"/>
    <mergeCell ref="A50:H50"/>
    <mergeCell ref="A41:B41"/>
    <mergeCell ref="E41:H41"/>
    <mergeCell ref="A42:D42"/>
    <mergeCell ref="E42:H42"/>
    <mergeCell ref="A43:D43"/>
    <mergeCell ref="A44:D44"/>
  </mergeCells>
  <dataValidations count="1">
    <dataValidation type="list" allowBlank="1" showInputMessage="1" showErrorMessage="1" sqref="WVJ983042:WVJ983059 B983042:B983059 IX983042:IX983059 ST983042:ST983059 ACP983042:ACP983059 AML983042:AML983059 AWH983042:AWH983059 BGD983042:BGD983059 BPZ983042:BPZ983059 BZV983042:BZV983059 CJR983042:CJR983059 CTN983042:CTN983059 DDJ983042:DDJ983059 DNF983042:DNF983059 DXB983042:DXB983059 EGX983042:EGX983059 EQT983042:EQT983059 FAP983042:FAP983059 FKL983042:FKL983059 FUH983042:FUH983059 GED983042:GED983059 GNZ983042:GNZ983059 GXV983042:GXV983059 HHR983042:HHR983059 HRN983042:HRN983059 IBJ983042:IBJ983059 ILF983042:ILF983059 IVB983042:IVB983059 JEX983042:JEX983059 JOT983042:JOT983059 JYP983042:JYP983059 KIL983042:KIL983059 KSH983042:KSH983059 LCD983042:LCD983059 LLZ983042:LLZ983059 LVV983042:LVV983059 MFR983042:MFR983059 MPN983042:MPN983059 MZJ983042:MZJ983059 NJF983042:NJF983059 NTB983042:NTB983059 OCX983042:OCX983059 OMT983042:OMT983059 OWP983042:OWP983059 PGL983042:PGL983059 PQH983042:PQH983059 QAD983042:QAD983059 QJZ983042:QJZ983059 QTV983042:QTV983059 RDR983042:RDR983059 RNN983042:RNN983059 RXJ983042:RXJ983059 SHF983042:SHF983059 SRB983042:SRB983059 TAX983042:TAX983059 TKT983042:TKT983059 TUP983042:TUP983059 UEL983042:UEL983059 UOH983042:UOH983059 UYD983042:UYD983059 VHZ983042:VHZ983059 VRV983042:VRV983059 WBR983042:WBR983059 WLN983042:WLN983059 B65538:B65555 IX65538:IX65555 ST65538:ST65555 ACP65538:ACP65555 AML65538:AML65555 AWH65538:AWH65555 BGD65538:BGD65555 BPZ65538:BPZ65555 BZV65538:BZV65555 CJR65538:CJR65555 CTN65538:CTN65555 DDJ65538:DDJ65555 DNF65538:DNF65555 DXB65538:DXB65555 EGX65538:EGX65555 EQT65538:EQT65555 FAP65538:FAP65555 FKL65538:FKL65555 FUH65538:FUH65555 GED65538:GED65555 GNZ65538:GNZ65555 GXV65538:GXV65555 HHR65538:HHR65555 HRN65538:HRN65555 IBJ65538:IBJ65555 ILF65538:ILF65555 IVB65538:IVB65555 JEX65538:JEX65555 JOT65538:JOT65555 JYP65538:JYP65555 KIL65538:KIL65555 KSH65538:KSH65555 LCD65538:LCD65555 LLZ65538:LLZ65555 LVV65538:LVV65555 MFR65538:MFR65555 MPN65538:MPN65555 MZJ65538:MZJ65555 NJF65538:NJF65555 NTB65538:NTB65555 OCX65538:OCX65555 OMT65538:OMT65555 OWP65538:OWP65555 PGL65538:PGL65555 PQH65538:PQH65555 QAD65538:QAD65555 QJZ65538:QJZ65555 QTV65538:QTV65555 RDR65538:RDR65555 RNN65538:RNN65555 RXJ65538:RXJ65555 SHF65538:SHF65555 SRB65538:SRB65555 TAX65538:TAX65555 TKT65538:TKT65555 TUP65538:TUP65555 UEL65538:UEL65555 UOH65538:UOH65555 UYD65538:UYD65555 VHZ65538:VHZ65555 VRV65538:VRV65555 WBR65538:WBR65555 WLN65538:WLN65555 WVJ65538:WVJ65555 B131074:B131091 IX131074:IX131091 ST131074:ST131091 ACP131074:ACP131091 AML131074:AML131091 AWH131074:AWH131091 BGD131074:BGD131091 BPZ131074:BPZ131091 BZV131074:BZV131091 CJR131074:CJR131091 CTN131074:CTN131091 DDJ131074:DDJ131091 DNF131074:DNF131091 DXB131074:DXB131091 EGX131074:EGX131091 EQT131074:EQT131091 FAP131074:FAP131091 FKL131074:FKL131091 FUH131074:FUH131091 GED131074:GED131091 GNZ131074:GNZ131091 GXV131074:GXV131091 HHR131074:HHR131091 HRN131074:HRN131091 IBJ131074:IBJ131091 ILF131074:ILF131091 IVB131074:IVB131091 JEX131074:JEX131091 JOT131074:JOT131091 JYP131074:JYP131091 KIL131074:KIL131091 KSH131074:KSH131091 LCD131074:LCD131091 LLZ131074:LLZ131091 LVV131074:LVV131091 MFR131074:MFR131091 MPN131074:MPN131091 MZJ131074:MZJ131091 NJF131074:NJF131091 NTB131074:NTB131091 OCX131074:OCX131091 OMT131074:OMT131091 OWP131074:OWP131091 PGL131074:PGL131091 PQH131074:PQH131091 QAD131074:QAD131091 QJZ131074:QJZ131091 QTV131074:QTV131091 RDR131074:RDR131091 RNN131074:RNN131091 RXJ131074:RXJ131091 SHF131074:SHF131091 SRB131074:SRB131091 TAX131074:TAX131091 TKT131074:TKT131091 TUP131074:TUP131091 UEL131074:UEL131091 UOH131074:UOH131091 UYD131074:UYD131091 VHZ131074:VHZ131091 VRV131074:VRV131091 WBR131074:WBR131091 WLN131074:WLN131091 WVJ131074:WVJ131091 B196610:B196627 IX196610:IX196627 ST196610:ST196627 ACP196610:ACP196627 AML196610:AML196627 AWH196610:AWH196627 BGD196610:BGD196627 BPZ196610:BPZ196627 BZV196610:BZV196627 CJR196610:CJR196627 CTN196610:CTN196627 DDJ196610:DDJ196627 DNF196610:DNF196627 DXB196610:DXB196627 EGX196610:EGX196627 EQT196610:EQT196627 FAP196610:FAP196627 FKL196610:FKL196627 FUH196610:FUH196627 GED196610:GED196627 GNZ196610:GNZ196627 GXV196610:GXV196627 HHR196610:HHR196627 HRN196610:HRN196627 IBJ196610:IBJ196627 ILF196610:ILF196627 IVB196610:IVB196627 JEX196610:JEX196627 JOT196610:JOT196627 JYP196610:JYP196627 KIL196610:KIL196627 KSH196610:KSH196627 LCD196610:LCD196627 LLZ196610:LLZ196627 LVV196610:LVV196627 MFR196610:MFR196627 MPN196610:MPN196627 MZJ196610:MZJ196627 NJF196610:NJF196627 NTB196610:NTB196627 OCX196610:OCX196627 OMT196610:OMT196627 OWP196610:OWP196627 PGL196610:PGL196627 PQH196610:PQH196627 QAD196610:QAD196627 QJZ196610:QJZ196627 QTV196610:QTV196627 RDR196610:RDR196627 RNN196610:RNN196627 RXJ196610:RXJ196627 SHF196610:SHF196627 SRB196610:SRB196627 TAX196610:TAX196627 TKT196610:TKT196627 TUP196610:TUP196627 UEL196610:UEL196627 UOH196610:UOH196627 UYD196610:UYD196627 VHZ196610:VHZ196627 VRV196610:VRV196627 WBR196610:WBR196627 WLN196610:WLN196627 WVJ196610:WVJ196627 B262146:B262163 IX262146:IX262163 ST262146:ST262163 ACP262146:ACP262163 AML262146:AML262163 AWH262146:AWH262163 BGD262146:BGD262163 BPZ262146:BPZ262163 BZV262146:BZV262163 CJR262146:CJR262163 CTN262146:CTN262163 DDJ262146:DDJ262163 DNF262146:DNF262163 DXB262146:DXB262163 EGX262146:EGX262163 EQT262146:EQT262163 FAP262146:FAP262163 FKL262146:FKL262163 FUH262146:FUH262163 GED262146:GED262163 GNZ262146:GNZ262163 GXV262146:GXV262163 HHR262146:HHR262163 HRN262146:HRN262163 IBJ262146:IBJ262163 ILF262146:ILF262163 IVB262146:IVB262163 JEX262146:JEX262163 JOT262146:JOT262163 JYP262146:JYP262163 KIL262146:KIL262163 KSH262146:KSH262163 LCD262146:LCD262163 LLZ262146:LLZ262163 LVV262146:LVV262163 MFR262146:MFR262163 MPN262146:MPN262163 MZJ262146:MZJ262163 NJF262146:NJF262163 NTB262146:NTB262163 OCX262146:OCX262163 OMT262146:OMT262163 OWP262146:OWP262163 PGL262146:PGL262163 PQH262146:PQH262163 QAD262146:QAD262163 QJZ262146:QJZ262163 QTV262146:QTV262163 RDR262146:RDR262163 RNN262146:RNN262163 RXJ262146:RXJ262163 SHF262146:SHF262163 SRB262146:SRB262163 TAX262146:TAX262163 TKT262146:TKT262163 TUP262146:TUP262163 UEL262146:UEL262163 UOH262146:UOH262163 UYD262146:UYD262163 VHZ262146:VHZ262163 VRV262146:VRV262163 WBR262146:WBR262163 WLN262146:WLN262163 WVJ262146:WVJ262163 B327682:B327699 IX327682:IX327699 ST327682:ST327699 ACP327682:ACP327699 AML327682:AML327699 AWH327682:AWH327699 BGD327682:BGD327699 BPZ327682:BPZ327699 BZV327682:BZV327699 CJR327682:CJR327699 CTN327682:CTN327699 DDJ327682:DDJ327699 DNF327682:DNF327699 DXB327682:DXB327699 EGX327682:EGX327699 EQT327682:EQT327699 FAP327682:FAP327699 FKL327682:FKL327699 FUH327682:FUH327699 GED327682:GED327699 GNZ327682:GNZ327699 GXV327682:GXV327699 HHR327682:HHR327699 HRN327682:HRN327699 IBJ327682:IBJ327699 ILF327682:ILF327699 IVB327682:IVB327699 JEX327682:JEX327699 JOT327682:JOT327699 JYP327682:JYP327699 KIL327682:KIL327699 KSH327682:KSH327699 LCD327682:LCD327699 LLZ327682:LLZ327699 LVV327682:LVV327699 MFR327682:MFR327699 MPN327682:MPN327699 MZJ327682:MZJ327699 NJF327682:NJF327699 NTB327682:NTB327699 OCX327682:OCX327699 OMT327682:OMT327699 OWP327682:OWP327699 PGL327682:PGL327699 PQH327682:PQH327699 QAD327682:QAD327699 QJZ327682:QJZ327699 QTV327682:QTV327699 RDR327682:RDR327699 RNN327682:RNN327699 RXJ327682:RXJ327699 SHF327682:SHF327699 SRB327682:SRB327699 TAX327682:TAX327699 TKT327682:TKT327699 TUP327682:TUP327699 UEL327682:UEL327699 UOH327682:UOH327699 UYD327682:UYD327699 VHZ327682:VHZ327699 VRV327682:VRV327699 WBR327682:WBR327699 WLN327682:WLN327699 WVJ327682:WVJ327699 B393218:B393235 IX393218:IX393235 ST393218:ST393235 ACP393218:ACP393235 AML393218:AML393235 AWH393218:AWH393235 BGD393218:BGD393235 BPZ393218:BPZ393235 BZV393218:BZV393235 CJR393218:CJR393235 CTN393218:CTN393235 DDJ393218:DDJ393235 DNF393218:DNF393235 DXB393218:DXB393235 EGX393218:EGX393235 EQT393218:EQT393235 FAP393218:FAP393235 FKL393218:FKL393235 FUH393218:FUH393235 GED393218:GED393235 GNZ393218:GNZ393235 GXV393218:GXV393235 HHR393218:HHR393235 HRN393218:HRN393235 IBJ393218:IBJ393235 ILF393218:ILF393235 IVB393218:IVB393235 JEX393218:JEX393235 JOT393218:JOT393235 JYP393218:JYP393235 KIL393218:KIL393235 KSH393218:KSH393235 LCD393218:LCD393235 LLZ393218:LLZ393235 LVV393218:LVV393235 MFR393218:MFR393235 MPN393218:MPN393235 MZJ393218:MZJ393235 NJF393218:NJF393235 NTB393218:NTB393235 OCX393218:OCX393235 OMT393218:OMT393235 OWP393218:OWP393235 PGL393218:PGL393235 PQH393218:PQH393235 QAD393218:QAD393235 QJZ393218:QJZ393235 QTV393218:QTV393235 RDR393218:RDR393235 RNN393218:RNN393235 RXJ393218:RXJ393235 SHF393218:SHF393235 SRB393218:SRB393235 TAX393218:TAX393235 TKT393218:TKT393235 TUP393218:TUP393235 UEL393218:UEL393235 UOH393218:UOH393235 UYD393218:UYD393235 VHZ393218:VHZ393235 VRV393218:VRV393235 WBR393218:WBR393235 WLN393218:WLN393235 WVJ393218:WVJ393235 B458754:B458771 IX458754:IX458771 ST458754:ST458771 ACP458754:ACP458771 AML458754:AML458771 AWH458754:AWH458771 BGD458754:BGD458771 BPZ458754:BPZ458771 BZV458754:BZV458771 CJR458754:CJR458771 CTN458754:CTN458771 DDJ458754:DDJ458771 DNF458754:DNF458771 DXB458754:DXB458771 EGX458754:EGX458771 EQT458754:EQT458771 FAP458754:FAP458771 FKL458754:FKL458771 FUH458754:FUH458771 GED458754:GED458771 GNZ458754:GNZ458771 GXV458754:GXV458771 HHR458754:HHR458771 HRN458754:HRN458771 IBJ458754:IBJ458771 ILF458754:ILF458771 IVB458754:IVB458771 JEX458754:JEX458771 JOT458754:JOT458771 JYP458754:JYP458771 KIL458754:KIL458771 KSH458754:KSH458771 LCD458754:LCD458771 LLZ458754:LLZ458771 LVV458754:LVV458771 MFR458754:MFR458771 MPN458754:MPN458771 MZJ458754:MZJ458771 NJF458754:NJF458771 NTB458754:NTB458771 OCX458754:OCX458771 OMT458754:OMT458771 OWP458754:OWP458771 PGL458754:PGL458771 PQH458754:PQH458771 QAD458754:QAD458771 QJZ458754:QJZ458771 QTV458754:QTV458771 RDR458754:RDR458771 RNN458754:RNN458771 RXJ458754:RXJ458771 SHF458754:SHF458771 SRB458754:SRB458771 TAX458754:TAX458771 TKT458754:TKT458771 TUP458754:TUP458771 UEL458754:UEL458771 UOH458754:UOH458771 UYD458754:UYD458771 VHZ458754:VHZ458771 VRV458754:VRV458771 WBR458754:WBR458771 WLN458754:WLN458771 WVJ458754:WVJ458771 B524290:B524307 IX524290:IX524307 ST524290:ST524307 ACP524290:ACP524307 AML524290:AML524307 AWH524290:AWH524307 BGD524290:BGD524307 BPZ524290:BPZ524307 BZV524290:BZV524307 CJR524290:CJR524307 CTN524290:CTN524307 DDJ524290:DDJ524307 DNF524290:DNF524307 DXB524290:DXB524307 EGX524290:EGX524307 EQT524290:EQT524307 FAP524290:FAP524307 FKL524290:FKL524307 FUH524290:FUH524307 GED524290:GED524307 GNZ524290:GNZ524307 GXV524290:GXV524307 HHR524290:HHR524307 HRN524290:HRN524307 IBJ524290:IBJ524307 ILF524290:ILF524307 IVB524290:IVB524307 JEX524290:JEX524307 JOT524290:JOT524307 JYP524290:JYP524307 KIL524290:KIL524307 KSH524290:KSH524307 LCD524290:LCD524307 LLZ524290:LLZ524307 LVV524290:LVV524307 MFR524290:MFR524307 MPN524290:MPN524307 MZJ524290:MZJ524307 NJF524290:NJF524307 NTB524290:NTB524307 OCX524290:OCX524307 OMT524290:OMT524307 OWP524290:OWP524307 PGL524290:PGL524307 PQH524290:PQH524307 QAD524290:QAD524307 QJZ524290:QJZ524307 QTV524290:QTV524307 RDR524290:RDR524307 RNN524290:RNN524307 RXJ524290:RXJ524307 SHF524290:SHF524307 SRB524290:SRB524307 TAX524290:TAX524307 TKT524290:TKT524307 TUP524290:TUP524307 UEL524290:UEL524307 UOH524290:UOH524307 UYD524290:UYD524307 VHZ524290:VHZ524307 VRV524290:VRV524307 WBR524290:WBR524307 WLN524290:WLN524307 WVJ524290:WVJ524307 B589826:B589843 IX589826:IX589843 ST589826:ST589843 ACP589826:ACP589843 AML589826:AML589843 AWH589826:AWH589843 BGD589826:BGD589843 BPZ589826:BPZ589843 BZV589826:BZV589843 CJR589826:CJR589843 CTN589826:CTN589843 DDJ589826:DDJ589843 DNF589826:DNF589843 DXB589826:DXB589843 EGX589826:EGX589843 EQT589826:EQT589843 FAP589826:FAP589843 FKL589826:FKL589843 FUH589826:FUH589843 GED589826:GED589843 GNZ589826:GNZ589843 GXV589826:GXV589843 HHR589826:HHR589843 HRN589826:HRN589843 IBJ589826:IBJ589843 ILF589826:ILF589843 IVB589826:IVB589843 JEX589826:JEX589843 JOT589826:JOT589843 JYP589826:JYP589843 KIL589826:KIL589843 KSH589826:KSH589843 LCD589826:LCD589843 LLZ589826:LLZ589843 LVV589826:LVV589843 MFR589826:MFR589843 MPN589826:MPN589843 MZJ589826:MZJ589843 NJF589826:NJF589843 NTB589826:NTB589843 OCX589826:OCX589843 OMT589826:OMT589843 OWP589826:OWP589843 PGL589826:PGL589843 PQH589826:PQH589843 QAD589826:QAD589843 QJZ589826:QJZ589843 QTV589826:QTV589843 RDR589826:RDR589843 RNN589826:RNN589843 RXJ589826:RXJ589843 SHF589826:SHF589843 SRB589826:SRB589843 TAX589826:TAX589843 TKT589826:TKT589843 TUP589826:TUP589843 UEL589826:UEL589843 UOH589826:UOH589843 UYD589826:UYD589843 VHZ589826:VHZ589843 VRV589826:VRV589843 WBR589826:WBR589843 WLN589826:WLN589843 WVJ589826:WVJ589843 B655362:B655379 IX655362:IX655379 ST655362:ST655379 ACP655362:ACP655379 AML655362:AML655379 AWH655362:AWH655379 BGD655362:BGD655379 BPZ655362:BPZ655379 BZV655362:BZV655379 CJR655362:CJR655379 CTN655362:CTN655379 DDJ655362:DDJ655379 DNF655362:DNF655379 DXB655362:DXB655379 EGX655362:EGX655379 EQT655362:EQT655379 FAP655362:FAP655379 FKL655362:FKL655379 FUH655362:FUH655379 GED655362:GED655379 GNZ655362:GNZ655379 GXV655362:GXV655379 HHR655362:HHR655379 HRN655362:HRN655379 IBJ655362:IBJ655379 ILF655362:ILF655379 IVB655362:IVB655379 JEX655362:JEX655379 JOT655362:JOT655379 JYP655362:JYP655379 KIL655362:KIL655379 KSH655362:KSH655379 LCD655362:LCD655379 LLZ655362:LLZ655379 LVV655362:LVV655379 MFR655362:MFR655379 MPN655362:MPN655379 MZJ655362:MZJ655379 NJF655362:NJF655379 NTB655362:NTB655379 OCX655362:OCX655379 OMT655362:OMT655379 OWP655362:OWP655379 PGL655362:PGL655379 PQH655362:PQH655379 QAD655362:QAD655379 QJZ655362:QJZ655379 QTV655362:QTV655379 RDR655362:RDR655379 RNN655362:RNN655379 RXJ655362:RXJ655379 SHF655362:SHF655379 SRB655362:SRB655379 TAX655362:TAX655379 TKT655362:TKT655379 TUP655362:TUP655379 UEL655362:UEL655379 UOH655362:UOH655379 UYD655362:UYD655379 VHZ655362:VHZ655379 VRV655362:VRV655379 WBR655362:WBR655379 WLN655362:WLN655379 WVJ655362:WVJ655379 B720898:B720915 IX720898:IX720915 ST720898:ST720915 ACP720898:ACP720915 AML720898:AML720915 AWH720898:AWH720915 BGD720898:BGD720915 BPZ720898:BPZ720915 BZV720898:BZV720915 CJR720898:CJR720915 CTN720898:CTN720915 DDJ720898:DDJ720915 DNF720898:DNF720915 DXB720898:DXB720915 EGX720898:EGX720915 EQT720898:EQT720915 FAP720898:FAP720915 FKL720898:FKL720915 FUH720898:FUH720915 GED720898:GED720915 GNZ720898:GNZ720915 GXV720898:GXV720915 HHR720898:HHR720915 HRN720898:HRN720915 IBJ720898:IBJ720915 ILF720898:ILF720915 IVB720898:IVB720915 JEX720898:JEX720915 JOT720898:JOT720915 JYP720898:JYP720915 KIL720898:KIL720915 KSH720898:KSH720915 LCD720898:LCD720915 LLZ720898:LLZ720915 LVV720898:LVV720915 MFR720898:MFR720915 MPN720898:MPN720915 MZJ720898:MZJ720915 NJF720898:NJF720915 NTB720898:NTB720915 OCX720898:OCX720915 OMT720898:OMT720915 OWP720898:OWP720915 PGL720898:PGL720915 PQH720898:PQH720915 QAD720898:QAD720915 QJZ720898:QJZ720915 QTV720898:QTV720915 RDR720898:RDR720915 RNN720898:RNN720915 RXJ720898:RXJ720915 SHF720898:SHF720915 SRB720898:SRB720915 TAX720898:TAX720915 TKT720898:TKT720915 TUP720898:TUP720915 UEL720898:UEL720915 UOH720898:UOH720915 UYD720898:UYD720915 VHZ720898:VHZ720915 VRV720898:VRV720915 WBR720898:WBR720915 WLN720898:WLN720915 WVJ720898:WVJ720915 B786434:B786451 IX786434:IX786451 ST786434:ST786451 ACP786434:ACP786451 AML786434:AML786451 AWH786434:AWH786451 BGD786434:BGD786451 BPZ786434:BPZ786451 BZV786434:BZV786451 CJR786434:CJR786451 CTN786434:CTN786451 DDJ786434:DDJ786451 DNF786434:DNF786451 DXB786434:DXB786451 EGX786434:EGX786451 EQT786434:EQT786451 FAP786434:FAP786451 FKL786434:FKL786451 FUH786434:FUH786451 GED786434:GED786451 GNZ786434:GNZ786451 GXV786434:GXV786451 HHR786434:HHR786451 HRN786434:HRN786451 IBJ786434:IBJ786451 ILF786434:ILF786451 IVB786434:IVB786451 JEX786434:JEX786451 JOT786434:JOT786451 JYP786434:JYP786451 KIL786434:KIL786451 KSH786434:KSH786451 LCD786434:LCD786451 LLZ786434:LLZ786451 LVV786434:LVV786451 MFR786434:MFR786451 MPN786434:MPN786451 MZJ786434:MZJ786451 NJF786434:NJF786451 NTB786434:NTB786451 OCX786434:OCX786451 OMT786434:OMT786451 OWP786434:OWP786451 PGL786434:PGL786451 PQH786434:PQH786451 QAD786434:QAD786451 QJZ786434:QJZ786451 QTV786434:QTV786451 RDR786434:RDR786451 RNN786434:RNN786451 RXJ786434:RXJ786451 SHF786434:SHF786451 SRB786434:SRB786451 TAX786434:TAX786451 TKT786434:TKT786451 TUP786434:TUP786451 UEL786434:UEL786451 UOH786434:UOH786451 UYD786434:UYD786451 VHZ786434:VHZ786451 VRV786434:VRV786451 WBR786434:WBR786451 WLN786434:WLN786451 WVJ786434:WVJ786451 B851970:B851987 IX851970:IX851987 ST851970:ST851987 ACP851970:ACP851987 AML851970:AML851987 AWH851970:AWH851987 BGD851970:BGD851987 BPZ851970:BPZ851987 BZV851970:BZV851987 CJR851970:CJR851987 CTN851970:CTN851987 DDJ851970:DDJ851987 DNF851970:DNF851987 DXB851970:DXB851987 EGX851970:EGX851987 EQT851970:EQT851987 FAP851970:FAP851987 FKL851970:FKL851987 FUH851970:FUH851987 GED851970:GED851987 GNZ851970:GNZ851987 GXV851970:GXV851987 HHR851970:HHR851987 HRN851970:HRN851987 IBJ851970:IBJ851987 ILF851970:ILF851987 IVB851970:IVB851987 JEX851970:JEX851987 JOT851970:JOT851987 JYP851970:JYP851987 KIL851970:KIL851987 KSH851970:KSH851987 LCD851970:LCD851987 LLZ851970:LLZ851987 LVV851970:LVV851987 MFR851970:MFR851987 MPN851970:MPN851987 MZJ851970:MZJ851987 NJF851970:NJF851987 NTB851970:NTB851987 OCX851970:OCX851987 OMT851970:OMT851987 OWP851970:OWP851987 PGL851970:PGL851987 PQH851970:PQH851987 QAD851970:QAD851987 QJZ851970:QJZ851987 QTV851970:QTV851987 RDR851970:RDR851987 RNN851970:RNN851987 RXJ851970:RXJ851987 SHF851970:SHF851987 SRB851970:SRB851987 TAX851970:TAX851987 TKT851970:TKT851987 TUP851970:TUP851987 UEL851970:UEL851987 UOH851970:UOH851987 UYD851970:UYD851987 VHZ851970:VHZ851987 VRV851970:VRV851987 WBR851970:WBR851987 WLN851970:WLN851987 WVJ851970:WVJ851987 B917506:B917523 IX917506:IX917523 ST917506:ST917523 ACP917506:ACP917523 AML917506:AML917523 AWH917506:AWH917523 BGD917506:BGD917523 BPZ917506:BPZ917523 BZV917506:BZV917523 CJR917506:CJR917523 CTN917506:CTN917523 DDJ917506:DDJ917523 DNF917506:DNF917523 DXB917506:DXB917523 EGX917506:EGX917523 EQT917506:EQT917523 FAP917506:FAP917523 FKL917506:FKL917523 FUH917506:FUH917523 GED917506:GED917523 GNZ917506:GNZ917523 GXV917506:GXV917523 HHR917506:HHR917523 HRN917506:HRN917523 IBJ917506:IBJ917523 ILF917506:ILF917523 IVB917506:IVB917523 JEX917506:JEX917523 JOT917506:JOT917523 JYP917506:JYP917523 KIL917506:KIL917523 KSH917506:KSH917523 LCD917506:LCD917523 LLZ917506:LLZ917523 LVV917506:LVV917523 MFR917506:MFR917523 MPN917506:MPN917523 MZJ917506:MZJ917523 NJF917506:NJF917523 NTB917506:NTB917523 OCX917506:OCX917523 OMT917506:OMT917523 OWP917506:OWP917523 PGL917506:PGL917523 PQH917506:PQH917523 QAD917506:QAD917523 QJZ917506:QJZ917523 QTV917506:QTV917523 RDR917506:RDR917523 RNN917506:RNN917523 RXJ917506:RXJ917523 SHF917506:SHF917523 SRB917506:SRB917523 TAX917506:TAX917523 TKT917506:TKT917523 TUP917506:TUP917523 UEL917506:UEL917523 UOH917506:UOH917523 UYD917506:UYD917523 VHZ917506:VHZ917523 VRV917506:VRV917523 WBR917506:WBR917523 WLN917506:WLN917523 WVJ917506:WVJ917523" xr:uid="{00000000-0002-0000-3200-000000000000}">
      <formula1>trung</formula1>
    </dataValidation>
  </dataValidation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H325"/>
  <sheetViews>
    <sheetView topLeftCell="A11"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2252</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2253</v>
      </c>
      <c r="C13" s="425"/>
      <c r="D13" s="425"/>
      <c r="E13" s="425"/>
      <c r="F13" s="425"/>
      <c r="G13" s="73">
        <f>G14</f>
        <v>54279999.999999993</v>
      </c>
      <c r="H13" s="74"/>
    </row>
    <row r="14" spans="1:8" s="131" customFormat="1" ht="40.5" customHeight="1">
      <c r="A14" s="123"/>
      <c r="B14" s="124" t="s">
        <v>1757</v>
      </c>
      <c r="C14" s="125" t="s">
        <v>1753</v>
      </c>
      <c r="D14" s="126">
        <v>4.5999999999999996</v>
      </c>
      <c r="E14" s="127">
        <v>11800000</v>
      </c>
      <c r="F14" s="128">
        <v>1</v>
      </c>
      <c r="G14" s="129">
        <f>D14*E14*F14</f>
        <v>54279999.999999993</v>
      </c>
      <c r="H14" s="130"/>
    </row>
    <row r="15" spans="1:8" ht="27" customHeight="1">
      <c r="A15" s="75" t="s">
        <v>18</v>
      </c>
      <c r="B15" s="426" t="s">
        <v>1725</v>
      </c>
      <c r="C15" s="426"/>
      <c r="D15" s="426"/>
      <c r="E15" s="426"/>
      <c r="F15" s="426"/>
      <c r="G15" s="76">
        <f>SUM(G16:G16)</f>
        <v>0</v>
      </c>
      <c r="H15" s="11"/>
    </row>
    <row r="16" spans="1:8" ht="30.6" customHeight="1">
      <c r="A16" s="77"/>
      <c r="B16" s="78" t="s">
        <v>1728</v>
      </c>
      <c r="C16" s="13"/>
      <c r="D16" s="13"/>
      <c r="E16" s="13"/>
      <c r="F16" s="13"/>
      <c r="G16" s="79"/>
      <c r="H16" s="15"/>
    </row>
    <row r="17" spans="1:8" ht="24" customHeight="1">
      <c r="A17" s="75" t="s">
        <v>19</v>
      </c>
      <c r="B17" s="426" t="s">
        <v>1727</v>
      </c>
      <c r="C17" s="426"/>
      <c r="D17" s="426"/>
      <c r="E17" s="426"/>
      <c r="F17" s="426"/>
      <c r="G17" s="76">
        <f>SUM(G18:G18)</f>
        <v>0</v>
      </c>
      <c r="H17" s="11"/>
    </row>
    <row r="18" spans="1:8" ht="30.6" customHeight="1">
      <c r="A18" s="77"/>
      <c r="B18" s="78" t="s">
        <v>1728</v>
      </c>
      <c r="C18" s="13"/>
      <c r="D18" s="13"/>
      <c r="E18" s="13"/>
      <c r="F18" s="13"/>
      <c r="G18" s="79"/>
      <c r="H18" s="15"/>
    </row>
    <row r="19" spans="1:8" ht="15.6">
      <c r="A19" s="80"/>
      <c r="B19" s="427" t="s">
        <v>62</v>
      </c>
      <c r="C19" s="428"/>
      <c r="D19" s="428"/>
      <c r="E19" s="428"/>
      <c r="F19" s="429"/>
      <c r="G19" s="81">
        <f>G13+G15+G17</f>
        <v>54279999.999999993</v>
      </c>
      <c r="H19" s="82"/>
    </row>
    <row r="20" spans="1:8" ht="15.6">
      <c r="A20" s="80"/>
      <c r="B20" s="427" t="s">
        <v>1726</v>
      </c>
      <c r="C20" s="428"/>
      <c r="D20" s="428"/>
      <c r="E20" s="428"/>
      <c r="F20" s="429"/>
      <c r="G20" s="81">
        <f>ROUND(G19,-3)</f>
        <v>54280000</v>
      </c>
      <c r="H20" s="82"/>
    </row>
    <row r="21" spans="1:8" ht="15.6">
      <c r="A21" s="430" t="e">
        <f ca="1">[19]!vnd(G20)</f>
        <v>#NAME?</v>
      </c>
      <c r="B21" s="431"/>
      <c r="C21" s="431"/>
      <c r="D21" s="431"/>
      <c r="E21" s="431"/>
      <c r="F21" s="431"/>
      <c r="G21" s="431"/>
      <c r="H21" s="432"/>
    </row>
    <row r="22" spans="1:8">
      <c r="A22" s="17"/>
      <c r="B22" s="17"/>
      <c r="C22" s="97"/>
      <c r="D22" s="20"/>
      <c r="E22" s="19"/>
      <c r="F22" s="97"/>
      <c r="G22" s="19"/>
      <c r="H22" s="17"/>
    </row>
    <row r="23" spans="1:8" s="109" customFormat="1" ht="16.5" customHeight="1">
      <c r="A23" s="108"/>
      <c r="B23" s="108"/>
      <c r="C23" s="424" t="s">
        <v>1742</v>
      </c>
      <c r="D23" s="424"/>
      <c r="E23" s="424"/>
      <c r="F23" s="424"/>
      <c r="G23" s="424"/>
      <c r="H23" s="424"/>
    </row>
    <row r="24" spans="1:8" s="109" customFormat="1" ht="16.5" customHeight="1">
      <c r="A24" s="423" t="s">
        <v>63</v>
      </c>
      <c r="B24" s="423"/>
      <c r="C24" s="424" t="s">
        <v>1743</v>
      </c>
      <c r="D24" s="424"/>
      <c r="E24" s="424"/>
      <c r="F24" s="424" t="s">
        <v>1744</v>
      </c>
      <c r="G24" s="424"/>
      <c r="H24" s="424"/>
    </row>
    <row r="25" spans="1:8" s="109" customFormat="1" ht="15.6">
      <c r="A25" s="108"/>
      <c r="B25" s="108"/>
      <c r="C25" s="108"/>
      <c r="D25" s="110"/>
      <c r="E25" s="111"/>
      <c r="F25" s="112"/>
      <c r="G25" s="111"/>
      <c r="H25" s="113"/>
    </row>
    <row r="26" spans="1:8" s="109" customFormat="1" ht="15.6">
      <c r="A26" s="108"/>
      <c r="B26" s="108"/>
      <c r="C26" s="108"/>
      <c r="D26" s="110"/>
      <c r="E26" s="111"/>
      <c r="F26" s="112"/>
      <c r="G26" s="114"/>
      <c r="H26" s="113"/>
    </row>
    <row r="27" spans="1:8" s="109" customFormat="1" ht="15.6">
      <c r="A27" s="108"/>
      <c r="B27" s="108"/>
      <c r="C27" s="108"/>
      <c r="D27" s="110"/>
      <c r="E27" s="111"/>
      <c r="F27" s="112"/>
      <c r="G27" s="111"/>
      <c r="H27" s="113"/>
    </row>
    <row r="28" spans="1:8" s="109" customFormat="1" ht="15.6">
      <c r="A28" s="108"/>
      <c r="B28" s="108"/>
      <c r="C28" s="108"/>
      <c r="D28" s="110"/>
      <c r="E28" s="111"/>
      <c r="F28" s="112"/>
      <c r="G28" s="111"/>
      <c r="H28" s="113"/>
    </row>
    <row r="29" spans="1:8" s="109" customFormat="1" ht="15.6">
      <c r="A29" s="108"/>
      <c r="B29" s="108"/>
      <c r="C29" s="108"/>
      <c r="D29" s="110"/>
      <c r="E29" s="111"/>
      <c r="F29" s="112"/>
      <c r="G29" s="111"/>
      <c r="H29" s="113"/>
    </row>
    <row r="30" spans="1:8" s="109" customFormat="1" ht="16.5" customHeight="1">
      <c r="A30" s="108"/>
      <c r="B30" s="198" t="s">
        <v>64</v>
      </c>
      <c r="C30" s="424"/>
      <c r="D30" s="424"/>
      <c r="E30" s="424"/>
      <c r="F30" s="424" t="s">
        <v>1745</v>
      </c>
      <c r="G30" s="424"/>
      <c r="H30" s="424"/>
    </row>
    <row r="31" spans="1:8" s="109" customFormat="1" ht="15.6">
      <c r="A31" s="108"/>
      <c r="B31" s="198"/>
      <c r="C31" s="199"/>
      <c r="D31" s="199"/>
      <c r="E31" s="199"/>
      <c r="F31" s="199"/>
      <c r="G31" s="199"/>
      <c r="H31" s="199"/>
    </row>
    <row r="32" spans="1:8" s="109" customFormat="1" ht="15" customHeight="1">
      <c r="A32" s="424" t="s">
        <v>1746</v>
      </c>
      <c r="B32" s="424"/>
      <c r="C32" s="424"/>
      <c r="D32" s="424"/>
      <c r="E32" s="424" t="s">
        <v>1747</v>
      </c>
      <c r="F32" s="424"/>
      <c r="G32" s="424"/>
      <c r="H32" s="424"/>
    </row>
    <row r="33" spans="1:8" s="109" customFormat="1" ht="33.6" customHeight="1">
      <c r="A33" s="424" t="s">
        <v>1748</v>
      </c>
      <c r="B33" s="424"/>
      <c r="C33" s="424"/>
      <c r="D33" s="424"/>
      <c r="E33" s="424" t="s">
        <v>65</v>
      </c>
      <c r="F33" s="424"/>
      <c r="G33" s="424"/>
      <c r="H33" s="424"/>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ustomHeight="1">
      <c r="A39" s="108"/>
      <c r="B39" s="108"/>
      <c r="C39" s="108"/>
      <c r="D39" s="115"/>
      <c r="E39" s="439" t="s">
        <v>1749</v>
      </c>
      <c r="F39" s="439"/>
      <c r="G39" s="439"/>
      <c r="H39" s="439"/>
    </row>
    <row r="40" spans="1:8" s="109" customFormat="1" ht="16.5" customHeight="1">
      <c r="A40" s="424" t="s">
        <v>1751</v>
      </c>
      <c r="B40" s="424"/>
      <c r="C40" s="424"/>
      <c r="D40" s="424"/>
      <c r="E40" s="424" t="s">
        <v>1750</v>
      </c>
      <c r="F40" s="424"/>
      <c r="G40" s="424"/>
      <c r="H40" s="424"/>
    </row>
    <row r="41" spans="1:8" s="118" customFormat="1" ht="16.2" customHeight="1">
      <c r="A41" s="440"/>
      <c r="B41" s="440"/>
      <c r="C41" s="116"/>
      <c r="D41" s="117"/>
      <c r="E41" s="440"/>
      <c r="F41" s="440"/>
      <c r="G41" s="440"/>
      <c r="H41" s="440"/>
    </row>
    <row r="42" spans="1:8" s="118" customFormat="1" ht="15.75" customHeight="1">
      <c r="A42" s="440"/>
      <c r="B42" s="440"/>
      <c r="C42" s="440"/>
      <c r="D42" s="440"/>
      <c r="E42" s="440"/>
      <c r="F42" s="440"/>
      <c r="G42" s="440"/>
      <c r="H42" s="440"/>
    </row>
    <row r="43" spans="1:8" s="98" customFormat="1" ht="16.2" customHeight="1">
      <c r="A43" s="436"/>
      <c r="B43" s="436"/>
      <c r="C43" s="436"/>
      <c r="D43" s="436"/>
      <c r="E43" s="119"/>
      <c r="F43" s="120"/>
      <c r="G43" s="119"/>
      <c r="H43" s="121"/>
    </row>
    <row r="44" spans="1:8" s="98" customFormat="1" ht="16.2" customHeight="1">
      <c r="A44" s="436"/>
      <c r="B44" s="436"/>
      <c r="C44" s="436"/>
      <c r="D44" s="436"/>
      <c r="E44" s="119"/>
      <c r="F44" s="120"/>
      <c r="G44" s="119"/>
      <c r="H44" s="121"/>
    </row>
    <row r="45" spans="1:8" s="98" customFormat="1" ht="16.2" customHeight="1">
      <c r="A45" s="121"/>
      <c r="B45" s="121"/>
      <c r="C45" s="121"/>
      <c r="D45" s="122"/>
      <c r="E45" s="119"/>
      <c r="F45" s="120"/>
      <c r="G45" s="119"/>
      <c r="H45" s="121"/>
    </row>
    <row r="46" spans="1:8" ht="16.2" customHeight="1">
      <c r="A46" s="83"/>
      <c r="B46" s="83"/>
      <c r="C46" s="83"/>
      <c r="D46" s="84"/>
      <c r="E46" s="85"/>
      <c r="F46" s="86"/>
      <c r="G46" s="85"/>
      <c r="H46" s="83"/>
    </row>
    <row r="47" spans="1:8" ht="16.2" customHeight="1">
      <c r="A47" s="83"/>
      <c r="B47" s="83"/>
      <c r="C47" s="83"/>
      <c r="D47" s="84"/>
      <c r="E47" s="85"/>
      <c r="F47" s="86"/>
      <c r="G47" s="85"/>
      <c r="H47" s="83"/>
    </row>
    <row r="48" spans="1:8" ht="16.2" customHeight="1">
      <c r="A48" s="83"/>
      <c r="B48" s="83"/>
      <c r="C48" s="83"/>
      <c r="D48" s="84"/>
      <c r="E48" s="85"/>
      <c r="F48" s="86"/>
      <c r="G48" s="85"/>
      <c r="H48" s="83"/>
    </row>
    <row r="49" spans="1:8" ht="16.2" customHeight="1">
      <c r="A49" s="83"/>
      <c r="B49" s="83"/>
      <c r="C49" s="83"/>
      <c r="D49" s="84"/>
      <c r="E49" s="437"/>
      <c r="F49" s="437"/>
      <c r="G49" s="437"/>
      <c r="H49" s="437"/>
    </row>
    <row r="50" spans="1:8" ht="20.25" customHeight="1">
      <c r="A50" s="438"/>
      <c r="B50" s="438"/>
      <c r="C50" s="438"/>
      <c r="D50" s="438"/>
      <c r="E50" s="438"/>
      <c r="F50" s="438"/>
      <c r="G50" s="438"/>
      <c r="H50" s="438"/>
    </row>
    <row r="51" spans="1:8" s="17" customFormat="1" ht="16.2" customHeight="1">
      <c r="D51" s="18"/>
      <c r="E51" s="19"/>
      <c r="F51" s="97"/>
      <c r="G51" s="19"/>
    </row>
    <row r="52" spans="1:8" s="17" customFormat="1" ht="16.2" customHeight="1">
      <c r="D52" s="18"/>
      <c r="E52" s="19"/>
      <c r="F52" s="97"/>
      <c r="G52" s="19"/>
    </row>
    <row r="53" spans="1:8" s="17" customFormat="1" ht="16.2" customHeight="1">
      <c r="D53" s="18"/>
      <c r="E53" s="19"/>
      <c r="F53" s="97"/>
      <c r="G53" s="19"/>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C67" s="97"/>
      <c r="D67" s="20"/>
      <c r="E67" s="19"/>
      <c r="F67" s="97"/>
      <c r="G67" s="19"/>
    </row>
    <row r="68" spans="3:7" s="17" customFormat="1" ht="16.2" customHeight="1">
      <c r="C68" s="97"/>
      <c r="D68" s="20"/>
      <c r="E68" s="19"/>
      <c r="F68" s="97"/>
      <c r="G68" s="19"/>
    </row>
    <row r="69" spans="3:7" s="17" customFormat="1" ht="16.2" customHeight="1">
      <c r="C69" s="97"/>
      <c r="D69" s="20"/>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ht="16.2" customHeight="1"/>
    <row r="80" spans="3:7" ht="16.2" customHeight="1"/>
    <row r="81" ht="16.2" customHeight="1"/>
    <row r="82" ht="16.2" customHeight="1"/>
    <row r="83" ht="16.2" customHeight="1"/>
    <row r="84" ht="16.2" customHeight="1"/>
    <row r="85" ht="16.2" customHeight="1"/>
    <row r="86" ht="16.2" customHeight="1"/>
    <row r="87" ht="16.2" customHeight="1"/>
    <row r="88" ht="16.2" customHeight="1"/>
    <row r="89" ht="16.2" customHeight="1"/>
    <row r="90" ht="16.2" customHeight="1"/>
    <row r="91" ht="16.2" customHeight="1"/>
    <row r="92" ht="16.2" customHeight="1"/>
    <row r="93" ht="16.2" customHeight="1"/>
    <row r="94" ht="16.2" customHeight="1"/>
    <row r="95" ht="16.2" customHeight="1"/>
    <row r="96"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row r="226"/>
    <row r="227"/>
    <row r="228"/>
    <row r="229"/>
    <row r="230"/>
    <row r="231"/>
    <row r="232"/>
    <row r="233"/>
    <row r="234"/>
    <row r="235"/>
    <row r="236"/>
    <row r="237"/>
    <row r="238"/>
    <row r="239"/>
    <row r="240"/>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sheetData>
  <mergeCells count="40">
    <mergeCell ref="A4:B4"/>
    <mergeCell ref="C4:H4"/>
    <mergeCell ref="A1:B1"/>
    <mergeCell ref="C1:H1"/>
    <mergeCell ref="A2:B2"/>
    <mergeCell ref="C2:H2"/>
    <mergeCell ref="A3:B3"/>
    <mergeCell ref="A21:H21"/>
    <mergeCell ref="A6:H6"/>
    <mergeCell ref="A7:H7"/>
    <mergeCell ref="A8:H8"/>
    <mergeCell ref="A9:H9"/>
    <mergeCell ref="A10:H10"/>
    <mergeCell ref="A11:H11"/>
    <mergeCell ref="B13:F13"/>
    <mergeCell ref="B15:F15"/>
    <mergeCell ref="B17:F17"/>
    <mergeCell ref="B19:F19"/>
    <mergeCell ref="B20:F20"/>
    <mergeCell ref="A40:D40"/>
    <mergeCell ref="E40:H40"/>
    <mergeCell ref="C23:H23"/>
    <mergeCell ref="A24:B24"/>
    <mergeCell ref="C24:E24"/>
    <mergeCell ref="F24:H24"/>
    <mergeCell ref="C30:E30"/>
    <mergeCell ref="F30:H30"/>
    <mergeCell ref="A32:D32"/>
    <mergeCell ref="E32:H32"/>
    <mergeCell ref="A33:D33"/>
    <mergeCell ref="E33:H33"/>
    <mergeCell ref="E39:H39"/>
    <mergeCell ref="E49:H49"/>
    <mergeCell ref="A50:H50"/>
    <mergeCell ref="A41:B41"/>
    <mergeCell ref="E41:H41"/>
    <mergeCell ref="A42:D42"/>
    <mergeCell ref="E42:H42"/>
    <mergeCell ref="A43:D43"/>
    <mergeCell ref="A44:D44"/>
  </mergeCells>
  <dataValidations count="1">
    <dataValidation type="list" allowBlank="1" showInputMessage="1" showErrorMessage="1" sqref="WVJ983042:WVJ983059 B983042:B983059 IX983042:IX983059 ST983042:ST983059 ACP983042:ACP983059 AML983042:AML983059 AWH983042:AWH983059 BGD983042:BGD983059 BPZ983042:BPZ983059 BZV983042:BZV983059 CJR983042:CJR983059 CTN983042:CTN983059 DDJ983042:DDJ983059 DNF983042:DNF983059 DXB983042:DXB983059 EGX983042:EGX983059 EQT983042:EQT983059 FAP983042:FAP983059 FKL983042:FKL983059 FUH983042:FUH983059 GED983042:GED983059 GNZ983042:GNZ983059 GXV983042:GXV983059 HHR983042:HHR983059 HRN983042:HRN983059 IBJ983042:IBJ983059 ILF983042:ILF983059 IVB983042:IVB983059 JEX983042:JEX983059 JOT983042:JOT983059 JYP983042:JYP983059 KIL983042:KIL983059 KSH983042:KSH983059 LCD983042:LCD983059 LLZ983042:LLZ983059 LVV983042:LVV983059 MFR983042:MFR983059 MPN983042:MPN983059 MZJ983042:MZJ983059 NJF983042:NJF983059 NTB983042:NTB983059 OCX983042:OCX983059 OMT983042:OMT983059 OWP983042:OWP983059 PGL983042:PGL983059 PQH983042:PQH983059 QAD983042:QAD983059 QJZ983042:QJZ983059 QTV983042:QTV983059 RDR983042:RDR983059 RNN983042:RNN983059 RXJ983042:RXJ983059 SHF983042:SHF983059 SRB983042:SRB983059 TAX983042:TAX983059 TKT983042:TKT983059 TUP983042:TUP983059 UEL983042:UEL983059 UOH983042:UOH983059 UYD983042:UYD983059 VHZ983042:VHZ983059 VRV983042:VRV983059 WBR983042:WBR983059 WLN983042:WLN983059 B65538:B65555 IX65538:IX65555 ST65538:ST65555 ACP65538:ACP65555 AML65538:AML65555 AWH65538:AWH65555 BGD65538:BGD65555 BPZ65538:BPZ65555 BZV65538:BZV65555 CJR65538:CJR65555 CTN65538:CTN65555 DDJ65538:DDJ65555 DNF65538:DNF65555 DXB65538:DXB65555 EGX65538:EGX65555 EQT65538:EQT65555 FAP65538:FAP65555 FKL65538:FKL65555 FUH65538:FUH65555 GED65538:GED65555 GNZ65538:GNZ65555 GXV65538:GXV65555 HHR65538:HHR65555 HRN65538:HRN65555 IBJ65538:IBJ65555 ILF65538:ILF65555 IVB65538:IVB65555 JEX65538:JEX65555 JOT65538:JOT65555 JYP65538:JYP65555 KIL65538:KIL65555 KSH65538:KSH65555 LCD65538:LCD65555 LLZ65538:LLZ65555 LVV65538:LVV65555 MFR65538:MFR65555 MPN65538:MPN65555 MZJ65538:MZJ65555 NJF65538:NJF65555 NTB65538:NTB65555 OCX65538:OCX65555 OMT65538:OMT65555 OWP65538:OWP65555 PGL65538:PGL65555 PQH65538:PQH65555 QAD65538:QAD65555 QJZ65538:QJZ65555 QTV65538:QTV65555 RDR65538:RDR65555 RNN65538:RNN65555 RXJ65538:RXJ65555 SHF65538:SHF65555 SRB65538:SRB65555 TAX65538:TAX65555 TKT65538:TKT65555 TUP65538:TUP65555 UEL65538:UEL65555 UOH65538:UOH65555 UYD65538:UYD65555 VHZ65538:VHZ65555 VRV65538:VRV65555 WBR65538:WBR65555 WLN65538:WLN65555 WVJ65538:WVJ65555 B131074:B131091 IX131074:IX131091 ST131074:ST131091 ACP131074:ACP131091 AML131074:AML131091 AWH131074:AWH131091 BGD131074:BGD131091 BPZ131074:BPZ131091 BZV131074:BZV131091 CJR131074:CJR131091 CTN131074:CTN131091 DDJ131074:DDJ131091 DNF131074:DNF131091 DXB131074:DXB131091 EGX131074:EGX131091 EQT131074:EQT131091 FAP131074:FAP131091 FKL131074:FKL131091 FUH131074:FUH131091 GED131074:GED131091 GNZ131074:GNZ131091 GXV131074:GXV131091 HHR131074:HHR131091 HRN131074:HRN131091 IBJ131074:IBJ131091 ILF131074:ILF131091 IVB131074:IVB131091 JEX131074:JEX131091 JOT131074:JOT131091 JYP131074:JYP131091 KIL131074:KIL131091 KSH131074:KSH131091 LCD131074:LCD131091 LLZ131074:LLZ131091 LVV131074:LVV131091 MFR131074:MFR131091 MPN131074:MPN131091 MZJ131074:MZJ131091 NJF131074:NJF131091 NTB131074:NTB131091 OCX131074:OCX131091 OMT131074:OMT131091 OWP131074:OWP131091 PGL131074:PGL131091 PQH131074:PQH131091 QAD131074:QAD131091 QJZ131074:QJZ131091 QTV131074:QTV131091 RDR131074:RDR131091 RNN131074:RNN131091 RXJ131074:RXJ131091 SHF131074:SHF131091 SRB131074:SRB131091 TAX131074:TAX131091 TKT131074:TKT131091 TUP131074:TUP131091 UEL131074:UEL131091 UOH131074:UOH131091 UYD131074:UYD131091 VHZ131074:VHZ131091 VRV131074:VRV131091 WBR131074:WBR131091 WLN131074:WLN131091 WVJ131074:WVJ131091 B196610:B196627 IX196610:IX196627 ST196610:ST196627 ACP196610:ACP196627 AML196610:AML196627 AWH196610:AWH196627 BGD196610:BGD196627 BPZ196610:BPZ196627 BZV196610:BZV196627 CJR196610:CJR196627 CTN196610:CTN196627 DDJ196610:DDJ196627 DNF196610:DNF196627 DXB196610:DXB196627 EGX196610:EGX196627 EQT196610:EQT196627 FAP196610:FAP196627 FKL196610:FKL196627 FUH196610:FUH196627 GED196610:GED196627 GNZ196610:GNZ196627 GXV196610:GXV196627 HHR196610:HHR196627 HRN196610:HRN196627 IBJ196610:IBJ196627 ILF196610:ILF196627 IVB196610:IVB196627 JEX196610:JEX196627 JOT196610:JOT196627 JYP196610:JYP196627 KIL196610:KIL196627 KSH196610:KSH196627 LCD196610:LCD196627 LLZ196610:LLZ196627 LVV196610:LVV196627 MFR196610:MFR196627 MPN196610:MPN196627 MZJ196610:MZJ196627 NJF196610:NJF196627 NTB196610:NTB196627 OCX196610:OCX196627 OMT196610:OMT196627 OWP196610:OWP196627 PGL196610:PGL196627 PQH196610:PQH196627 QAD196610:QAD196627 QJZ196610:QJZ196627 QTV196610:QTV196627 RDR196610:RDR196627 RNN196610:RNN196627 RXJ196610:RXJ196627 SHF196610:SHF196627 SRB196610:SRB196627 TAX196610:TAX196627 TKT196610:TKT196627 TUP196610:TUP196627 UEL196610:UEL196627 UOH196610:UOH196627 UYD196610:UYD196627 VHZ196610:VHZ196627 VRV196610:VRV196627 WBR196610:WBR196627 WLN196610:WLN196627 WVJ196610:WVJ196627 B262146:B262163 IX262146:IX262163 ST262146:ST262163 ACP262146:ACP262163 AML262146:AML262163 AWH262146:AWH262163 BGD262146:BGD262163 BPZ262146:BPZ262163 BZV262146:BZV262163 CJR262146:CJR262163 CTN262146:CTN262163 DDJ262146:DDJ262163 DNF262146:DNF262163 DXB262146:DXB262163 EGX262146:EGX262163 EQT262146:EQT262163 FAP262146:FAP262163 FKL262146:FKL262163 FUH262146:FUH262163 GED262146:GED262163 GNZ262146:GNZ262163 GXV262146:GXV262163 HHR262146:HHR262163 HRN262146:HRN262163 IBJ262146:IBJ262163 ILF262146:ILF262163 IVB262146:IVB262163 JEX262146:JEX262163 JOT262146:JOT262163 JYP262146:JYP262163 KIL262146:KIL262163 KSH262146:KSH262163 LCD262146:LCD262163 LLZ262146:LLZ262163 LVV262146:LVV262163 MFR262146:MFR262163 MPN262146:MPN262163 MZJ262146:MZJ262163 NJF262146:NJF262163 NTB262146:NTB262163 OCX262146:OCX262163 OMT262146:OMT262163 OWP262146:OWP262163 PGL262146:PGL262163 PQH262146:PQH262163 QAD262146:QAD262163 QJZ262146:QJZ262163 QTV262146:QTV262163 RDR262146:RDR262163 RNN262146:RNN262163 RXJ262146:RXJ262163 SHF262146:SHF262163 SRB262146:SRB262163 TAX262146:TAX262163 TKT262146:TKT262163 TUP262146:TUP262163 UEL262146:UEL262163 UOH262146:UOH262163 UYD262146:UYD262163 VHZ262146:VHZ262163 VRV262146:VRV262163 WBR262146:WBR262163 WLN262146:WLN262163 WVJ262146:WVJ262163 B327682:B327699 IX327682:IX327699 ST327682:ST327699 ACP327682:ACP327699 AML327682:AML327699 AWH327682:AWH327699 BGD327682:BGD327699 BPZ327682:BPZ327699 BZV327682:BZV327699 CJR327682:CJR327699 CTN327682:CTN327699 DDJ327682:DDJ327699 DNF327682:DNF327699 DXB327682:DXB327699 EGX327682:EGX327699 EQT327682:EQT327699 FAP327682:FAP327699 FKL327682:FKL327699 FUH327682:FUH327699 GED327682:GED327699 GNZ327682:GNZ327699 GXV327682:GXV327699 HHR327682:HHR327699 HRN327682:HRN327699 IBJ327682:IBJ327699 ILF327682:ILF327699 IVB327682:IVB327699 JEX327682:JEX327699 JOT327682:JOT327699 JYP327682:JYP327699 KIL327682:KIL327699 KSH327682:KSH327699 LCD327682:LCD327699 LLZ327682:LLZ327699 LVV327682:LVV327699 MFR327682:MFR327699 MPN327682:MPN327699 MZJ327682:MZJ327699 NJF327682:NJF327699 NTB327682:NTB327699 OCX327682:OCX327699 OMT327682:OMT327699 OWP327682:OWP327699 PGL327682:PGL327699 PQH327682:PQH327699 QAD327682:QAD327699 QJZ327682:QJZ327699 QTV327682:QTV327699 RDR327682:RDR327699 RNN327682:RNN327699 RXJ327682:RXJ327699 SHF327682:SHF327699 SRB327682:SRB327699 TAX327682:TAX327699 TKT327682:TKT327699 TUP327682:TUP327699 UEL327682:UEL327699 UOH327682:UOH327699 UYD327682:UYD327699 VHZ327682:VHZ327699 VRV327682:VRV327699 WBR327682:WBR327699 WLN327682:WLN327699 WVJ327682:WVJ327699 B393218:B393235 IX393218:IX393235 ST393218:ST393235 ACP393218:ACP393235 AML393218:AML393235 AWH393218:AWH393235 BGD393218:BGD393235 BPZ393218:BPZ393235 BZV393218:BZV393235 CJR393218:CJR393235 CTN393218:CTN393235 DDJ393218:DDJ393235 DNF393218:DNF393235 DXB393218:DXB393235 EGX393218:EGX393235 EQT393218:EQT393235 FAP393218:FAP393235 FKL393218:FKL393235 FUH393218:FUH393235 GED393218:GED393235 GNZ393218:GNZ393235 GXV393218:GXV393235 HHR393218:HHR393235 HRN393218:HRN393235 IBJ393218:IBJ393235 ILF393218:ILF393235 IVB393218:IVB393235 JEX393218:JEX393235 JOT393218:JOT393235 JYP393218:JYP393235 KIL393218:KIL393235 KSH393218:KSH393235 LCD393218:LCD393235 LLZ393218:LLZ393235 LVV393218:LVV393235 MFR393218:MFR393235 MPN393218:MPN393235 MZJ393218:MZJ393235 NJF393218:NJF393235 NTB393218:NTB393235 OCX393218:OCX393235 OMT393218:OMT393235 OWP393218:OWP393235 PGL393218:PGL393235 PQH393218:PQH393235 QAD393218:QAD393235 QJZ393218:QJZ393235 QTV393218:QTV393235 RDR393218:RDR393235 RNN393218:RNN393235 RXJ393218:RXJ393235 SHF393218:SHF393235 SRB393218:SRB393235 TAX393218:TAX393235 TKT393218:TKT393235 TUP393218:TUP393235 UEL393218:UEL393235 UOH393218:UOH393235 UYD393218:UYD393235 VHZ393218:VHZ393235 VRV393218:VRV393235 WBR393218:WBR393235 WLN393218:WLN393235 WVJ393218:WVJ393235 B458754:B458771 IX458754:IX458771 ST458754:ST458771 ACP458754:ACP458771 AML458754:AML458771 AWH458754:AWH458771 BGD458754:BGD458771 BPZ458754:BPZ458771 BZV458754:BZV458771 CJR458754:CJR458771 CTN458754:CTN458771 DDJ458754:DDJ458771 DNF458754:DNF458771 DXB458754:DXB458771 EGX458754:EGX458771 EQT458754:EQT458771 FAP458754:FAP458771 FKL458754:FKL458771 FUH458754:FUH458771 GED458754:GED458771 GNZ458754:GNZ458771 GXV458754:GXV458771 HHR458754:HHR458771 HRN458754:HRN458771 IBJ458754:IBJ458771 ILF458754:ILF458771 IVB458754:IVB458771 JEX458754:JEX458771 JOT458754:JOT458771 JYP458754:JYP458771 KIL458754:KIL458771 KSH458754:KSH458771 LCD458754:LCD458771 LLZ458754:LLZ458771 LVV458754:LVV458771 MFR458754:MFR458771 MPN458754:MPN458771 MZJ458754:MZJ458771 NJF458754:NJF458771 NTB458754:NTB458771 OCX458754:OCX458771 OMT458754:OMT458771 OWP458754:OWP458771 PGL458754:PGL458771 PQH458754:PQH458771 QAD458754:QAD458771 QJZ458754:QJZ458771 QTV458754:QTV458771 RDR458754:RDR458771 RNN458754:RNN458771 RXJ458754:RXJ458771 SHF458754:SHF458771 SRB458754:SRB458771 TAX458754:TAX458771 TKT458754:TKT458771 TUP458754:TUP458771 UEL458754:UEL458771 UOH458754:UOH458771 UYD458754:UYD458771 VHZ458754:VHZ458771 VRV458754:VRV458771 WBR458754:WBR458771 WLN458754:WLN458771 WVJ458754:WVJ458771 B524290:B524307 IX524290:IX524307 ST524290:ST524307 ACP524290:ACP524307 AML524290:AML524307 AWH524290:AWH524307 BGD524290:BGD524307 BPZ524290:BPZ524307 BZV524290:BZV524307 CJR524290:CJR524307 CTN524290:CTN524307 DDJ524290:DDJ524307 DNF524290:DNF524307 DXB524290:DXB524307 EGX524290:EGX524307 EQT524290:EQT524307 FAP524290:FAP524307 FKL524290:FKL524307 FUH524290:FUH524307 GED524290:GED524307 GNZ524290:GNZ524307 GXV524290:GXV524307 HHR524290:HHR524307 HRN524290:HRN524307 IBJ524290:IBJ524307 ILF524290:ILF524307 IVB524290:IVB524307 JEX524290:JEX524307 JOT524290:JOT524307 JYP524290:JYP524307 KIL524290:KIL524307 KSH524290:KSH524307 LCD524290:LCD524307 LLZ524290:LLZ524307 LVV524290:LVV524307 MFR524290:MFR524307 MPN524290:MPN524307 MZJ524290:MZJ524307 NJF524290:NJF524307 NTB524290:NTB524307 OCX524290:OCX524307 OMT524290:OMT524307 OWP524290:OWP524307 PGL524290:PGL524307 PQH524290:PQH524307 QAD524290:QAD524307 QJZ524290:QJZ524307 QTV524290:QTV524307 RDR524290:RDR524307 RNN524290:RNN524307 RXJ524290:RXJ524307 SHF524290:SHF524307 SRB524290:SRB524307 TAX524290:TAX524307 TKT524290:TKT524307 TUP524290:TUP524307 UEL524290:UEL524307 UOH524290:UOH524307 UYD524290:UYD524307 VHZ524290:VHZ524307 VRV524290:VRV524307 WBR524290:WBR524307 WLN524290:WLN524307 WVJ524290:WVJ524307 B589826:B589843 IX589826:IX589843 ST589826:ST589843 ACP589826:ACP589843 AML589826:AML589843 AWH589826:AWH589843 BGD589826:BGD589843 BPZ589826:BPZ589843 BZV589826:BZV589843 CJR589826:CJR589843 CTN589826:CTN589843 DDJ589826:DDJ589843 DNF589826:DNF589843 DXB589826:DXB589843 EGX589826:EGX589843 EQT589826:EQT589843 FAP589826:FAP589843 FKL589826:FKL589843 FUH589826:FUH589843 GED589826:GED589843 GNZ589826:GNZ589843 GXV589826:GXV589843 HHR589826:HHR589843 HRN589826:HRN589843 IBJ589826:IBJ589843 ILF589826:ILF589843 IVB589826:IVB589843 JEX589826:JEX589843 JOT589826:JOT589843 JYP589826:JYP589843 KIL589826:KIL589843 KSH589826:KSH589843 LCD589826:LCD589843 LLZ589826:LLZ589843 LVV589826:LVV589843 MFR589826:MFR589843 MPN589826:MPN589843 MZJ589826:MZJ589843 NJF589826:NJF589843 NTB589826:NTB589843 OCX589826:OCX589843 OMT589826:OMT589843 OWP589826:OWP589843 PGL589826:PGL589843 PQH589826:PQH589843 QAD589826:QAD589843 QJZ589826:QJZ589843 QTV589826:QTV589843 RDR589826:RDR589843 RNN589826:RNN589843 RXJ589826:RXJ589843 SHF589826:SHF589843 SRB589826:SRB589843 TAX589826:TAX589843 TKT589826:TKT589843 TUP589826:TUP589843 UEL589826:UEL589843 UOH589826:UOH589843 UYD589826:UYD589843 VHZ589826:VHZ589843 VRV589826:VRV589843 WBR589826:WBR589843 WLN589826:WLN589843 WVJ589826:WVJ589843 B655362:B655379 IX655362:IX655379 ST655362:ST655379 ACP655362:ACP655379 AML655362:AML655379 AWH655362:AWH655379 BGD655362:BGD655379 BPZ655362:BPZ655379 BZV655362:BZV655379 CJR655362:CJR655379 CTN655362:CTN655379 DDJ655362:DDJ655379 DNF655362:DNF655379 DXB655362:DXB655379 EGX655362:EGX655379 EQT655362:EQT655379 FAP655362:FAP655379 FKL655362:FKL655379 FUH655362:FUH655379 GED655362:GED655379 GNZ655362:GNZ655379 GXV655362:GXV655379 HHR655362:HHR655379 HRN655362:HRN655379 IBJ655362:IBJ655379 ILF655362:ILF655379 IVB655362:IVB655379 JEX655362:JEX655379 JOT655362:JOT655379 JYP655362:JYP655379 KIL655362:KIL655379 KSH655362:KSH655379 LCD655362:LCD655379 LLZ655362:LLZ655379 LVV655362:LVV655379 MFR655362:MFR655379 MPN655362:MPN655379 MZJ655362:MZJ655379 NJF655362:NJF655379 NTB655362:NTB655379 OCX655362:OCX655379 OMT655362:OMT655379 OWP655362:OWP655379 PGL655362:PGL655379 PQH655362:PQH655379 QAD655362:QAD655379 QJZ655362:QJZ655379 QTV655362:QTV655379 RDR655362:RDR655379 RNN655362:RNN655379 RXJ655362:RXJ655379 SHF655362:SHF655379 SRB655362:SRB655379 TAX655362:TAX655379 TKT655362:TKT655379 TUP655362:TUP655379 UEL655362:UEL655379 UOH655362:UOH655379 UYD655362:UYD655379 VHZ655362:VHZ655379 VRV655362:VRV655379 WBR655362:WBR655379 WLN655362:WLN655379 WVJ655362:WVJ655379 B720898:B720915 IX720898:IX720915 ST720898:ST720915 ACP720898:ACP720915 AML720898:AML720915 AWH720898:AWH720915 BGD720898:BGD720915 BPZ720898:BPZ720915 BZV720898:BZV720915 CJR720898:CJR720915 CTN720898:CTN720915 DDJ720898:DDJ720915 DNF720898:DNF720915 DXB720898:DXB720915 EGX720898:EGX720915 EQT720898:EQT720915 FAP720898:FAP720915 FKL720898:FKL720915 FUH720898:FUH720915 GED720898:GED720915 GNZ720898:GNZ720915 GXV720898:GXV720915 HHR720898:HHR720915 HRN720898:HRN720915 IBJ720898:IBJ720915 ILF720898:ILF720915 IVB720898:IVB720915 JEX720898:JEX720915 JOT720898:JOT720915 JYP720898:JYP720915 KIL720898:KIL720915 KSH720898:KSH720915 LCD720898:LCD720915 LLZ720898:LLZ720915 LVV720898:LVV720915 MFR720898:MFR720915 MPN720898:MPN720915 MZJ720898:MZJ720915 NJF720898:NJF720915 NTB720898:NTB720915 OCX720898:OCX720915 OMT720898:OMT720915 OWP720898:OWP720915 PGL720898:PGL720915 PQH720898:PQH720915 QAD720898:QAD720915 QJZ720898:QJZ720915 QTV720898:QTV720915 RDR720898:RDR720915 RNN720898:RNN720915 RXJ720898:RXJ720915 SHF720898:SHF720915 SRB720898:SRB720915 TAX720898:TAX720915 TKT720898:TKT720915 TUP720898:TUP720915 UEL720898:UEL720915 UOH720898:UOH720915 UYD720898:UYD720915 VHZ720898:VHZ720915 VRV720898:VRV720915 WBR720898:WBR720915 WLN720898:WLN720915 WVJ720898:WVJ720915 B786434:B786451 IX786434:IX786451 ST786434:ST786451 ACP786434:ACP786451 AML786434:AML786451 AWH786434:AWH786451 BGD786434:BGD786451 BPZ786434:BPZ786451 BZV786434:BZV786451 CJR786434:CJR786451 CTN786434:CTN786451 DDJ786434:DDJ786451 DNF786434:DNF786451 DXB786434:DXB786451 EGX786434:EGX786451 EQT786434:EQT786451 FAP786434:FAP786451 FKL786434:FKL786451 FUH786434:FUH786451 GED786434:GED786451 GNZ786434:GNZ786451 GXV786434:GXV786451 HHR786434:HHR786451 HRN786434:HRN786451 IBJ786434:IBJ786451 ILF786434:ILF786451 IVB786434:IVB786451 JEX786434:JEX786451 JOT786434:JOT786451 JYP786434:JYP786451 KIL786434:KIL786451 KSH786434:KSH786451 LCD786434:LCD786451 LLZ786434:LLZ786451 LVV786434:LVV786451 MFR786434:MFR786451 MPN786434:MPN786451 MZJ786434:MZJ786451 NJF786434:NJF786451 NTB786434:NTB786451 OCX786434:OCX786451 OMT786434:OMT786451 OWP786434:OWP786451 PGL786434:PGL786451 PQH786434:PQH786451 QAD786434:QAD786451 QJZ786434:QJZ786451 QTV786434:QTV786451 RDR786434:RDR786451 RNN786434:RNN786451 RXJ786434:RXJ786451 SHF786434:SHF786451 SRB786434:SRB786451 TAX786434:TAX786451 TKT786434:TKT786451 TUP786434:TUP786451 UEL786434:UEL786451 UOH786434:UOH786451 UYD786434:UYD786451 VHZ786434:VHZ786451 VRV786434:VRV786451 WBR786434:WBR786451 WLN786434:WLN786451 WVJ786434:WVJ786451 B851970:B851987 IX851970:IX851987 ST851970:ST851987 ACP851970:ACP851987 AML851970:AML851987 AWH851970:AWH851987 BGD851970:BGD851987 BPZ851970:BPZ851987 BZV851970:BZV851987 CJR851970:CJR851987 CTN851970:CTN851987 DDJ851970:DDJ851987 DNF851970:DNF851987 DXB851970:DXB851987 EGX851970:EGX851987 EQT851970:EQT851987 FAP851970:FAP851987 FKL851970:FKL851987 FUH851970:FUH851987 GED851970:GED851987 GNZ851970:GNZ851987 GXV851970:GXV851987 HHR851970:HHR851987 HRN851970:HRN851987 IBJ851970:IBJ851987 ILF851970:ILF851987 IVB851970:IVB851987 JEX851970:JEX851987 JOT851970:JOT851987 JYP851970:JYP851987 KIL851970:KIL851987 KSH851970:KSH851987 LCD851970:LCD851987 LLZ851970:LLZ851987 LVV851970:LVV851987 MFR851970:MFR851987 MPN851970:MPN851987 MZJ851970:MZJ851987 NJF851970:NJF851987 NTB851970:NTB851987 OCX851970:OCX851987 OMT851970:OMT851987 OWP851970:OWP851987 PGL851970:PGL851987 PQH851970:PQH851987 QAD851970:QAD851987 QJZ851970:QJZ851987 QTV851970:QTV851987 RDR851970:RDR851987 RNN851970:RNN851987 RXJ851970:RXJ851987 SHF851970:SHF851987 SRB851970:SRB851987 TAX851970:TAX851987 TKT851970:TKT851987 TUP851970:TUP851987 UEL851970:UEL851987 UOH851970:UOH851987 UYD851970:UYD851987 VHZ851970:VHZ851987 VRV851970:VRV851987 WBR851970:WBR851987 WLN851970:WLN851987 WVJ851970:WVJ851987 B917506:B917523 IX917506:IX917523 ST917506:ST917523 ACP917506:ACP917523 AML917506:AML917523 AWH917506:AWH917523 BGD917506:BGD917523 BPZ917506:BPZ917523 BZV917506:BZV917523 CJR917506:CJR917523 CTN917506:CTN917523 DDJ917506:DDJ917523 DNF917506:DNF917523 DXB917506:DXB917523 EGX917506:EGX917523 EQT917506:EQT917523 FAP917506:FAP917523 FKL917506:FKL917523 FUH917506:FUH917523 GED917506:GED917523 GNZ917506:GNZ917523 GXV917506:GXV917523 HHR917506:HHR917523 HRN917506:HRN917523 IBJ917506:IBJ917523 ILF917506:ILF917523 IVB917506:IVB917523 JEX917506:JEX917523 JOT917506:JOT917523 JYP917506:JYP917523 KIL917506:KIL917523 KSH917506:KSH917523 LCD917506:LCD917523 LLZ917506:LLZ917523 LVV917506:LVV917523 MFR917506:MFR917523 MPN917506:MPN917523 MZJ917506:MZJ917523 NJF917506:NJF917523 NTB917506:NTB917523 OCX917506:OCX917523 OMT917506:OMT917523 OWP917506:OWP917523 PGL917506:PGL917523 PQH917506:PQH917523 QAD917506:QAD917523 QJZ917506:QJZ917523 QTV917506:QTV917523 RDR917506:RDR917523 RNN917506:RNN917523 RXJ917506:RXJ917523 SHF917506:SHF917523 SRB917506:SRB917523 TAX917506:TAX917523 TKT917506:TKT917523 TUP917506:TUP917523 UEL917506:UEL917523 UOH917506:UOH917523 UYD917506:UYD917523 VHZ917506:VHZ917523 VRV917506:VRV917523 WBR917506:WBR917523 WLN917506:WLN917523 WVJ917506:WVJ917523" xr:uid="{00000000-0002-0000-3300-000000000000}">
      <formula1>trung</formula1>
    </dataValidation>
  </dataValidation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341"/>
  <sheetViews>
    <sheetView topLeftCell="A10"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2266</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2267</v>
      </c>
      <c r="C13" s="425"/>
      <c r="D13" s="425"/>
      <c r="E13" s="425"/>
      <c r="F13" s="425"/>
      <c r="G13" s="73">
        <f>G14</f>
        <v>14160000</v>
      </c>
      <c r="H13" s="74"/>
    </row>
    <row r="14" spans="1:8" s="131" customFormat="1" ht="40.5" customHeight="1">
      <c r="A14" s="123"/>
      <c r="B14" s="124" t="s">
        <v>1757</v>
      </c>
      <c r="C14" s="125" t="s">
        <v>1753</v>
      </c>
      <c r="D14" s="126">
        <v>1.2</v>
      </c>
      <c r="E14" s="127">
        <v>11800000</v>
      </c>
      <c r="F14" s="128">
        <v>1</v>
      </c>
      <c r="G14" s="129">
        <f>D14*E14*F14</f>
        <v>14160000</v>
      </c>
      <c r="H14" s="130"/>
    </row>
    <row r="15" spans="1:8" ht="27" customHeight="1">
      <c r="A15" s="75" t="s">
        <v>18</v>
      </c>
      <c r="B15" s="426" t="s">
        <v>1725</v>
      </c>
      <c r="C15" s="426"/>
      <c r="D15" s="426"/>
      <c r="E15" s="426"/>
      <c r="F15" s="426"/>
      <c r="G15" s="76">
        <f>SUM(G16:G16)</f>
        <v>1075640.28</v>
      </c>
      <c r="H15" s="11"/>
    </row>
    <row r="16" spans="1:8" ht="15.6">
      <c r="A16" s="77">
        <v>1</v>
      </c>
      <c r="B16" s="78" t="s">
        <v>2268</v>
      </c>
      <c r="C16" s="14" t="s">
        <v>1754</v>
      </c>
      <c r="D16" s="132">
        <f>1*6.6*0.1</f>
        <v>0.66</v>
      </c>
      <c r="E16" s="15">
        <v>1629758</v>
      </c>
      <c r="F16" s="14">
        <v>1</v>
      </c>
      <c r="G16" s="79">
        <f t="shared" ref="G16" si="0">D16*E16*F16</f>
        <v>1075640.28</v>
      </c>
      <c r="H16" s="15"/>
    </row>
    <row r="17" spans="1:8" ht="24" customHeight="1">
      <c r="A17" s="75" t="s">
        <v>19</v>
      </c>
      <c r="B17" s="426" t="s">
        <v>1727</v>
      </c>
      <c r="C17" s="426"/>
      <c r="D17" s="426"/>
      <c r="E17" s="426"/>
      <c r="F17" s="426"/>
      <c r="G17" s="76">
        <f>SUM(G18:G18)</f>
        <v>0</v>
      </c>
      <c r="H17" s="11"/>
    </row>
    <row r="18" spans="1:8" ht="30.6" customHeight="1">
      <c r="A18" s="77"/>
      <c r="B18" s="78" t="s">
        <v>1728</v>
      </c>
      <c r="C18" s="13"/>
      <c r="D18" s="13"/>
      <c r="E18" s="13"/>
      <c r="F18" s="13"/>
      <c r="G18" s="79"/>
      <c r="H18" s="15"/>
    </row>
    <row r="19" spans="1:8" ht="15.6">
      <c r="A19" s="80"/>
      <c r="B19" s="427" t="s">
        <v>62</v>
      </c>
      <c r="C19" s="428"/>
      <c r="D19" s="428"/>
      <c r="E19" s="428"/>
      <c r="F19" s="429"/>
      <c r="G19" s="81">
        <f>G13+G15+G17</f>
        <v>15235640.279999999</v>
      </c>
      <c r="H19" s="82"/>
    </row>
    <row r="20" spans="1:8" ht="15.6">
      <c r="A20" s="80"/>
      <c r="B20" s="427" t="s">
        <v>1726</v>
      </c>
      <c r="C20" s="428"/>
      <c r="D20" s="428"/>
      <c r="E20" s="428"/>
      <c r="F20" s="429"/>
      <c r="G20" s="81">
        <f>ROUND(G19,-3)</f>
        <v>15236000</v>
      </c>
      <c r="H20" s="82"/>
    </row>
    <row r="21" spans="1:8" ht="15.6">
      <c r="A21" s="430" t="e">
        <f ca="1">[19]!vnd(G20)</f>
        <v>#NAME?</v>
      </c>
      <c r="B21" s="431"/>
      <c r="C21" s="431"/>
      <c r="D21" s="431"/>
      <c r="E21" s="431"/>
      <c r="F21" s="431"/>
      <c r="G21" s="431"/>
      <c r="H21" s="432"/>
    </row>
    <row r="22" spans="1:8">
      <c r="A22" s="17"/>
      <c r="B22" s="17"/>
      <c r="C22" s="97"/>
      <c r="D22" s="20"/>
      <c r="E22" s="19"/>
      <c r="F22" s="97"/>
      <c r="G22" s="19"/>
      <c r="H22" s="17"/>
    </row>
    <row r="23" spans="1:8" s="109" customFormat="1" ht="16.5" customHeight="1">
      <c r="A23" s="108"/>
      <c r="B23" s="108"/>
      <c r="C23" s="424" t="s">
        <v>1742</v>
      </c>
      <c r="D23" s="424"/>
      <c r="E23" s="424"/>
      <c r="F23" s="424"/>
      <c r="G23" s="424"/>
      <c r="H23" s="424"/>
    </row>
    <row r="24" spans="1:8" s="109" customFormat="1" ht="16.5" customHeight="1">
      <c r="A24" s="423" t="s">
        <v>63</v>
      </c>
      <c r="B24" s="423"/>
      <c r="C24" s="424" t="s">
        <v>1743</v>
      </c>
      <c r="D24" s="424"/>
      <c r="E24" s="424"/>
      <c r="F24" s="424" t="s">
        <v>1744</v>
      </c>
      <c r="G24" s="424"/>
      <c r="H24" s="424"/>
    </row>
    <row r="25" spans="1:8" s="109" customFormat="1" ht="15.6">
      <c r="A25" s="108"/>
      <c r="B25" s="108"/>
      <c r="C25" s="108"/>
      <c r="D25" s="110"/>
      <c r="E25" s="111"/>
      <c r="F25" s="112"/>
      <c r="G25" s="111"/>
      <c r="H25" s="113"/>
    </row>
    <row r="26" spans="1:8" s="109" customFormat="1" ht="15.6">
      <c r="A26" s="108"/>
      <c r="B26" s="108"/>
      <c r="C26" s="108"/>
      <c r="D26" s="110"/>
      <c r="E26" s="111"/>
      <c r="F26" s="112"/>
      <c r="G26" s="114"/>
      <c r="H26" s="113"/>
    </row>
    <row r="27" spans="1:8" s="109" customFormat="1" ht="15.6">
      <c r="A27" s="108"/>
      <c r="B27" s="108"/>
      <c r="C27" s="108"/>
      <c r="D27" s="110"/>
      <c r="E27" s="111"/>
      <c r="F27" s="112"/>
      <c r="G27" s="111"/>
      <c r="H27" s="113"/>
    </row>
    <row r="28" spans="1:8" s="109" customFormat="1" ht="15.6">
      <c r="A28" s="108"/>
      <c r="B28" s="108"/>
      <c r="C28" s="108"/>
      <c r="D28" s="110"/>
      <c r="E28" s="111"/>
      <c r="F28" s="112"/>
      <c r="G28" s="111"/>
      <c r="H28" s="113"/>
    </row>
    <row r="29" spans="1:8" s="109" customFormat="1" ht="15.6">
      <c r="A29" s="108"/>
      <c r="B29" s="108"/>
      <c r="C29" s="108"/>
      <c r="D29" s="110"/>
      <c r="E29" s="111"/>
      <c r="F29" s="112"/>
      <c r="G29" s="111"/>
      <c r="H29" s="113"/>
    </row>
    <row r="30" spans="1:8" s="109" customFormat="1" ht="16.5" customHeight="1">
      <c r="A30" s="108"/>
      <c r="B30" s="198" t="s">
        <v>64</v>
      </c>
      <c r="C30" s="424"/>
      <c r="D30" s="424"/>
      <c r="E30" s="424"/>
      <c r="F30" s="424" t="s">
        <v>1745</v>
      </c>
      <c r="G30" s="424"/>
      <c r="H30" s="424"/>
    </row>
    <row r="31" spans="1:8" s="109" customFormat="1" ht="15.6">
      <c r="A31" s="108"/>
      <c r="B31" s="198"/>
      <c r="C31" s="199"/>
      <c r="D31" s="199"/>
      <c r="E31" s="199"/>
      <c r="F31" s="199"/>
      <c r="G31" s="199"/>
      <c r="H31" s="199"/>
    </row>
    <row r="32" spans="1:8" s="109" customFormat="1" ht="15" customHeight="1">
      <c r="A32" s="424" t="s">
        <v>1746</v>
      </c>
      <c r="B32" s="424"/>
      <c r="C32" s="424"/>
      <c r="D32" s="424"/>
      <c r="E32" s="424" t="s">
        <v>1747</v>
      </c>
      <c r="F32" s="424"/>
      <c r="G32" s="424"/>
      <c r="H32" s="424"/>
    </row>
    <row r="33" spans="1:8" s="109" customFormat="1" ht="33.6" customHeight="1">
      <c r="A33" s="424" t="s">
        <v>1748</v>
      </c>
      <c r="B33" s="424"/>
      <c r="C33" s="424"/>
      <c r="D33" s="424"/>
      <c r="E33" s="424" t="s">
        <v>65</v>
      </c>
      <c r="F33" s="424"/>
      <c r="G33" s="424"/>
      <c r="H33" s="424"/>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ustomHeight="1">
      <c r="A39" s="108"/>
      <c r="B39" s="108"/>
      <c r="C39" s="108"/>
      <c r="D39" s="115"/>
      <c r="E39" s="439" t="s">
        <v>1749</v>
      </c>
      <c r="F39" s="439"/>
      <c r="G39" s="439"/>
      <c r="H39" s="439"/>
    </row>
    <row r="40" spans="1:8" s="109" customFormat="1" ht="16.5" customHeight="1">
      <c r="A40" s="424" t="s">
        <v>1751</v>
      </c>
      <c r="B40" s="424"/>
      <c r="C40" s="424"/>
      <c r="D40" s="424"/>
      <c r="E40" s="424" t="s">
        <v>1750</v>
      </c>
      <c r="F40" s="424"/>
      <c r="G40" s="424"/>
      <c r="H40" s="424"/>
    </row>
    <row r="41" spans="1:8" s="118" customFormat="1" ht="16.2" customHeight="1">
      <c r="A41" s="440"/>
      <c r="B41" s="440"/>
      <c r="C41" s="116"/>
      <c r="D41" s="117"/>
      <c r="E41" s="440"/>
      <c r="F41" s="440"/>
      <c r="G41" s="440"/>
      <c r="H41" s="440"/>
    </row>
    <row r="42" spans="1:8" s="118" customFormat="1" ht="15.75" customHeight="1">
      <c r="A42" s="440"/>
      <c r="B42" s="440"/>
      <c r="C42" s="440"/>
      <c r="D42" s="440"/>
      <c r="E42" s="440"/>
      <c r="F42" s="440"/>
      <c r="G42" s="440"/>
      <c r="H42" s="440"/>
    </row>
    <row r="43" spans="1:8" s="98" customFormat="1" ht="16.2" customHeight="1">
      <c r="A43" s="436"/>
      <c r="B43" s="436"/>
      <c r="C43" s="436"/>
      <c r="D43" s="436"/>
      <c r="E43" s="119"/>
      <c r="F43" s="120"/>
      <c r="G43" s="119"/>
      <c r="H43" s="121"/>
    </row>
    <row r="44" spans="1:8" s="98" customFormat="1" ht="16.2" customHeight="1">
      <c r="A44" s="436"/>
      <c r="B44" s="436"/>
      <c r="C44" s="436"/>
      <c r="D44" s="436"/>
      <c r="E44" s="119"/>
      <c r="F44" s="120"/>
      <c r="G44" s="119"/>
      <c r="H44" s="121"/>
    </row>
    <row r="45" spans="1:8" s="98" customFormat="1" ht="16.2" customHeight="1">
      <c r="A45" s="121"/>
      <c r="B45" s="121"/>
      <c r="C45" s="121"/>
      <c r="D45" s="122"/>
      <c r="E45" s="119"/>
      <c r="F45" s="120"/>
      <c r="G45" s="119"/>
      <c r="H45" s="121"/>
    </row>
    <row r="46" spans="1:8" ht="16.2" customHeight="1">
      <c r="A46" s="83"/>
      <c r="B46" s="83"/>
      <c r="C46" s="83"/>
      <c r="D46" s="84"/>
      <c r="E46" s="85"/>
      <c r="F46" s="86"/>
      <c r="G46" s="85"/>
      <c r="H46" s="83"/>
    </row>
    <row r="47" spans="1:8" ht="16.2" customHeight="1">
      <c r="A47" s="83"/>
      <c r="B47" s="83"/>
      <c r="C47" s="83"/>
      <c r="D47" s="84"/>
      <c r="E47" s="85"/>
      <c r="F47" s="86"/>
      <c r="G47" s="85"/>
      <c r="H47" s="83"/>
    </row>
    <row r="48" spans="1:8" ht="16.2" customHeight="1">
      <c r="A48" s="83"/>
      <c r="B48" s="83"/>
      <c r="C48" s="83"/>
      <c r="D48" s="84"/>
      <c r="E48" s="85"/>
      <c r="F48" s="86"/>
      <c r="G48" s="85"/>
      <c r="H48" s="83"/>
    </row>
    <row r="49" spans="1:8" ht="16.2" customHeight="1">
      <c r="A49" s="83"/>
      <c r="B49" s="83"/>
      <c r="C49" s="83"/>
      <c r="D49" s="84"/>
      <c r="E49" s="437"/>
      <c r="F49" s="437"/>
      <c r="G49" s="437"/>
      <c r="H49" s="437"/>
    </row>
    <row r="50" spans="1:8" ht="20.25" customHeight="1">
      <c r="A50" s="438"/>
      <c r="B50" s="438"/>
      <c r="C50" s="438"/>
      <c r="D50" s="438"/>
      <c r="E50" s="438"/>
      <c r="F50" s="438"/>
      <c r="G50" s="438"/>
      <c r="H50" s="438"/>
    </row>
    <row r="51" spans="1:8" s="17" customFormat="1" ht="16.2" customHeight="1">
      <c r="D51" s="18"/>
      <c r="E51" s="19"/>
      <c r="F51" s="97"/>
      <c r="G51" s="19"/>
    </row>
    <row r="52" spans="1:8" s="17" customFormat="1" ht="16.2" customHeight="1">
      <c r="D52" s="18"/>
      <c r="E52" s="19"/>
      <c r="F52" s="97"/>
      <c r="G52" s="19"/>
    </row>
    <row r="53" spans="1:8" s="17" customFormat="1" ht="16.2" customHeight="1">
      <c r="D53" s="18"/>
      <c r="E53" s="19"/>
      <c r="F53" s="97"/>
      <c r="G53" s="19"/>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C67" s="97"/>
      <c r="D67" s="20"/>
      <c r="E67" s="19"/>
      <c r="F67" s="97"/>
      <c r="G67" s="19"/>
    </row>
    <row r="68" spans="3:7" s="17" customFormat="1" ht="16.2" customHeight="1">
      <c r="C68" s="97"/>
      <c r="D68" s="20"/>
      <c r="E68" s="19"/>
      <c r="F68" s="97"/>
      <c r="G68" s="19"/>
    </row>
    <row r="69" spans="3:7" s="17" customFormat="1" ht="16.2" customHeight="1">
      <c r="C69" s="97"/>
      <c r="D69" s="20"/>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ht="16.2" customHeight="1"/>
    <row r="80" spans="3:7" ht="16.2" customHeight="1"/>
    <row r="81" ht="16.2" customHeight="1"/>
    <row r="82" ht="16.2" customHeight="1"/>
    <row r="83" ht="16.2" customHeight="1"/>
    <row r="84" ht="16.2" customHeight="1"/>
    <row r="85" ht="16.2" customHeight="1"/>
    <row r="86" ht="16.2" customHeight="1"/>
    <row r="87" ht="16.2" customHeight="1"/>
    <row r="88" ht="16.2" customHeight="1"/>
    <row r="89" ht="16.2" customHeight="1"/>
    <row r="90" ht="16.2" customHeight="1"/>
    <row r="91" ht="16.2" customHeight="1"/>
    <row r="92" ht="16.2" customHeight="1"/>
    <row r="93" ht="16.2" customHeight="1"/>
    <row r="94" ht="16.2" customHeight="1"/>
    <row r="95" ht="16.2" customHeight="1"/>
    <row r="96"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row r="226"/>
    <row r="227"/>
    <row r="228"/>
    <row r="229"/>
    <row r="230"/>
    <row r="231"/>
    <row r="232"/>
    <row r="233"/>
    <row r="234"/>
    <row r="235"/>
    <row r="236"/>
    <row r="237"/>
    <row r="238"/>
    <row r="239"/>
    <row r="240"/>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sheetData>
  <mergeCells count="40">
    <mergeCell ref="A4:B4"/>
    <mergeCell ref="C4:H4"/>
    <mergeCell ref="A1:B1"/>
    <mergeCell ref="C1:H1"/>
    <mergeCell ref="A2:B2"/>
    <mergeCell ref="C2:H2"/>
    <mergeCell ref="A3:B3"/>
    <mergeCell ref="A21:H21"/>
    <mergeCell ref="A6:H6"/>
    <mergeCell ref="A7:H7"/>
    <mergeCell ref="A8:H8"/>
    <mergeCell ref="A9:H9"/>
    <mergeCell ref="A10:H10"/>
    <mergeCell ref="A11:H11"/>
    <mergeCell ref="B13:F13"/>
    <mergeCell ref="B15:F15"/>
    <mergeCell ref="B17:F17"/>
    <mergeCell ref="B19:F19"/>
    <mergeCell ref="B20:F20"/>
    <mergeCell ref="A40:D40"/>
    <mergeCell ref="E40:H40"/>
    <mergeCell ref="C23:H23"/>
    <mergeCell ref="A24:B24"/>
    <mergeCell ref="C24:E24"/>
    <mergeCell ref="F24:H24"/>
    <mergeCell ref="C30:E30"/>
    <mergeCell ref="F30:H30"/>
    <mergeCell ref="A32:D32"/>
    <mergeCell ref="E32:H32"/>
    <mergeCell ref="A33:D33"/>
    <mergeCell ref="E33:H33"/>
    <mergeCell ref="E39:H39"/>
    <mergeCell ref="E49:H49"/>
    <mergeCell ref="A50:H50"/>
    <mergeCell ref="A41:B41"/>
    <mergeCell ref="E41:H41"/>
    <mergeCell ref="A42:D42"/>
    <mergeCell ref="E42:H42"/>
    <mergeCell ref="A43:D43"/>
    <mergeCell ref="A44:D44"/>
  </mergeCells>
  <dataValidations count="1">
    <dataValidation type="list" allowBlank="1" showInputMessage="1" showErrorMessage="1" sqref="WVJ983042:WVJ983059 B983042:B983059 IX983042:IX983059 ST983042:ST983059 ACP983042:ACP983059 AML983042:AML983059 AWH983042:AWH983059 BGD983042:BGD983059 BPZ983042:BPZ983059 BZV983042:BZV983059 CJR983042:CJR983059 CTN983042:CTN983059 DDJ983042:DDJ983059 DNF983042:DNF983059 DXB983042:DXB983059 EGX983042:EGX983059 EQT983042:EQT983059 FAP983042:FAP983059 FKL983042:FKL983059 FUH983042:FUH983059 GED983042:GED983059 GNZ983042:GNZ983059 GXV983042:GXV983059 HHR983042:HHR983059 HRN983042:HRN983059 IBJ983042:IBJ983059 ILF983042:ILF983059 IVB983042:IVB983059 JEX983042:JEX983059 JOT983042:JOT983059 JYP983042:JYP983059 KIL983042:KIL983059 KSH983042:KSH983059 LCD983042:LCD983059 LLZ983042:LLZ983059 LVV983042:LVV983059 MFR983042:MFR983059 MPN983042:MPN983059 MZJ983042:MZJ983059 NJF983042:NJF983059 NTB983042:NTB983059 OCX983042:OCX983059 OMT983042:OMT983059 OWP983042:OWP983059 PGL983042:PGL983059 PQH983042:PQH983059 QAD983042:QAD983059 QJZ983042:QJZ983059 QTV983042:QTV983059 RDR983042:RDR983059 RNN983042:RNN983059 RXJ983042:RXJ983059 SHF983042:SHF983059 SRB983042:SRB983059 TAX983042:TAX983059 TKT983042:TKT983059 TUP983042:TUP983059 UEL983042:UEL983059 UOH983042:UOH983059 UYD983042:UYD983059 VHZ983042:VHZ983059 VRV983042:VRV983059 WBR983042:WBR983059 WLN983042:WLN983059 B65538:B65555 IX65538:IX65555 ST65538:ST65555 ACP65538:ACP65555 AML65538:AML65555 AWH65538:AWH65555 BGD65538:BGD65555 BPZ65538:BPZ65555 BZV65538:BZV65555 CJR65538:CJR65555 CTN65538:CTN65555 DDJ65538:DDJ65555 DNF65538:DNF65555 DXB65538:DXB65555 EGX65538:EGX65555 EQT65538:EQT65555 FAP65538:FAP65555 FKL65538:FKL65555 FUH65538:FUH65555 GED65538:GED65555 GNZ65538:GNZ65555 GXV65538:GXV65555 HHR65538:HHR65555 HRN65538:HRN65555 IBJ65538:IBJ65555 ILF65538:ILF65555 IVB65538:IVB65555 JEX65538:JEX65555 JOT65538:JOT65555 JYP65538:JYP65555 KIL65538:KIL65555 KSH65538:KSH65555 LCD65538:LCD65555 LLZ65538:LLZ65555 LVV65538:LVV65555 MFR65538:MFR65555 MPN65538:MPN65555 MZJ65538:MZJ65555 NJF65538:NJF65555 NTB65538:NTB65555 OCX65538:OCX65555 OMT65538:OMT65555 OWP65538:OWP65555 PGL65538:PGL65555 PQH65538:PQH65555 QAD65538:QAD65555 QJZ65538:QJZ65555 QTV65538:QTV65555 RDR65538:RDR65555 RNN65538:RNN65555 RXJ65538:RXJ65555 SHF65538:SHF65555 SRB65538:SRB65555 TAX65538:TAX65555 TKT65538:TKT65555 TUP65538:TUP65555 UEL65538:UEL65555 UOH65538:UOH65555 UYD65538:UYD65555 VHZ65538:VHZ65555 VRV65538:VRV65555 WBR65538:WBR65555 WLN65538:WLN65555 WVJ65538:WVJ65555 B131074:B131091 IX131074:IX131091 ST131074:ST131091 ACP131074:ACP131091 AML131074:AML131091 AWH131074:AWH131091 BGD131074:BGD131091 BPZ131074:BPZ131091 BZV131074:BZV131091 CJR131074:CJR131091 CTN131074:CTN131091 DDJ131074:DDJ131091 DNF131074:DNF131091 DXB131074:DXB131091 EGX131074:EGX131091 EQT131074:EQT131091 FAP131074:FAP131091 FKL131074:FKL131091 FUH131074:FUH131091 GED131074:GED131091 GNZ131074:GNZ131091 GXV131074:GXV131091 HHR131074:HHR131091 HRN131074:HRN131091 IBJ131074:IBJ131091 ILF131074:ILF131091 IVB131074:IVB131091 JEX131074:JEX131091 JOT131074:JOT131091 JYP131074:JYP131091 KIL131074:KIL131091 KSH131074:KSH131091 LCD131074:LCD131091 LLZ131074:LLZ131091 LVV131074:LVV131091 MFR131074:MFR131091 MPN131074:MPN131091 MZJ131074:MZJ131091 NJF131074:NJF131091 NTB131074:NTB131091 OCX131074:OCX131091 OMT131074:OMT131091 OWP131074:OWP131091 PGL131074:PGL131091 PQH131074:PQH131091 QAD131074:QAD131091 QJZ131074:QJZ131091 QTV131074:QTV131091 RDR131074:RDR131091 RNN131074:RNN131091 RXJ131074:RXJ131091 SHF131074:SHF131091 SRB131074:SRB131091 TAX131074:TAX131091 TKT131074:TKT131091 TUP131074:TUP131091 UEL131074:UEL131091 UOH131074:UOH131091 UYD131074:UYD131091 VHZ131074:VHZ131091 VRV131074:VRV131091 WBR131074:WBR131091 WLN131074:WLN131091 WVJ131074:WVJ131091 B196610:B196627 IX196610:IX196627 ST196610:ST196627 ACP196610:ACP196627 AML196610:AML196627 AWH196610:AWH196627 BGD196610:BGD196627 BPZ196610:BPZ196627 BZV196610:BZV196627 CJR196610:CJR196627 CTN196610:CTN196627 DDJ196610:DDJ196627 DNF196610:DNF196627 DXB196610:DXB196627 EGX196610:EGX196627 EQT196610:EQT196627 FAP196610:FAP196627 FKL196610:FKL196627 FUH196610:FUH196627 GED196610:GED196627 GNZ196610:GNZ196627 GXV196610:GXV196627 HHR196610:HHR196627 HRN196610:HRN196627 IBJ196610:IBJ196627 ILF196610:ILF196627 IVB196610:IVB196627 JEX196610:JEX196627 JOT196610:JOT196627 JYP196610:JYP196627 KIL196610:KIL196627 KSH196610:KSH196627 LCD196610:LCD196627 LLZ196610:LLZ196627 LVV196610:LVV196627 MFR196610:MFR196627 MPN196610:MPN196627 MZJ196610:MZJ196627 NJF196610:NJF196627 NTB196610:NTB196627 OCX196610:OCX196627 OMT196610:OMT196627 OWP196610:OWP196627 PGL196610:PGL196627 PQH196610:PQH196627 QAD196610:QAD196627 QJZ196610:QJZ196627 QTV196610:QTV196627 RDR196610:RDR196627 RNN196610:RNN196627 RXJ196610:RXJ196627 SHF196610:SHF196627 SRB196610:SRB196627 TAX196610:TAX196627 TKT196610:TKT196627 TUP196610:TUP196627 UEL196610:UEL196627 UOH196610:UOH196627 UYD196610:UYD196627 VHZ196610:VHZ196627 VRV196610:VRV196627 WBR196610:WBR196627 WLN196610:WLN196627 WVJ196610:WVJ196627 B262146:B262163 IX262146:IX262163 ST262146:ST262163 ACP262146:ACP262163 AML262146:AML262163 AWH262146:AWH262163 BGD262146:BGD262163 BPZ262146:BPZ262163 BZV262146:BZV262163 CJR262146:CJR262163 CTN262146:CTN262163 DDJ262146:DDJ262163 DNF262146:DNF262163 DXB262146:DXB262163 EGX262146:EGX262163 EQT262146:EQT262163 FAP262146:FAP262163 FKL262146:FKL262163 FUH262146:FUH262163 GED262146:GED262163 GNZ262146:GNZ262163 GXV262146:GXV262163 HHR262146:HHR262163 HRN262146:HRN262163 IBJ262146:IBJ262163 ILF262146:ILF262163 IVB262146:IVB262163 JEX262146:JEX262163 JOT262146:JOT262163 JYP262146:JYP262163 KIL262146:KIL262163 KSH262146:KSH262163 LCD262146:LCD262163 LLZ262146:LLZ262163 LVV262146:LVV262163 MFR262146:MFR262163 MPN262146:MPN262163 MZJ262146:MZJ262163 NJF262146:NJF262163 NTB262146:NTB262163 OCX262146:OCX262163 OMT262146:OMT262163 OWP262146:OWP262163 PGL262146:PGL262163 PQH262146:PQH262163 QAD262146:QAD262163 QJZ262146:QJZ262163 QTV262146:QTV262163 RDR262146:RDR262163 RNN262146:RNN262163 RXJ262146:RXJ262163 SHF262146:SHF262163 SRB262146:SRB262163 TAX262146:TAX262163 TKT262146:TKT262163 TUP262146:TUP262163 UEL262146:UEL262163 UOH262146:UOH262163 UYD262146:UYD262163 VHZ262146:VHZ262163 VRV262146:VRV262163 WBR262146:WBR262163 WLN262146:WLN262163 WVJ262146:WVJ262163 B327682:B327699 IX327682:IX327699 ST327682:ST327699 ACP327682:ACP327699 AML327682:AML327699 AWH327682:AWH327699 BGD327682:BGD327699 BPZ327682:BPZ327699 BZV327682:BZV327699 CJR327682:CJR327699 CTN327682:CTN327699 DDJ327682:DDJ327699 DNF327682:DNF327699 DXB327682:DXB327699 EGX327682:EGX327699 EQT327682:EQT327699 FAP327682:FAP327699 FKL327682:FKL327699 FUH327682:FUH327699 GED327682:GED327699 GNZ327682:GNZ327699 GXV327682:GXV327699 HHR327682:HHR327699 HRN327682:HRN327699 IBJ327682:IBJ327699 ILF327682:ILF327699 IVB327682:IVB327699 JEX327682:JEX327699 JOT327682:JOT327699 JYP327682:JYP327699 KIL327682:KIL327699 KSH327682:KSH327699 LCD327682:LCD327699 LLZ327682:LLZ327699 LVV327682:LVV327699 MFR327682:MFR327699 MPN327682:MPN327699 MZJ327682:MZJ327699 NJF327682:NJF327699 NTB327682:NTB327699 OCX327682:OCX327699 OMT327682:OMT327699 OWP327682:OWP327699 PGL327682:PGL327699 PQH327682:PQH327699 QAD327682:QAD327699 QJZ327682:QJZ327699 QTV327682:QTV327699 RDR327682:RDR327699 RNN327682:RNN327699 RXJ327682:RXJ327699 SHF327682:SHF327699 SRB327682:SRB327699 TAX327682:TAX327699 TKT327682:TKT327699 TUP327682:TUP327699 UEL327682:UEL327699 UOH327682:UOH327699 UYD327682:UYD327699 VHZ327682:VHZ327699 VRV327682:VRV327699 WBR327682:WBR327699 WLN327682:WLN327699 WVJ327682:WVJ327699 B393218:B393235 IX393218:IX393235 ST393218:ST393235 ACP393218:ACP393235 AML393218:AML393235 AWH393218:AWH393235 BGD393218:BGD393235 BPZ393218:BPZ393235 BZV393218:BZV393235 CJR393218:CJR393235 CTN393218:CTN393235 DDJ393218:DDJ393235 DNF393218:DNF393235 DXB393218:DXB393235 EGX393218:EGX393235 EQT393218:EQT393235 FAP393218:FAP393235 FKL393218:FKL393235 FUH393218:FUH393235 GED393218:GED393235 GNZ393218:GNZ393235 GXV393218:GXV393235 HHR393218:HHR393235 HRN393218:HRN393235 IBJ393218:IBJ393235 ILF393218:ILF393235 IVB393218:IVB393235 JEX393218:JEX393235 JOT393218:JOT393235 JYP393218:JYP393235 KIL393218:KIL393235 KSH393218:KSH393235 LCD393218:LCD393235 LLZ393218:LLZ393235 LVV393218:LVV393235 MFR393218:MFR393235 MPN393218:MPN393235 MZJ393218:MZJ393235 NJF393218:NJF393235 NTB393218:NTB393235 OCX393218:OCX393235 OMT393218:OMT393235 OWP393218:OWP393235 PGL393218:PGL393235 PQH393218:PQH393235 QAD393218:QAD393235 QJZ393218:QJZ393235 QTV393218:QTV393235 RDR393218:RDR393235 RNN393218:RNN393235 RXJ393218:RXJ393235 SHF393218:SHF393235 SRB393218:SRB393235 TAX393218:TAX393235 TKT393218:TKT393235 TUP393218:TUP393235 UEL393218:UEL393235 UOH393218:UOH393235 UYD393218:UYD393235 VHZ393218:VHZ393235 VRV393218:VRV393235 WBR393218:WBR393235 WLN393218:WLN393235 WVJ393218:WVJ393235 B458754:B458771 IX458754:IX458771 ST458754:ST458771 ACP458754:ACP458771 AML458754:AML458771 AWH458754:AWH458771 BGD458754:BGD458771 BPZ458754:BPZ458771 BZV458754:BZV458771 CJR458754:CJR458771 CTN458754:CTN458771 DDJ458754:DDJ458771 DNF458754:DNF458771 DXB458754:DXB458771 EGX458754:EGX458771 EQT458754:EQT458771 FAP458754:FAP458771 FKL458754:FKL458771 FUH458754:FUH458771 GED458754:GED458771 GNZ458754:GNZ458771 GXV458754:GXV458771 HHR458754:HHR458771 HRN458754:HRN458771 IBJ458754:IBJ458771 ILF458754:ILF458771 IVB458754:IVB458771 JEX458754:JEX458771 JOT458754:JOT458771 JYP458754:JYP458771 KIL458754:KIL458771 KSH458754:KSH458771 LCD458754:LCD458771 LLZ458754:LLZ458771 LVV458754:LVV458771 MFR458754:MFR458771 MPN458754:MPN458771 MZJ458754:MZJ458771 NJF458754:NJF458771 NTB458754:NTB458771 OCX458754:OCX458771 OMT458754:OMT458771 OWP458754:OWP458771 PGL458754:PGL458771 PQH458754:PQH458771 QAD458754:QAD458771 QJZ458754:QJZ458771 QTV458754:QTV458771 RDR458754:RDR458771 RNN458754:RNN458771 RXJ458754:RXJ458771 SHF458754:SHF458771 SRB458754:SRB458771 TAX458754:TAX458771 TKT458754:TKT458771 TUP458754:TUP458771 UEL458754:UEL458771 UOH458754:UOH458771 UYD458754:UYD458771 VHZ458754:VHZ458771 VRV458754:VRV458771 WBR458754:WBR458771 WLN458754:WLN458771 WVJ458754:WVJ458771 B524290:B524307 IX524290:IX524307 ST524290:ST524307 ACP524290:ACP524307 AML524290:AML524307 AWH524290:AWH524307 BGD524290:BGD524307 BPZ524290:BPZ524307 BZV524290:BZV524307 CJR524290:CJR524307 CTN524290:CTN524307 DDJ524290:DDJ524307 DNF524290:DNF524307 DXB524290:DXB524307 EGX524290:EGX524307 EQT524290:EQT524307 FAP524290:FAP524307 FKL524290:FKL524307 FUH524290:FUH524307 GED524290:GED524307 GNZ524290:GNZ524307 GXV524290:GXV524307 HHR524290:HHR524307 HRN524290:HRN524307 IBJ524290:IBJ524307 ILF524290:ILF524307 IVB524290:IVB524307 JEX524290:JEX524307 JOT524290:JOT524307 JYP524290:JYP524307 KIL524290:KIL524307 KSH524290:KSH524307 LCD524290:LCD524307 LLZ524290:LLZ524307 LVV524290:LVV524307 MFR524290:MFR524307 MPN524290:MPN524307 MZJ524290:MZJ524307 NJF524290:NJF524307 NTB524290:NTB524307 OCX524290:OCX524307 OMT524290:OMT524307 OWP524290:OWP524307 PGL524290:PGL524307 PQH524290:PQH524307 QAD524290:QAD524307 QJZ524290:QJZ524307 QTV524290:QTV524307 RDR524290:RDR524307 RNN524290:RNN524307 RXJ524290:RXJ524307 SHF524290:SHF524307 SRB524290:SRB524307 TAX524290:TAX524307 TKT524290:TKT524307 TUP524290:TUP524307 UEL524290:UEL524307 UOH524290:UOH524307 UYD524290:UYD524307 VHZ524290:VHZ524307 VRV524290:VRV524307 WBR524290:WBR524307 WLN524290:WLN524307 WVJ524290:WVJ524307 B589826:B589843 IX589826:IX589843 ST589826:ST589843 ACP589826:ACP589843 AML589826:AML589843 AWH589826:AWH589843 BGD589826:BGD589843 BPZ589826:BPZ589843 BZV589826:BZV589843 CJR589826:CJR589843 CTN589826:CTN589843 DDJ589826:DDJ589843 DNF589826:DNF589843 DXB589826:DXB589843 EGX589826:EGX589843 EQT589826:EQT589843 FAP589826:FAP589843 FKL589826:FKL589843 FUH589826:FUH589843 GED589826:GED589843 GNZ589826:GNZ589843 GXV589826:GXV589843 HHR589826:HHR589843 HRN589826:HRN589843 IBJ589826:IBJ589843 ILF589826:ILF589843 IVB589826:IVB589843 JEX589826:JEX589843 JOT589826:JOT589843 JYP589826:JYP589843 KIL589826:KIL589843 KSH589826:KSH589843 LCD589826:LCD589843 LLZ589826:LLZ589843 LVV589826:LVV589843 MFR589826:MFR589843 MPN589826:MPN589843 MZJ589826:MZJ589843 NJF589826:NJF589843 NTB589826:NTB589843 OCX589826:OCX589843 OMT589826:OMT589843 OWP589826:OWP589843 PGL589826:PGL589843 PQH589826:PQH589843 QAD589826:QAD589843 QJZ589826:QJZ589843 QTV589826:QTV589843 RDR589826:RDR589843 RNN589826:RNN589843 RXJ589826:RXJ589843 SHF589826:SHF589843 SRB589826:SRB589843 TAX589826:TAX589843 TKT589826:TKT589843 TUP589826:TUP589843 UEL589826:UEL589843 UOH589826:UOH589843 UYD589826:UYD589843 VHZ589826:VHZ589843 VRV589826:VRV589843 WBR589826:WBR589843 WLN589826:WLN589843 WVJ589826:WVJ589843 B655362:B655379 IX655362:IX655379 ST655362:ST655379 ACP655362:ACP655379 AML655362:AML655379 AWH655362:AWH655379 BGD655362:BGD655379 BPZ655362:BPZ655379 BZV655362:BZV655379 CJR655362:CJR655379 CTN655362:CTN655379 DDJ655362:DDJ655379 DNF655362:DNF655379 DXB655362:DXB655379 EGX655362:EGX655379 EQT655362:EQT655379 FAP655362:FAP655379 FKL655362:FKL655379 FUH655362:FUH655379 GED655362:GED655379 GNZ655362:GNZ655379 GXV655362:GXV655379 HHR655362:HHR655379 HRN655362:HRN655379 IBJ655362:IBJ655379 ILF655362:ILF655379 IVB655362:IVB655379 JEX655362:JEX655379 JOT655362:JOT655379 JYP655362:JYP655379 KIL655362:KIL655379 KSH655362:KSH655379 LCD655362:LCD655379 LLZ655362:LLZ655379 LVV655362:LVV655379 MFR655362:MFR655379 MPN655362:MPN655379 MZJ655362:MZJ655379 NJF655362:NJF655379 NTB655362:NTB655379 OCX655362:OCX655379 OMT655362:OMT655379 OWP655362:OWP655379 PGL655362:PGL655379 PQH655362:PQH655379 QAD655362:QAD655379 QJZ655362:QJZ655379 QTV655362:QTV655379 RDR655362:RDR655379 RNN655362:RNN655379 RXJ655362:RXJ655379 SHF655362:SHF655379 SRB655362:SRB655379 TAX655362:TAX655379 TKT655362:TKT655379 TUP655362:TUP655379 UEL655362:UEL655379 UOH655362:UOH655379 UYD655362:UYD655379 VHZ655362:VHZ655379 VRV655362:VRV655379 WBR655362:WBR655379 WLN655362:WLN655379 WVJ655362:WVJ655379 B720898:B720915 IX720898:IX720915 ST720898:ST720915 ACP720898:ACP720915 AML720898:AML720915 AWH720898:AWH720915 BGD720898:BGD720915 BPZ720898:BPZ720915 BZV720898:BZV720915 CJR720898:CJR720915 CTN720898:CTN720915 DDJ720898:DDJ720915 DNF720898:DNF720915 DXB720898:DXB720915 EGX720898:EGX720915 EQT720898:EQT720915 FAP720898:FAP720915 FKL720898:FKL720915 FUH720898:FUH720915 GED720898:GED720915 GNZ720898:GNZ720915 GXV720898:GXV720915 HHR720898:HHR720915 HRN720898:HRN720915 IBJ720898:IBJ720915 ILF720898:ILF720915 IVB720898:IVB720915 JEX720898:JEX720915 JOT720898:JOT720915 JYP720898:JYP720915 KIL720898:KIL720915 KSH720898:KSH720915 LCD720898:LCD720915 LLZ720898:LLZ720915 LVV720898:LVV720915 MFR720898:MFR720915 MPN720898:MPN720915 MZJ720898:MZJ720915 NJF720898:NJF720915 NTB720898:NTB720915 OCX720898:OCX720915 OMT720898:OMT720915 OWP720898:OWP720915 PGL720898:PGL720915 PQH720898:PQH720915 QAD720898:QAD720915 QJZ720898:QJZ720915 QTV720898:QTV720915 RDR720898:RDR720915 RNN720898:RNN720915 RXJ720898:RXJ720915 SHF720898:SHF720915 SRB720898:SRB720915 TAX720898:TAX720915 TKT720898:TKT720915 TUP720898:TUP720915 UEL720898:UEL720915 UOH720898:UOH720915 UYD720898:UYD720915 VHZ720898:VHZ720915 VRV720898:VRV720915 WBR720898:WBR720915 WLN720898:WLN720915 WVJ720898:WVJ720915 B786434:B786451 IX786434:IX786451 ST786434:ST786451 ACP786434:ACP786451 AML786434:AML786451 AWH786434:AWH786451 BGD786434:BGD786451 BPZ786434:BPZ786451 BZV786434:BZV786451 CJR786434:CJR786451 CTN786434:CTN786451 DDJ786434:DDJ786451 DNF786434:DNF786451 DXB786434:DXB786451 EGX786434:EGX786451 EQT786434:EQT786451 FAP786434:FAP786451 FKL786434:FKL786451 FUH786434:FUH786451 GED786434:GED786451 GNZ786434:GNZ786451 GXV786434:GXV786451 HHR786434:HHR786451 HRN786434:HRN786451 IBJ786434:IBJ786451 ILF786434:ILF786451 IVB786434:IVB786451 JEX786434:JEX786451 JOT786434:JOT786451 JYP786434:JYP786451 KIL786434:KIL786451 KSH786434:KSH786451 LCD786434:LCD786451 LLZ786434:LLZ786451 LVV786434:LVV786451 MFR786434:MFR786451 MPN786434:MPN786451 MZJ786434:MZJ786451 NJF786434:NJF786451 NTB786434:NTB786451 OCX786434:OCX786451 OMT786434:OMT786451 OWP786434:OWP786451 PGL786434:PGL786451 PQH786434:PQH786451 QAD786434:QAD786451 QJZ786434:QJZ786451 QTV786434:QTV786451 RDR786434:RDR786451 RNN786434:RNN786451 RXJ786434:RXJ786451 SHF786434:SHF786451 SRB786434:SRB786451 TAX786434:TAX786451 TKT786434:TKT786451 TUP786434:TUP786451 UEL786434:UEL786451 UOH786434:UOH786451 UYD786434:UYD786451 VHZ786434:VHZ786451 VRV786434:VRV786451 WBR786434:WBR786451 WLN786434:WLN786451 WVJ786434:WVJ786451 B851970:B851987 IX851970:IX851987 ST851970:ST851987 ACP851970:ACP851987 AML851970:AML851987 AWH851970:AWH851987 BGD851970:BGD851987 BPZ851970:BPZ851987 BZV851970:BZV851987 CJR851970:CJR851987 CTN851970:CTN851987 DDJ851970:DDJ851987 DNF851970:DNF851987 DXB851970:DXB851987 EGX851970:EGX851987 EQT851970:EQT851987 FAP851970:FAP851987 FKL851970:FKL851987 FUH851970:FUH851987 GED851970:GED851987 GNZ851970:GNZ851987 GXV851970:GXV851987 HHR851970:HHR851987 HRN851970:HRN851987 IBJ851970:IBJ851987 ILF851970:ILF851987 IVB851970:IVB851987 JEX851970:JEX851987 JOT851970:JOT851987 JYP851970:JYP851987 KIL851970:KIL851987 KSH851970:KSH851987 LCD851970:LCD851987 LLZ851970:LLZ851987 LVV851970:LVV851987 MFR851970:MFR851987 MPN851970:MPN851987 MZJ851970:MZJ851987 NJF851970:NJF851987 NTB851970:NTB851987 OCX851970:OCX851987 OMT851970:OMT851987 OWP851970:OWP851987 PGL851970:PGL851987 PQH851970:PQH851987 QAD851970:QAD851987 QJZ851970:QJZ851987 QTV851970:QTV851987 RDR851970:RDR851987 RNN851970:RNN851987 RXJ851970:RXJ851987 SHF851970:SHF851987 SRB851970:SRB851987 TAX851970:TAX851987 TKT851970:TKT851987 TUP851970:TUP851987 UEL851970:UEL851987 UOH851970:UOH851987 UYD851970:UYD851987 VHZ851970:VHZ851987 VRV851970:VRV851987 WBR851970:WBR851987 WLN851970:WLN851987 WVJ851970:WVJ851987 B917506:B917523 IX917506:IX917523 ST917506:ST917523 ACP917506:ACP917523 AML917506:AML917523 AWH917506:AWH917523 BGD917506:BGD917523 BPZ917506:BPZ917523 BZV917506:BZV917523 CJR917506:CJR917523 CTN917506:CTN917523 DDJ917506:DDJ917523 DNF917506:DNF917523 DXB917506:DXB917523 EGX917506:EGX917523 EQT917506:EQT917523 FAP917506:FAP917523 FKL917506:FKL917523 FUH917506:FUH917523 GED917506:GED917523 GNZ917506:GNZ917523 GXV917506:GXV917523 HHR917506:HHR917523 HRN917506:HRN917523 IBJ917506:IBJ917523 ILF917506:ILF917523 IVB917506:IVB917523 JEX917506:JEX917523 JOT917506:JOT917523 JYP917506:JYP917523 KIL917506:KIL917523 KSH917506:KSH917523 LCD917506:LCD917523 LLZ917506:LLZ917523 LVV917506:LVV917523 MFR917506:MFR917523 MPN917506:MPN917523 MZJ917506:MZJ917523 NJF917506:NJF917523 NTB917506:NTB917523 OCX917506:OCX917523 OMT917506:OMT917523 OWP917506:OWP917523 PGL917506:PGL917523 PQH917506:PQH917523 QAD917506:QAD917523 QJZ917506:QJZ917523 QTV917506:QTV917523 RDR917506:RDR917523 RNN917506:RNN917523 RXJ917506:RXJ917523 SHF917506:SHF917523 SRB917506:SRB917523 TAX917506:TAX917523 TKT917506:TKT917523 TUP917506:TUP917523 UEL917506:UEL917523 UOH917506:UOH917523 UYD917506:UYD917523 VHZ917506:VHZ917523 VRV917506:VRV917523 WBR917506:WBR917523 WLN917506:WLN917523 WVJ917506:WVJ917523" xr:uid="{00000000-0002-0000-3400-000000000000}">
      <formula1>trung</formula1>
    </dataValidation>
  </dataValidation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358"/>
  <sheetViews>
    <sheetView topLeftCell="A11" workbookViewId="0">
      <selection activeCell="A35" sqref="A35:D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2279</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2280</v>
      </c>
      <c r="C13" s="425"/>
      <c r="D13" s="425"/>
      <c r="E13" s="425"/>
      <c r="F13" s="425"/>
      <c r="G13" s="73">
        <f>G14</f>
        <v>14160000</v>
      </c>
      <c r="H13" s="74"/>
    </row>
    <row r="14" spans="1:8" s="131" customFormat="1" ht="40.5" customHeight="1">
      <c r="A14" s="123"/>
      <c r="B14" s="124" t="s">
        <v>1757</v>
      </c>
      <c r="C14" s="125" t="s">
        <v>1753</v>
      </c>
      <c r="D14" s="126">
        <v>1.2</v>
      </c>
      <c r="E14" s="127">
        <v>11800000</v>
      </c>
      <c r="F14" s="128">
        <v>1</v>
      </c>
      <c r="G14" s="129">
        <f>D14*E14*F14</f>
        <v>14160000</v>
      </c>
      <c r="H14" s="130"/>
    </row>
    <row r="15" spans="1:8" ht="27" customHeight="1">
      <c r="A15" s="75" t="s">
        <v>18</v>
      </c>
      <c r="B15" s="426" t="s">
        <v>1725</v>
      </c>
      <c r="C15" s="426"/>
      <c r="D15" s="426"/>
      <c r="E15" s="426"/>
      <c r="F15" s="426"/>
      <c r="G15" s="76">
        <f>SUM(G17:G17)</f>
        <v>1637569.01</v>
      </c>
      <c r="H15" s="11"/>
    </row>
    <row r="16" spans="1:8" ht="15.6">
      <c r="A16" s="77">
        <v>1</v>
      </c>
      <c r="B16" s="78" t="s">
        <v>2195</v>
      </c>
      <c r="C16" s="14"/>
      <c r="D16" s="132"/>
      <c r="E16" s="15"/>
      <c r="F16" s="14"/>
      <c r="G16" s="79"/>
      <c r="H16" s="15"/>
    </row>
    <row r="17" spans="1:8" ht="31.2">
      <c r="A17" s="77"/>
      <c r="B17" s="78" t="s">
        <v>2281</v>
      </c>
      <c r="C17" s="14" t="s">
        <v>1754</v>
      </c>
      <c r="D17" s="132">
        <f>(5*0.7*0.11)*2</f>
        <v>0.77</v>
      </c>
      <c r="E17" s="15">
        <v>2126713</v>
      </c>
      <c r="F17" s="14">
        <v>1</v>
      </c>
      <c r="G17" s="79">
        <f t="shared" ref="G17" si="0">D17*E17*F17</f>
        <v>1637569.01</v>
      </c>
      <c r="H17" s="15"/>
    </row>
    <row r="18" spans="1:8" ht="24" customHeight="1">
      <c r="A18" s="75" t="s">
        <v>19</v>
      </c>
      <c r="B18" s="426" t="s">
        <v>1727</v>
      </c>
      <c r="C18" s="426"/>
      <c r="D18" s="426"/>
      <c r="E18" s="426"/>
      <c r="F18" s="426"/>
      <c r="G18" s="76">
        <f>SUM(G19:G20)</f>
        <v>113000</v>
      </c>
      <c r="H18" s="11"/>
    </row>
    <row r="19" spans="1:8" s="12" customFormat="1" ht="46.8">
      <c r="A19" s="94">
        <v>1</v>
      </c>
      <c r="B19" s="47" t="s">
        <v>1166</v>
      </c>
      <c r="C19" s="14" t="s">
        <v>1724</v>
      </c>
      <c r="D19" s="14">
        <v>1</v>
      </c>
      <c r="E19" s="79" t="str">
        <f>VLOOKUP(B19,'[20]Đơn giá cây cối'!$A$2:$C$1361,3,0)</f>
        <v>100.000</v>
      </c>
      <c r="F19" s="14">
        <v>1</v>
      </c>
      <c r="G19" s="79">
        <f>D19*E19*F19</f>
        <v>100000</v>
      </c>
      <c r="H19" s="95"/>
    </row>
    <row r="20" spans="1:8" s="12" customFormat="1" ht="34.200000000000003" customHeight="1">
      <c r="A20" s="94">
        <v>2</v>
      </c>
      <c r="B20" s="47" t="s">
        <v>85</v>
      </c>
      <c r="C20" s="14" t="s">
        <v>66</v>
      </c>
      <c r="D20" s="14">
        <v>1</v>
      </c>
      <c r="E20" s="79">
        <f>VLOOKUP(B20,'[20]Đơn giá cây cối'!$A$2:$C$1361,3,0)</f>
        <v>13000</v>
      </c>
      <c r="F20" s="14">
        <v>1</v>
      </c>
      <c r="G20" s="79">
        <f>D20*E20*F20</f>
        <v>13000</v>
      </c>
      <c r="H20" s="95"/>
    </row>
    <row r="21" spans="1:8" ht="15.6">
      <c r="A21" s="80"/>
      <c r="B21" s="427" t="s">
        <v>62</v>
      </c>
      <c r="C21" s="428"/>
      <c r="D21" s="428"/>
      <c r="E21" s="428"/>
      <c r="F21" s="429"/>
      <c r="G21" s="81">
        <f>G13+G15+G18</f>
        <v>15910569.01</v>
      </c>
      <c r="H21" s="82"/>
    </row>
    <row r="22" spans="1:8" ht="15.6">
      <c r="A22" s="80"/>
      <c r="B22" s="427" t="s">
        <v>1726</v>
      </c>
      <c r="C22" s="428"/>
      <c r="D22" s="428"/>
      <c r="E22" s="428"/>
      <c r="F22" s="429"/>
      <c r="G22" s="81">
        <f>ROUND(G21,-3)</f>
        <v>15911000</v>
      </c>
      <c r="H22" s="82"/>
    </row>
    <row r="23" spans="1:8" ht="15.6">
      <c r="A23" s="430" t="e">
        <f ca="1">[19]!vnd(G22)</f>
        <v>#NAME?</v>
      </c>
      <c r="B23" s="431"/>
      <c r="C23" s="431"/>
      <c r="D23" s="431"/>
      <c r="E23" s="431"/>
      <c r="F23" s="431"/>
      <c r="G23" s="431"/>
      <c r="H23" s="432"/>
    </row>
    <row r="24" spans="1:8">
      <c r="A24" s="17"/>
      <c r="B24" s="17"/>
      <c r="C24" s="97"/>
      <c r="D24" s="20"/>
      <c r="E24" s="19"/>
      <c r="F24" s="97"/>
      <c r="G24" s="19"/>
      <c r="H24" s="17"/>
    </row>
    <row r="25" spans="1:8" s="109" customFormat="1" ht="16.5" customHeight="1">
      <c r="A25" s="108"/>
      <c r="B25" s="108"/>
      <c r="C25" s="424" t="s">
        <v>1742</v>
      </c>
      <c r="D25" s="424"/>
      <c r="E25" s="424"/>
      <c r="F25" s="424"/>
      <c r="G25" s="424"/>
      <c r="H25" s="424"/>
    </row>
    <row r="26" spans="1:8" s="109" customFormat="1" ht="16.5" customHeight="1">
      <c r="A26" s="423" t="s">
        <v>63</v>
      </c>
      <c r="B26" s="423"/>
      <c r="C26" s="424" t="s">
        <v>1743</v>
      </c>
      <c r="D26" s="424"/>
      <c r="E26" s="424"/>
      <c r="F26" s="424" t="s">
        <v>1744</v>
      </c>
      <c r="G26" s="424"/>
      <c r="H26" s="424"/>
    </row>
    <row r="27" spans="1:8" s="109" customFormat="1" ht="15.6">
      <c r="A27" s="108"/>
      <c r="B27" s="108"/>
      <c r="C27" s="108"/>
      <c r="D27" s="110"/>
      <c r="E27" s="111"/>
      <c r="F27" s="112"/>
      <c r="G27" s="111"/>
      <c r="H27" s="113"/>
    </row>
    <row r="28" spans="1:8" s="109" customFormat="1" ht="15.6">
      <c r="A28" s="108"/>
      <c r="B28" s="108"/>
      <c r="C28" s="108"/>
      <c r="D28" s="110"/>
      <c r="E28" s="111"/>
      <c r="F28" s="112"/>
      <c r="G28" s="114"/>
      <c r="H28" s="113"/>
    </row>
    <row r="29" spans="1:8" s="109" customFormat="1" ht="15.6">
      <c r="A29" s="108"/>
      <c r="B29" s="108"/>
      <c r="C29" s="108"/>
      <c r="D29" s="110"/>
      <c r="E29" s="111"/>
      <c r="F29" s="112"/>
      <c r="G29" s="111"/>
      <c r="H29" s="113"/>
    </row>
    <row r="30" spans="1:8" s="109" customFormat="1" ht="15.6">
      <c r="A30" s="108"/>
      <c r="B30" s="108"/>
      <c r="C30" s="108"/>
      <c r="D30" s="110"/>
      <c r="E30" s="111"/>
      <c r="F30" s="112"/>
      <c r="G30" s="111"/>
      <c r="H30" s="113"/>
    </row>
    <row r="31" spans="1:8" s="109" customFormat="1" ht="15.6">
      <c r="A31" s="108"/>
      <c r="B31" s="108"/>
      <c r="C31" s="108"/>
      <c r="D31" s="110"/>
      <c r="E31" s="111"/>
      <c r="F31" s="112"/>
      <c r="G31" s="111"/>
      <c r="H31" s="113"/>
    </row>
    <row r="32" spans="1:8" s="109" customFormat="1" ht="16.5" customHeight="1">
      <c r="A32" s="108"/>
      <c r="B32" s="198" t="s">
        <v>64</v>
      </c>
      <c r="C32" s="424"/>
      <c r="D32" s="424"/>
      <c r="E32" s="424"/>
      <c r="F32" s="424" t="s">
        <v>1745</v>
      </c>
      <c r="G32" s="424"/>
      <c r="H32" s="424"/>
    </row>
    <row r="33" spans="1:8" s="109" customFormat="1" ht="15.6">
      <c r="A33" s="108"/>
      <c r="B33" s="198"/>
      <c r="C33" s="199"/>
      <c r="D33" s="199"/>
      <c r="E33" s="199"/>
      <c r="F33" s="199"/>
      <c r="G33" s="199"/>
      <c r="H33" s="199"/>
    </row>
    <row r="34" spans="1:8" s="109" customFormat="1" ht="15" customHeight="1">
      <c r="A34" s="424" t="s">
        <v>1746</v>
      </c>
      <c r="B34" s="424"/>
      <c r="C34" s="424"/>
      <c r="D34" s="424"/>
      <c r="E34" s="424" t="s">
        <v>1747</v>
      </c>
      <c r="F34" s="424"/>
      <c r="G34" s="424"/>
      <c r="H34" s="424"/>
    </row>
    <row r="35" spans="1:8" s="109" customFormat="1" ht="33.6" customHeight="1">
      <c r="A35" s="424" t="s">
        <v>1748</v>
      </c>
      <c r="B35" s="424"/>
      <c r="C35" s="424"/>
      <c r="D35" s="424"/>
      <c r="E35" s="424" t="s">
        <v>65</v>
      </c>
      <c r="F35" s="424"/>
      <c r="G35" s="424"/>
      <c r="H35" s="424"/>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5.6" customHeight="1">
      <c r="A41" s="108"/>
      <c r="B41" s="108"/>
      <c r="C41" s="108"/>
      <c r="D41" s="115"/>
      <c r="E41" s="439" t="s">
        <v>1749</v>
      </c>
      <c r="F41" s="439"/>
      <c r="G41" s="439"/>
      <c r="H41" s="439"/>
    </row>
    <row r="42" spans="1:8" s="109" customFormat="1" ht="16.5" customHeight="1">
      <c r="A42" s="424" t="s">
        <v>1751</v>
      </c>
      <c r="B42" s="424"/>
      <c r="C42" s="424"/>
      <c r="D42" s="424"/>
      <c r="E42" s="424" t="s">
        <v>1750</v>
      </c>
      <c r="F42" s="424"/>
      <c r="G42" s="424"/>
      <c r="H42" s="424"/>
    </row>
    <row r="43" spans="1:8" s="118" customFormat="1" ht="16.2" customHeight="1">
      <c r="A43" s="440"/>
      <c r="B43" s="440"/>
      <c r="C43" s="116"/>
      <c r="D43" s="117"/>
      <c r="E43" s="440"/>
      <c r="F43" s="440"/>
      <c r="G43" s="440"/>
      <c r="H43" s="440"/>
    </row>
    <row r="44" spans="1:8" s="118" customFormat="1" ht="15.75" customHeight="1">
      <c r="A44" s="440"/>
      <c r="B44" s="440"/>
      <c r="C44" s="440"/>
      <c r="D44" s="440"/>
      <c r="E44" s="440"/>
      <c r="F44" s="440"/>
      <c r="G44" s="440"/>
      <c r="H44" s="440"/>
    </row>
    <row r="45" spans="1:8" s="98" customFormat="1" ht="16.2" customHeight="1">
      <c r="A45" s="436"/>
      <c r="B45" s="436"/>
      <c r="C45" s="436"/>
      <c r="D45" s="436"/>
      <c r="E45" s="119"/>
      <c r="F45" s="120"/>
      <c r="G45" s="119"/>
      <c r="H45" s="121"/>
    </row>
    <row r="46" spans="1:8" s="98" customFormat="1" ht="16.2" customHeight="1">
      <c r="A46" s="436"/>
      <c r="B46" s="436"/>
      <c r="C46" s="436"/>
      <c r="D46" s="436"/>
      <c r="E46" s="119"/>
      <c r="F46" s="120"/>
      <c r="G46" s="119"/>
      <c r="H46" s="121"/>
    </row>
    <row r="47" spans="1:8" s="98" customFormat="1" ht="16.2" customHeight="1">
      <c r="A47" s="121"/>
      <c r="B47" s="121"/>
      <c r="C47" s="121"/>
      <c r="D47" s="122"/>
      <c r="E47" s="119"/>
      <c r="F47" s="120"/>
      <c r="G47" s="119"/>
      <c r="H47" s="121"/>
    </row>
    <row r="48" spans="1:8" ht="16.2" customHeight="1">
      <c r="A48" s="83"/>
      <c r="B48" s="83"/>
      <c r="C48" s="83"/>
      <c r="D48" s="84"/>
      <c r="E48" s="85"/>
      <c r="F48" s="86"/>
      <c r="G48" s="85"/>
      <c r="H48" s="83"/>
    </row>
    <row r="49" spans="1:8" ht="16.2" customHeight="1">
      <c r="A49" s="83"/>
      <c r="B49" s="83"/>
      <c r="C49" s="83"/>
      <c r="D49" s="84"/>
      <c r="E49" s="85"/>
      <c r="F49" s="86"/>
      <c r="G49" s="85"/>
      <c r="H49" s="83"/>
    </row>
    <row r="50" spans="1:8" ht="16.2" customHeight="1">
      <c r="A50" s="83"/>
      <c r="B50" s="83"/>
      <c r="C50" s="83"/>
      <c r="D50" s="84"/>
      <c r="E50" s="85"/>
      <c r="F50" s="86"/>
      <c r="G50" s="85"/>
      <c r="H50" s="83"/>
    </row>
    <row r="51" spans="1:8" ht="16.2" customHeight="1">
      <c r="A51" s="83"/>
      <c r="B51" s="83"/>
      <c r="C51" s="83"/>
      <c r="D51" s="84"/>
      <c r="E51" s="437"/>
      <c r="F51" s="437"/>
      <c r="G51" s="437"/>
      <c r="H51" s="437"/>
    </row>
    <row r="52" spans="1:8" ht="20.25" customHeight="1">
      <c r="A52" s="438"/>
      <c r="B52" s="438"/>
      <c r="C52" s="438"/>
      <c r="D52" s="438"/>
      <c r="E52" s="438"/>
      <c r="F52" s="438"/>
      <c r="G52" s="438"/>
      <c r="H52" s="438"/>
    </row>
    <row r="53" spans="1:8" s="17" customFormat="1" ht="16.2" customHeight="1">
      <c r="D53" s="18"/>
      <c r="E53" s="19"/>
      <c r="F53" s="97"/>
      <c r="G53" s="19"/>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C69" s="97"/>
      <c r="D69" s="20"/>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ht="16.2" customHeight="1"/>
    <row r="82" ht="16.2" customHeight="1"/>
    <row r="83" ht="16.2" customHeight="1"/>
    <row r="84" ht="16.2" customHeight="1"/>
    <row r="85" ht="16.2" customHeight="1"/>
    <row r="86" ht="16.2" customHeight="1"/>
    <row r="87" ht="16.2" customHeight="1"/>
    <row r="88" ht="16.2" customHeight="1"/>
    <row r="89" ht="16.2" customHeight="1"/>
    <row r="90" ht="16.2" customHeight="1"/>
    <row r="91" ht="16.2" customHeight="1"/>
    <row r="92" ht="16.2" customHeight="1"/>
    <row r="93" ht="16.2" customHeight="1"/>
    <row r="94" ht="16.2" customHeight="1"/>
    <row r="95" ht="16.2" customHeight="1"/>
    <row r="96"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row r="228"/>
    <row r="229"/>
    <row r="230"/>
    <row r="231"/>
    <row r="232"/>
    <row r="233"/>
    <row r="234"/>
    <row r="235"/>
    <row r="236"/>
    <row r="237"/>
    <row r="238"/>
    <row r="239"/>
    <row r="240"/>
    <row r="241"/>
    <row r="242"/>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sheetData>
  <mergeCells count="40">
    <mergeCell ref="A4:B4"/>
    <mergeCell ref="C4:H4"/>
    <mergeCell ref="A1:B1"/>
    <mergeCell ref="C1:H1"/>
    <mergeCell ref="A2:B2"/>
    <mergeCell ref="C2:H2"/>
    <mergeCell ref="A3:B3"/>
    <mergeCell ref="A23:H23"/>
    <mergeCell ref="A6:H6"/>
    <mergeCell ref="A7:H7"/>
    <mergeCell ref="A8:H8"/>
    <mergeCell ref="A9:H9"/>
    <mergeCell ref="A10:H10"/>
    <mergeCell ref="A11:H11"/>
    <mergeCell ref="B13:F13"/>
    <mergeCell ref="B15:F15"/>
    <mergeCell ref="B18:F18"/>
    <mergeCell ref="B21:F21"/>
    <mergeCell ref="B22:F22"/>
    <mergeCell ref="A42:D42"/>
    <mergeCell ref="E42:H42"/>
    <mergeCell ref="C25:H25"/>
    <mergeCell ref="A26:B26"/>
    <mergeCell ref="C26:E26"/>
    <mergeCell ref="F26:H26"/>
    <mergeCell ref="C32:E32"/>
    <mergeCell ref="F32:H32"/>
    <mergeCell ref="A34:D34"/>
    <mergeCell ref="E34:H34"/>
    <mergeCell ref="A35:D35"/>
    <mergeCell ref="E35:H35"/>
    <mergeCell ref="E41:H41"/>
    <mergeCell ref="E51:H51"/>
    <mergeCell ref="A52:H52"/>
    <mergeCell ref="A43:B43"/>
    <mergeCell ref="E43:H43"/>
    <mergeCell ref="A44:D44"/>
    <mergeCell ref="E44:H44"/>
    <mergeCell ref="A45:D45"/>
    <mergeCell ref="A46:D46"/>
  </mergeCells>
  <dataValidations count="2">
    <dataValidation type="list" allowBlank="1" showInputMessage="1" showErrorMessage="1" sqref="WVJ983044:WVJ983061 B983044:B983061 IX983044:IX983061 ST983044:ST983061 ACP983044:ACP983061 AML983044:AML983061 AWH983044:AWH983061 BGD983044:BGD983061 BPZ983044:BPZ983061 BZV983044:BZV983061 CJR983044:CJR983061 CTN983044:CTN983061 DDJ983044:DDJ983061 DNF983044:DNF983061 DXB983044:DXB983061 EGX983044:EGX983061 EQT983044:EQT983061 FAP983044:FAP983061 FKL983044:FKL983061 FUH983044:FUH983061 GED983044:GED983061 GNZ983044:GNZ983061 GXV983044:GXV983061 HHR983044:HHR983061 HRN983044:HRN983061 IBJ983044:IBJ983061 ILF983044:ILF983061 IVB983044:IVB983061 JEX983044:JEX983061 JOT983044:JOT983061 JYP983044:JYP983061 KIL983044:KIL983061 KSH983044:KSH983061 LCD983044:LCD983061 LLZ983044:LLZ983061 LVV983044:LVV983061 MFR983044:MFR983061 MPN983044:MPN983061 MZJ983044:MZJ983061 NJF983044:NJF983061 NTB983044:NTB983061 OCX983044:OCX983061 OMT983044:OMT983061 OWP983044:OWP983061 PGL983044:PGL983061 PQH983044:PQH983061 QAD983044:QAD983061 QJZ983044:QJZ983061 QTV983044:QTV983061 RDR983044:RDR983061 RNN983044:RNN983061 RXJ983044:RXJ983061 SHF983044:SHF983061 SRB983044:SRB983061 TAX983044:TAX983061 TKT983044:TKT983061 TUP983044:TUP983061 UEL983044:UEL983061 UOH983044:UOH983061 UYD983044:UYD983061 VHZ983044:VHZ983061 VRV983044:VRV983061 WBR983044:WBR983061 WLN983044:WLN983061 B65540:B65557 IX65540:IX65557 ST65540:ST65557 ACP65540:ACP65557 AML65540:AML65557 AWH65540:AWH65557 BGD65540:BGD65557 BPZ65540:BPZ65557 BZV65540:BZV65557 CJR65540:CJR65557 CTN65540:CTN65557 DDJ65540:DDJ65557 DNF65540:DNF65557 DXB65540:DXB65557 EGX65540:EGX65557 EQT65540:EQT65557 FAP65540:FAP65557 FKL65540:FKL65557 FUH65540:FUH65557 GED65540:GED65557 GNZ65540:GNZ65557 GXV65540:GXV65557 HHR65540:HHR65557 HRN65540:HRN65557 IBJ65540:IBJ65557 ILF65540:ILF65557 IVB65540:IVB65557 JEX65540:JEX65557 JOT65540:JOT65557 JYP65540:JYP65557 KIL65540:KIL65557 KSH65540:KSH65557 LCD65540:LCD65557 LLZ65540:LLZ65557 LVV65540:LVV65557 MFR65540:MFR65557 MPN65540:MPN65557 MZJ65540:MZJ65557 NJF65540:NJF65557 NTB65540:NTB65557 OCX65540:OCX65557 OMT65540:OMT65557 OWP65540:OWP65557 PGL65540:PGL65557 PQH65540:PQH65557 QAD65540:QAD65557 QJZ65540:QJZ65557 QTV65540:QTV65557 RDR65540:RDR65557 RNN65540:RNN65557 RXJ65540:RXJ65557 SHF65540:SHF65557 SRB65540:SRB65557 TAX65540:TAX65557 TKT65540:TKT65557 TUP65540:TUP65557 UEL65540:UEL65557 UOH65540:UOH65557 UYD65540:UYD65557 VHZ65540:VHZ65557 VRV65540:VRV65557 WBR65540:WBR65557 WLN65540:WLN65557 WVJ65540:WVJ65557 B131076:B131093 IX131076:IX131093 ST131076:ST131093 ACP131076:ACP131093 AML131076:AML131093 AWH131076:AWH131093 BGD131076:BGD131093 BPZ131076:BPZ131093 BZV131076:BZV131093 CJR131076:CJR131093 CTN131076:CTN131093 DDJ131076:DDJ131093 DNF131076:DNF131093 DXB131076:DXB131093 EGX131076:EGX131093 EQT131076:EQT131093 FAP131076:FAP131093 FKL131076:FKL131093 FUH131076:FUH131093 GED131076:GED131093 GNZ131076:GNZ131093 GXV131076:GXV131093 HHR131076:HHR131093 HRN131076:HRN131093 IBJ131076:IBJ131093 ILF131076:ILF131093 IVB131076:IVB131093 JEX131076:JEX131093 JOT131076:JOT131093 JYP131076:JYP131093 KIL131076:KIL131093 KSH131076:KSH131093 LCD131076:LCD131093 LLZ131076:LLZ131093 LVV131076:LVV131093 MFR131076:MFR131093 MPN131076:MPN131093 MZJ131076:MZJ131093 NJF131076:NJF131093 NTB131076:NTB131093 OCX131076:OCX131093 OMT131076:OMT131093 OWP131076:OWP131093 PGL131076:PGL131093 PQH131076:PQH131093 QAD131076:QAD131093 QJZ131076:QJZ131093 QTV131076:QTV131093 RDR131076:RDR131093 RNN131076:RNN131093 RXJ131076:RXJ131093 SHF131076:SHF131093 SRB131076:SRB131093 TAX131076:TAX131093 TKT131076:TKT131093 TUP131076:TUP131093 UEL131076:UEL131093 UOH131076:UOH131093 UYD131076:UYD131093 VHZ131076:VHZ131093 VRV131076:VRV131093 WBR131076:WBR131093 WLN131076:WLN131093 WVJ131076:WVJ131093 B196612:B196629 IX196612:IX196629 ST196612:ST196629 ACP196612:ACP196629 AML196612:AML196629 AWH196612:AWH196629 BGD196612:BGD196629 BPZ196612:BPZ196629 BZV196612:BZV196629 CJR196612:CJR196629 CTN196612:CTN196629 DDJ196612:DDJ196629 DNF196612:DNF196629 DXB196612:DXB196629 EGX196612:EGX196629 EQT196612:EQT196629 FAP196612:FAP196629 FKL196612:FKL196629 FUH196612:FUH196629 GED196612:GED196629 GNZ196612:GNZ196629 GXV196612:GXV196629 HHR196612:HHR196629 HRN196612:HRN196629 IBJ196612:IBJ196629 ILF196612:ILF196629 IVB196612:IVB196629 JEX196612:JEX196629 JOT196612:JOT196629 JYP196612:JYP196629 KIL196612:KIL196629 KSH196612:KSH196629 LCD196612:LCD196629 LLZ196612:LLZ196629 LVV196612:LVV196629 MFR196612:MFR196629 MPN196612:MPN196629 MZJ196612:MZJ196629 NJF196612:NJF196629 NTB196612:NTB196629 OCX196612:OCX196629 OMT196612:OMT196629 OWP196612:OWP196629 PGL196612:PGL196629 PQH196612:PQH196629 QAD196612:QAD196629 QJZ196612:QJZ196629 QTV196612:QTV196629 RDR196612:RDR196629 RNN196612:RNN196629 RXJ196612:RXJ196629 SHF196612:SHF196629 SRB196612:SRB196629 TAX196612:TAX196629 TKT196612:TKT196629 TUP196612:TUP196629 UEL196612:UEL196629 UOH196612:UOH196629 UYD196612:UYD196629 VHZ196612:VHZ196629 VRV196612:VRV196629 WBR196612:WBR196629 WLN196612:WLN196629 WVJ196612:WVJ196629 B262148:B262165 IX262148:IX262165 ST262148:ST262165 ACP262148:ACP262165 AML262148:AML262165 AWH262148:AWH262165 BGD262148:BGD262165 BPZ262148:BPZ262165 BZV262148:BZV262165 CJR262148:CJR262165 CTN262148:CTN262165 DDJ262148:DDJ262165 DNF262148:DNF262165 DXB262148:DXB262165 EGX262148:EGX262165 EQT262148:EQT262165 FAP262148:FAP262165 FKL262148:FKL262165 FUH262148:FUH262165 GED262148:GED262165 GNZ262148:GNZ262165 GXV262148:GXV262165 HHR262148:HHR262165 HRN262148:HRN262165 IBJ262148:IBJ262165 ILF262148:ILF262165 IVB262148:IVB262165 JEX262148:JEX262165 JOT262148:JOT262165 JYP262148:JYP262165 KIL262148:KIL262165 KSH262148:KSH262165 LCD262148:LCD262165 LLZ262148:LLZ262165 LVV262148:LVV262165 MFR262148:MFR262165 MPN262148:MPN262165 MZJ262148:MZJ262165 NJF262148:NJF262165 NTB262148:NTB262165 OCX262148:OCX262165 OMT262148:OMT262165 OWP262148:OWP262165 PGL262148:PGL262165 PQH262148:PQH262165 QAD262148:QAD262165 QJZ262148:QJZ262165 QTV262148:QTV262165 RDR262148:RDR262165 RNN262148:RNN262165 RXJ262148:RXJ262165 SHF262148:SHF262165 SRB262148:SRB262165 TAX262148:TAX262165 TKT262148:TKT262165 TUP262148:TUP262165 UEL262148:UEL262165 UOH262148:UOH262165 UYD262148:UYD262165 VHZ262148:VHZ262165 VRV262148:VRV262165 WBR262148:WBR262165 WLN262148:WLN262165 WVJ262148:WVJ262165 B327684:B327701 IX327684:IX327701 ST327684:ST327701 ACP327684:ACP327701 AML327684:AML327701 AWH327684:AWH327701 BGD327684:BGD327701 BPZ327684:BPZ327701 BZV327684:BZV327701 CJR327684:CJR327701 CTN327684:CTN327701 DDJ327684:DDJ327701 DNF327684:DNF327701 DXB327684:DXB327701 EGX327684:EGX327701 EQT327684:EQT327701 FAP327684:FAP327701 FKL327684:FKL327701 FUH327684:FUH327701 GED327684:GED327701 GNZ327684:GNZ327701 GXV327684:GXV327701 HHR327684:HHR327701 HRN327684:HRN327701 IBJ327684:IBJ327701 ILF327684:ILF327701 IVB327684:IVB327701 JEX327684:JEX327701 JOT327684:JOT327701 JYP327684:JYP327701 KIL327684:KIL327701 KSH327684:KSH327701 LCD327684:LCD327701 LLZ327684:LLZ327701 LVV327684:LVV327701 MFR327684:MFR327701 MPN327684:MPN327701 MZJ327684:MZJ327701 NJF327684:NJF327701 NTB327684:NTB327701 OCX327684:OCX327701 OMT327684:OMT327701 OWP327684:OWP327701 PGL327684:PGL327701 PQH327684:PQH327701 QAD327684:QAD327701 QJZ327684:QJZ327701 QTV327684:QTV327701 RDR327684:RDR327701 RNN327684:RNN327701 RXJ327684:RXJ327701 SHF327684:SHF327701 SRB327684:SRB327701 TAX327684:TAX327701 TKT327684:TKT327701 TUP327684:TUP327701 UEL327684:UEL327701 UOH327684:UOH327701 UYD327684:UYD327701 VHZ327684:VHZ327701 VRV327684:VRV327701 WBR327684:WBR327701 WLN327684:WLN327701 WVJ327684:WVJ327701 B393220:B393237 IX393220:IX393237 ST393220:ST393237 ACP393220:ACP393237 AML393220:AML393237 AWH393220:AWH393237 BGD393220:BGD393237 BPZ393220:BPZ393237 BZV393220:BZV393237 CJR393220:CJR393237 CTN393220:CTN393237 DDJ393220:DDJ393237 DNF393220:DNF393237 DXB393220:DXB393237 EGX393220:EGX393237 EQT393220:EQT393237 FAP393220:FAP393237 FKL393220:FKL393237 FUH393220:FUH393237 GED393220:GED393237 GNZ393220:GNZ393237 GXV393220:GXV393237 HHR393220:HHR393237 HRN393220:HRN393237 IBJ393220:IBJ393237 ILF393220:ILF393237 IVB393220:IVB393237 JEX393220:JEX393237 JOT393220:JOT393237 JYP393220:JYP393237 KIL393220:KIL393237 KSH393220:KSH393237 LCD393220:LCD393237 LLZ393220:LLZ393237 LVV393220:LVV393237 MFR393220:MFR393237 MPN393220:MPN393237 MZJ393220:MZJ393237 NJF393220:NJF393237 NTB393220:NTB393237 OCX393220:OCX393237 OMT393220:OMT393237 OWP393220:OWP393237 PGL393220:PGL393237 PQH393220:PQH393237 QAD393220:QAD393237 QJZ393220:QJZ393237 QTV393220:QTV393237 RDR393220:RDR393237 RNN393220:RNN393237 RXJ393220:RXJ393237 SHF393220:SHF393237 SRB393220:SRB393237 TAX393220:TAX393237 TKT393220:TKT393237 TUP393220:TUP393237 UEL393220:UEL393237 UOH393220:UOH393237 UYD393220:UYD393237 VHZ393220:VHZ393237 VRV393220:VRV393237 WBR393220:WBR393237 WLN393220:WLN393237 WVJ393220:WVJ393237 B458756:B458773 IX458756:IX458773 ST458756:ST458773 ACP458756:ACP458773 AML458756:AML458773 AWH458756:AWH458773 BGD458756:BGD458773 BPZ458756:BPZ458773 BZV458756:BZV458773 CJR458756:CJR458773 CTN458756:CTN458773 DDJ458756:DDJ458773 DNF458756:DNF458773 DXB458756:DXB458773 EGX458756:EGX458773 EQT458756:EQT458773 FAP458756:FAP458773 FKL458756:FKL458773 FUH458756:FUH458773 GED458756:GED458773 GNZ458756:GNZ458773 GXV458756:GXV458773 HHR458756:HHR458773 HRN458756:HRN458773 IBJ458756:IBJ458773 ILF458756:ILF458773 IVB458756:IVB458773 JEX458756:JEX458773 JOT458756:JOT458773 JYP458756:JYP458773 KIL458756:KIL458773 KSH458756:KSH458773 LCD458756:LCD458773 LLZ458756:LLZ458773 LVV458756:LVV458773 MFR458756:MFR458773 MPN458756:MPN458773 MZJ458756:MZJ458773 NJF458756:NJF458773 NTB458756:NTB458773 OCX458756:OCX458773 OMT458756:OMT458773 OWP458756:OWP458773 PGL458756:PGL458773 PQH458756:PQH458773 QAD458756:QAD458773 QJZ458756:QJZ458773 QTV458756:QTV458773 RDR458756:RDR458773 RNN458756:RNN458773 RXJ458756:RXJ458773 SHF458756:SHF458773 SRB458756:SRB458773 TAX458756:TAX458773 TKT458756:TKT458773 TUP458756:TUP458773 UEL458756:UEL458773 UOH458756:UOH458773 UYD458756:UYD458773 VHZ458756:VHZ458773 VRV458756:VRV458773 WBR458756:WBR458773 WLN458756:WLN458773 WVJ458756:WVJ458773 B524292:B524309 IX524292:IX524309 ST524292:ST524309 ACP524292:ACP524309 AML524292:AML524309 AWH524292:AWH524309 BGD524292:BGD524309 BPZ524292:BPZ524309 BZV524292:BZV524309 CJR524292:CJR524309 CTN524292:CTN524309 DDJ524292:DDJ524309 DNF524292:DNF524309 DXB524292:DXB524309 EGX524292:EGX524309 EQT524292:EQT524309 FAP524292:FAP524309 FKL524292:FKL524309 FUH524292:FUH524309 GED524292:GED524309 GNZ524292:GNZ524309 GXV524292:GXV524309 HHR524292:HHR524309 HRN524292:HRN524309 IBJ524292:IBJ524309 ILF524292:ILF524309 IVB524292:IVB524309 JEX524292:JEX524309 JOT524292:JOT524309 JYP524292:JYP524309 KIL524292:KIL524309 KSH524292:KSH524309 LCD524292:LCD524309 LLZ524292:LLZ524309 LVV524292:LVV524309 MFR524292:MFR524309 MPN524292:MPN524309 MZJ524292:MZJ524309 NJF524292:NJF524309 NTB524292:NTB524309 OCX524292:OCX524309 OMT524292:OMT524309 OWP524292:OWP524309 PGL524292:PGL524309 PQH524292:PQH524309 QAD524292:QAD524309 QJZ524292:QJZ524309 QTV524292:QTV524309 RDR524292:RDR524309 RNN524292:RNN524309 RXJ524292:RXJ524309 SHF524292:SHF524309 SRB524292:SRB524309 TAX524292:TAX524309 TKT524292:TKT524309 TUP524292:TUP524309 UEL524292:UEL524309 UOH524292:UOH524309 UYD524292:UYD524309 VHZ524292:VHZ524309 VRV524292:VRV524309 WBR524292:WBR524309 WLN524292:WLN524309 WVJ524292:WVJ524309 B589828:B589845 IX589828:IX589845 ST589828:ST589845 ACP589828:ACP589845 AML589828:AML589845 AWH589828:AWH589845 BGD589828:BGD589845 BPZ589828:BPZ589845 BZV589828:BZV589845 CJR589828:CJR589845 CTN589828:CTN589845 DDJ589828:DDJ589845 DNF589828:DNF589845 DXB589828:DXB589845 EGX589828:EGX589845 EQT589828:EQT589845 FAP589828:FAP589845 FKL589828:FKL589845 FUH589828:FUH589845 GED589828:GED589845 GNZ589828:GNZ589845 GXV589828:GXV589845 HHR589828:HHR589845 HRN589828:HRN589845 IBJ589828:IBJ589845 ILF589828:ILF589845 IVB589828:IVB589845 JEX589828:JEX589845 JOT589828:JOT589845 JYP589828:JYP589845 KIL589828:KIL589845 KSH589828:KSH589845 LCD589828:LCD589845 LLZ589828:LLZ589845 LVV589828:LVV589845 MFR589828:MFR589845 MPN589828:MPN589845 MZJ589828:MZJ589845 NJF589828:NJF589845 NTB589828:NTB589845 OCX589828:OCX589845 OMT589828:OMT589845 OWP589828:OWP589845 PGL589828:PGL589845 PQH589828:PQH589845 QAD589828:QAD589845 QJZ589828:QJZ589845 QTV589828:QTV589845 RDR589828:RDR589845 RNN589828:RNN589845 RXJ589828:RXJ589845 SHF589828:SHF589845 SRB589828:SRB589845 TAX589828:TAX589845 TKT589828:TKT589845 TUP589828:TUP589845 UEL589828:UEL589845 UOH589828:UOH589845 UYD589828:UYD589845 VHZ589828:VHZ589845 VRV589828:VRV589845 WBR589828:WBR589845 WLN589828:WLN589845 WVJ589828:WVJ589845 B655364:B655381 IX655364:IX655381 ST655364:ST655381 ACP655364:ACP655381 AML655364:AML655381 AWH655364:AWH655381 BGD655364:BGD655381 BPZ655364:BPZ655381 BZV655364:BZV655381 CJR655364:CJR655381 CTN655364:CTN655381 DDJ655364:DDJ655381 DNF655364:DNF655381 DXB655364:DXB655381 EGX655364:EGX655381 EQT655364:EQT655381 FAP655364:FAP655381 FKL655364:FKL655381 FUH655364:FUH655381 GED655364:GED655381 GNZ655364:GNZ655381 GXV655364:GXV655381 HHR655364:HHR655381 HRN655364:HRN655381 IBJ655364:IBJ655381 ILF655364:ILF655381 IVB655364:IVB655381 JEX655364:JEX655381 JOT655364:JOT655381 JYP655364:JYP655381 KIL655364:KIL655381 KSH655364:KSH655381 LCD655364:LCD655381 LLZ655364:LLZ655381 LVV655364:LVV655381 MFR655364:MFR655381 MPN655364:MPN655381 MZJ655364:MZJ655381 NJF655364:NJF655381 NTB655364:NTB655381 OCX655364:OCX655381 OMT655364:OMT655381 OWP655364:OWP655381 PGL655364:PGL655381 PQH655364:PQH655381 QAD655364:QAD655381 QJZ655364:QJZ655381 QTV655364:QTV655381 RDR655364:RDR655381 RNN655364:RNN655381 RXJ655364:RXJ655381 SHF655364:SHF655381 SRB655364:SRB655381 TAX655364:TAX655381 TKT655364:TKT655381 TUP655364:TUP655381 UEL655364:UEL655381 UOH655364:UOH655381 UYD655364:UYD655381 VHZ655364:VHZ655381 VRV655364:VRV655381 WBR655364:WBR655381 WLN655364:WLN655381 WVJ655364:WVJ655381 B720900:B720917 IX720900:IX720917 ST720900:ST720917 ACP720900:ACP720917 AML720900:AML720917 AWH720900:AWH720917 BGD720900:BGD720917 BPZ720900:BPZ720917 BZV720900:BZV720917 CJR720900:CJR720917 CTN720900:CTN720917 DDJ720900:DDJ720917 DNF720900:DNF720917 DXB720900:DXB720917 EGX720900:EGX720917 EQT720900:EQT720917 FAP720900:FAP720917 FKL720900:FKL720917 FUH720900:FUH720917 GED720900:GED720917 GNZ720900:GNZ720917 GXV720900:GXV720917 HHR720900:HHR720917 HRN720900:HRN720917 IBJ720900:IBJ720917 ILF720900:ILF720917 IVB720900:IVB720917 JEX720900:JEX720917 JOT720900:JOT720917 JYP720900:JYP720917 KIL720900:KIL720917 KSH720900:KSH720917 LCD720900:LCD720917 LLZ720900:LLZ720917 LVV720900:LVV720917 MFR720900:MFR720917 MPN720900:MPN720917 MZJ720900:MZJ720917 NJF720900:NJF720917 NTB720900:NTB720917 OCX720900:OCX720917 OMT720900:OMT720917 OWP720900:OWP720917 PGL720900:PGL720917 PQH720900:PQH720917 QAD720900:QAD720917 QJZ720900:QJZ720917 QTV720900:QTV720917 RDR720900:RDR720917 RNN720900:RNN720917 RXJ720900:RXJ720917 SHF720900:SHF720917 SRB720900:SRB720917 TAX720900:TAX720917 TKT720900:TKT720917 TUP720900:TUP720917 UEL720900:UEL720917 UOH720900:UOH720917 UYD720900:UYD720917 VHZ720900:VHZ720917 VRV720900:VRV720917 WBR720900:WBR720917 WLN720900:WLN720917 WVJ720900:WVJ720917 B786436:B786453 IX786436:IX786453 ST786436:ST786453 ACP786436:ACP786453 AML786436:AML786453 AWH786436:AWH786453 BGD786436:BGD786453 BPZ786436:BPZ786453 BZV786436:BZV786453 CJR786436:CJR786453 CTN786436:CTN786453 DDJ786436:DDJ786453 DNF786436:DNF786453 DXB786436:DXB786453 EGX786436:EGX786453 EQT786436:EQT786453 FAP786436:FAP786453 FKL786436:FKL786453 FUH786436:FUH786453 GED786436:GED786453 GNZ786436:GNZ786453 GXV786436:GXV786453 HHR786436:HHR786453 HRN786436:HRN786453 IBJ786436:IBJ786453 ILF786436:ILF786453 IVB786436:IVB786453 JEX786436:JEX786453 JOT786436:JOT786453 JYP786436:JYP786453 KIL786436:KIL786453 KSH786436:KSH786453 LCD786436:LCD786453 LLZ786436:LLZ786453 LVV786436:LVV786453 MFR786436:MFR786453 MPN786436:MPN786453 MZJ786436:MZJ786453 NJF786436:NJF786453 NTB786436:NTB786453 OCX786436:OCX786453 OMT786436:OMT786453 OWP786436:OWP786453 PGL786436:PGL786453 PQH786436:PQH786453 QAD786436:QAD786453 QJZ786436:QJZ786453 QTV786436:QTV786453 RDR786436:RDR786453 RNN786436:RNN786453 RXJ786436:RXJ786453 SHF786436:SHF786453 SRB786436:SRB786453 TAX786436:TAX786453 TKT786436:TKT786453 TUP786436:TUP786453 UEL786436:UEL786453 UOH786436:UOH786453 UYD786436:UYD786453 VHZ786436:VHZ786453 VRV786436:VRV786453 WBR786436:WBR786453 WLN786436:WLN786453 WVJ786436:WVJ786453 B851972:B851989 IX851972:IX851989 ST851972:ST851989 ACP851972:ACP851989 AML851972:AML851989 AWH851972:AWH851989 BGD851972:BGD851989 BPZ851972:BPZ851989 BZV851972:BZV851989 CJR851972:CJR851989 CTN851972:CTN851989 DDJ851972:DDJ851989 DNF851972:DNF851989 DXB851972:DXB851989 EGX851972:EGX851989 EQT851972:EQT851989 FAP851972:FAP851989 FKL851972:FKL851989 FUH851972:FUH851989 GED851972:GED851989 GNZ851972:GNZ851989 GXV851972:GXV851989 HHR851972:HHR851989 HRN851972:HRN851989 IBJ851972:IBJ851989 ILF851972:ILF851989 IVB851972:IVB851989 JEX851972:JEX851989 JOT851972:JOT851989 JYP851972:JYP851989 KIL851972:KIL851989 KSH851972:KSH851989 LCD851972:LCD851989 LLZ851972:LLZ851989 LVV851972:LVV851989 MFR851972:MFR851989 MPN851972:MPN851989 MZJ851972:MZJ851989 NJF851972:NJF851989 NTB851972:NTB851989 OCX851972:OCX851989 OMT851972:OMT851989 OWP851972:OWP851989 PGL851972:PGL851989 PQH851972:PQH851989 QAD851972:QAD851989 QJZ851972:QJZ851989 QTV851972:QTV851989 RDR851972:RDR851989 RNN851972:RNN851989 RXJ851972:RXJ851989 SHF851972:SHF851989 SRB851972:SRB851989 TAX851972:TAX851989 TKT851972:TKT851989 TUP851972:TUP851989 UEL851972:UEL851989 UOH851972:UOH851989 UYD851972:UYD851989 VHZ851972:VHZ851989 VRV851972:VRV851989 WBR851972:WBR851989 WLN851972:WLN851989 WVJ851972:WVJ851989 B917508:B917525 IX917508:IX917525 ST917508:ST917525 ACP917508:ACP917525 AML917508:AML917525 AWH917508:AWH917525 BGD917508:BGD917525 BPZ917508:BPZ917525 BZV917508:BZV917525 CJR917508:CJR917525 CTN917508:CTN917525 DDJ917508:DDJ917525 DNF917508:DNF917525 DXB917508:DXB917525 EGX917508:EGX917525 EQT917508:EQT917525 FAP917508:FAP917525 FKL917508:FKL917525 FUH917508:FUH917525 GED917508:GED917525 GNZ917508:GNZ917525 GXV917508:GXV917525 HHR917508:HHR917525 HRN917508:HRN917525 IBJ917508:IBJ917525 ILF917508:ILF917525 IVB917508:IVB917525 JEX917508:JEX917525 JOT917508:JOT917525 JYP917508:JYP917525 KIL917508:KIL917525 KSH917508:KSH917525 LCD917508:LCD917525 LLZ917508:LLZ917525 LVV917508:LVV917525 MFR917508:MFR917525 MPN917508:MPN917525 MZJ917508:MZJ917525 NJF917508:NJF917525 NTB917508:NTB917525 OCX917508:OCX917525 OMT917508:OMT917525 OWP917508:OWP917525 PGL917508:PGL917525 PQH917508:PQH917525 QAD917508:QAD917525 QJZ917508:QJZ917525 QTV917508:QTV917525 RDR917508:RDR917525 RNN917508:RNN917525 RXJ917508:RXJ917525 SHF917508:SHF917525 SRB917508:SRB917525 TAX917508:TAX917525 TKT917508:TKT917525 TUP917508:TUP917525 UEL917508:UEL917525 UOH917508:UOH917525 UYD917508:UYD917525 VHZ917508:VHZ917525 VRV917508:VRV917525 WBR917508:WBR917525 WLN917508:WLN917525 WVJ917508:WVJ917525" xr:uid="{00000000-0002-0000-3500-000000000000}">
      <formula1>trung</formula1>
    </dataValidation>
    <dataValidation type="list" allowBlank="1" showInputMessage="1" showErrorMessage="1" sqref="B19:B20" xr:uid="{00000000-0002-0000-3500-000001000000}">
      <formula1>bichphuong</formula1>
    </dataValidation>
  </dataValidation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363"/>
  <sheetViews>
    <sheetView topLeftCell="A11" workbookViewId="0">
      <selection activeCell="A35" sqref="A35:D35"/>
    </sheetView>
  </sheetViews>
  <sheetFormatPr defaultColWidth="40.5" defaultRowHeight="15" customHeight="1" zeroHeight="1"/>
  <cols>
    <col min="1" max="1" width="4.19921875" style="16" customWidth="1"/>
    <col min="2" max="2" width="23.5" style="16" customWidth="1"/>
    <col min="3" max="3" width="5" style="87" customWidth="1"/>
    <col min="4" max="4" width="6.19921875" style="88" customWidth="1"/>
    <col min="5" max="5" width="10.8984375" style="89" customWidth="1"/>
    <col min="6" max="6" width="5.8984375" style="87" customWidth="1"/>
    <col min="7" max="7" width="10.3984375" style="89" customWidth="1"/>
    <col min="8" max="8" width="7.1992187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2293</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2294</v>
      </c>
      <c r="C13" s="425"/>
      <c r="D13" s="425"/>
      <c r="E13" s="425"/>
      <c r="F13" s="425"/>
      <c r="G13" s="73">
        <f>G14</f>
        <v>80240000</v>
      </c>
      <c r="H13" s="74"/>
    </row>
    <row r="14" spans="1:8" s="131" customFormat="1" ht="40.5" customHeight="1">
      <c r="A14" s="123"/>
      <c r="B14" s="124" t="s">
        <v>1757</v>
      </c>
      <c r="C14" s="125" t="s">
        <v>1753</v>
      </c>
      <c r="D14" s="126">
        <v>6.8</v>
      </c>
      <c r="E14" s="127">
        <v>11800000</v>
      </c>
      <c r="F14" s="128">
        <v>1</v>
      </c>
      <c r="G14" s="129">
        <f>D14*E14*F14</f>
        <v>80240000</v>
      </c>
      <c r="H14" s="130"/>
    </row>
    <row r="15" spans="1:8" ht="27" customHeight="1">
      <c r="A15" s="75" t="s">
        <v>18</v>
      </c>
      <c r="B15" s="426" t="s">
        <v>1725</v>
      </c>
      <c r="C15" s="426"/>
      <c r="D15" s="426"/>
      <c r="E15" s="426"/>
      <c r="F15" s="426"/>
      <c r="G15" s="76">
        <f>SUM(G16:G18)</f>
        <v>11076369.943999998</v>
      </c>
      <c r="H15" s="11"/>
    </row>
    <row r="16" spans="1:8" ht="31.2">
      <c r="A16" s="77">
        <v>1</v>
      </c>
      <c r="B16" s="78" t="s">
        <v>2295</v>
      </c>
      <c r="C16" s="14" t="s">
        <v>1754</v>
      </c>
      <c r="D16" s="132">
        <f>(7.4+4.8)*2*0.11</f>
        <v>2.6839999999999997</v>
      </c>
      <c r="E16" s="15">
        <v>2126713</v>
      </c>
      <c r="F16" s="14">
        <v>1</v>
      </c>
      <c r="G16" s="79">
        <f t="shared" ref="G16:G18" si="0">D16*E16*F16</f>
        <v>5708097.6919999998</v>
      </c>
      <c r="H16" s="15"/>
    </row>
    <row r="17" spans="1:8" ht="31.2">
      <c r="A17" s="77">
        <v>2</v>
      </c>
      <c r="B17" s="78" t="s">
        <v>2296</v>
      </c>
      <c r="C17" s="14" t="s">
        <v>1754</v>
      </c>
      <c r="D17" s="132">
        <f>(2*0.22*0.22)*5</f>
        <v>0.48399999999999999</v>
      </c>
      <c r="E17" s="15">
        <v>2623803</v>
      </c>
      <c r="F17" s="14">
        <v>1</v>
      </c>
      <c r="G17" s="79">
        <f t="shared" si="0"/>
        <v>1269920.652</v>
      </c>
      <c r="H17" s="15"/>
    </row>
    <row r="18" spans="1:8" ht="15.6">
      <c r="A18" s="77">
        <v>3</v>
      </c>
      <c r="B18" s="78" t="s">
        <v>2297</v>
      </c>
      <c r="C18" s="14" t="s">
        <v>66</v>
      </c>
      <c r="D18" s="132">
        <f>2.4*4.5</f>
        <v>10.799999999999999</v>
      </c>
      <c r="E18" s="15">
        <v>379477</v>
      </c>
      <c r="F18" s="14">
        <v>1</v>
      </c>
      <c r="G18" s="79">
        <f t="shared" si="0"/>
        <v>4098351.5999999996</v>
      </c>
      <c r="H18" s="15"/>
    </row>
    <row r="19" spans="1:8" ht="24" customHeight="1">
      <c r="A19" s="75" t="s">
        <v>19</v>
      </c>
      <c r="B19" s="426" t="s">
        <v>1727</v>
      </c>
      <c r="C19" s="426"/>
      <c r="D19" s="426"/>
      <c r="E19" s="426"/>
      <c r="F19" s="426"/>
      <c r="G19" s="76">
        <f>SUM(G20:G20)</f>
        <v>280000</v>
      </c>
      <c r="H19" s="11"/>
    </row>
    <row r="20" spans="1:8" s="12" customFormat="1" ht="31.2">
      <c r="A20" s="94">
        <v>1</v>
      </c>
      <c r="B20" s="47" t="s">
        <v>300</v>
      </c>
      <c r="C20" s="14" t="s">
        <v>1724</v>
      </c>
      <c r="D20" s="14">
        <v>4</v>
      </c>
      <c r="E20" s="79">
        <f>VLOOKUP(B20,'[20]Đơn giá cây cối'!$A$2:$C$1361,3,0)</f>
        <v>70000</v>
      </c>
      <c r="F20" s="14">
        <v>1</v>
      </c>
      <c r="G20" s="79">
        <f>D20*E20*F20</f>
        <v>280000</v>
      </c>
      <c r="H20" s="95"/>
    </row>
    <row r="21" spans="1:8" ht="33" customHeight="1">
      <c r="A21" s="80"/>
      <c r="B21" s="427" t="s">
        <v>62</v>
      </c>
      <c r="C21" s="428"/>
      <c r="D21" s="428"/>
      <c r="E21" s="428"/>
      <c r="F21" s="429"/>
      <c r="G21" s="81">
        <f>G13+G15+G19</f>
        <v>91596369.944000006</v>
      </c>
      <c r="H21" s="82"/>
    </row>
    <row r="22" spans="1:8" ht="33" customHeight="1">
      <c r="A22" s="80"/>
      <c r="B22" s="427" t="s">
        <v>1726</v>
      </c>
      <c r="C22" s="428"/>
      <c r="D22" s="428"/>
      <c r="E22" s="428"/>
      <c r="F22" s="429"/>
      <c r="G22" s="81">
        <f>ROUND(G21,-3)</f>
        <v>91596000</v>
      </c>
      <c r="H22" s="82"/>
    </row>
    <row r="23" spans="1:8" ht="33" customHeight="1">
      <c r="A23" s="430" t="e" cm="1">
        <f t="array" aca="1" ref="A23" ca="1">[22]!vnd(G22)</f>
        <v>#NAME?</v>
      </c>
      <c r="B23" s="431"/>
      <c r="C23" s="431"/>
      <c r="D23" s="431"/>
      <c r="E23" s="431"/>
      <c r="F23" s="431"/>
      <c r="G23" s="431"/>
      <c r="H23" s="432"/>
    </row>
    <row r="24" spans="1:8" ht="33" customHeight="1">
      <c r="A24" s="252"/>
      <c r="B24" s="253"/>
      <c r="C24" s="253"/>
      <c r="D24" s="253"/>
      <c r="E24" s="253"/>
      <c r="F24" s="253"/>
      <c r="G24" s="253"/>
      <c r="H24" s="253"/>
    </row>
    <row r="25" spans="1:8">
      <c r="A25" s="17"/>
      <c r="B25" s="17"/>
      <c r="C25" s="97"/>
      <c r="D25" s="20"/>
      <c r="E25" s="19"/>
      <c r="F25" s="97"/>
      <c r="G25" s="19"/>
      <c r="H25" s="17"/>
    </row>
    <row r="26" spans="1:8" s="109" customFormat="1" ht="16.5" customHeight="1">
      <c r="A26" s="108"/>
      <c r="B26" s="108"/>
      <c r="C26" s="424" t="s">
        <v>1742</v>
      </c>
      <c r="D26" s="424"/>
      <c r="E26" s="424"/>
      <c r="F26" s="424"/>
      <c r="G26" s="424"/>
      <c r="H26" s="424"/>
    </row>
    <row r="27" spans="1:8" s="109" customFormat="1" ht="16.5" customHeight="1">
      <c r="A27" s="423" t="s">
        <v>63</v>
      </c>
      <c r="B27" s="423"/>
      <c r="C27" s="424" t="s">
        <v>1743</v>
      </c>
      <c r="D27" s="424"/>
      <c r="E27" s="424"/>
      <c r="F27" s="424" t="s">
        <v>1744</v>
      </c>
      <c r="G27" s="424"/>
      <c r="H27" s="424"/>
    </row>
    <row r="28" spans="1:8" s="109" customFormat="1" ht="15.6">
      <c r="A28" s="108"/>
      <c r="B28" s="108"/>
      <c r="C28" s="108"/>
      <c r="D28" s="110"/>
      <c r="E28" s="111"/>
      <c r="F28" s="112"/>
      <c r="G28" s="111"/>
      <c r="H28" s="113"/>
    </row>
    <row r="29" spans="1:8" s="109" customFormat="1" ht="15.6">
      <c r="A29" s="108"/>
      <c r="B29" s="108"/>
      <c r="C29" s="108"/>
      <c r="D29" s="110"/>
      <c r="E29" s="111"/>
      <c r="F29" s="112"/>
      <c r="G29" s="114"/>
      <c r="H29" s="113"/>
    </row>
    <row r="30" spans="1:8" s="109" customFormat="1" ht="15.6">
      <c r="A30" s="108"/>
      <c r="B30" s="108"/>
      <c r="C30" s="108"/>
      <c r="D30" s="110"/>
      <c r="E30" s="111"/>
      <c r="F30" s="112"/>
      <c r="G30" s="111"/>
      <c r="H30" s="113"/>
    </row>
    <row r="31" spans="1:8" s="109" customFormat="1" ht="15.6">
      <c r="A31" s="108"/>
      <c r="B31" s="108"/>
      <c r="C31" s="108"/>
      <c r="D31" s="110"/>
      <c r="E31" s="111"/>
      <c r="F31" s="112"/>
      <c r="G31" s="111"/>
      <c r="H31" s="113"/>
    </row>
    <row r="32" spans="1:8" s="109" customFormat="1" ht="16.5" customHeight="1">
      <c r="A32" s="108"/>
      <c r="B32" s="198" t="s">
        <v>64</v>
      </c>
      <c r="C32" s="424"/>
      <c r="D32" s="424"/>
      <c r="E32" s="424"/>
      <c r="F32" s="424" t="s">
        <v>1745</v>
      </c>
      <c r="G32" s="424"/>
      <c r="H32" s="424"/>
    </row>
    <row r="33" spans="1:8" s="109" customFormat="1" ht="15.6">
      <c r="A33" s="108"/>
      <c r="B33" s="198"/>
      <c r="C33" s="199"/>
      <c r="D33" s="199"/>
      <c r="E33" s="199"/>
      <c r="F33" s="199"/>
      <c r="G33" s="199"/>
      <c r="H33" s="199"/>
    </row>
    <row r="34" spans="1:8" s="109" customFormat="1" ht="15" customHeight="1">
      <c r="A34" s="424" t="s">
        <v>1746</v>
      </c>
      <c r="B34" s="424"/>
      <c r="C34" s="424"/>
      <c r="D34" s="424"/>
      <c r="E34" s="424" t="s">
        <v>1747</v>
      </c>
      <c r="F34" s="424"/>
      <c r="G34" s="424"/>
      <c r="H34" s="424"/>
    </row>
    <row r="35" spans="1:8" s="109" customFormat="1" ht="33.6" customHeight="1">
      <c r="A35" s="424" t="s">
        <v>1748</v>
      </c>
      <c r="B35" s="424"/>
      <c r="C35" s="424"/>
      <c r="D35" s="424"/>
      <c r="E35" s="424" t="s">
        <v>65</v>
      </c>
      <c r="F35" s="424"/>
      <c r="G35" s="424"/>
      <c r="H35" s="424"/>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5.6" customHeight="1">
      <c r="A41" s="108"/>
      <c r="B41" s="108"/>
      <c r="C41" s="108"/>
      <c r="D41" s="115"/>
      <c r="E41" s="439" t="s">
        <v>1749</v>
      </c>
      <c r="F41" s="439"/>
      <c r="G41" s="439"/>
      <c r="H41" s="439"/>
    </row>
    <row r="42" spans="1:8" s="109" customFormat="1" ht="16.5" customHeight="1">
      <c r="A42" s="424" t="s">
        <v>1751</v>
      </c>
      <c r="B42" s="424"/>
      <c r="C42" s="424"/>
      <c r="D42" s="424"/>
      <c r="E42" s="424" t="s">
        <v>1750</v>
      </c>
      <c r="F42" s="424"/>
      <c r="G42" s="424"/>
      <c r="H42" s="424"/>
    </row>
    <row r="43" spans="1:8" s="118" customFormat="1" ht="16.2" customHeight="1">
      <c r="A43" s="440"/>
      <c r="B43" s="440"/>
      <c r="C43" s="116"/>
      <c r="D43" s="117"/>
      <c r="E43" s="440"/>
      <c r="F43" s="440"/>
      <c r="G43" s="440"/>
      <c r="H43" s="440"/>
    </row>
    <row r="44" spans="1:8" s="118" customFormat="1" ht="15.75" customHeight="1">
      <c r="A44" s="440"/>
      <c r="B44" s="440"/>
      <c r="C44" s="440"/>
      <c r="D44" s="440"/>
      <c r="E44" s="440"/>
      <c r="F44" s="440"/>
      <c r="G44" s="440"/>
      <c r="H44" s="440"/>
    </row>
    <row r="45" spans="1:8" s="98" customFormat="1" ht="16.2" customHeight="1">
      <c r="A45" s="436"/>
      <c r="B45" s="436"/>
      <c r="C45" s="436"/>
      <c r="D45" s="436"/>
      <c r="E45" s="119"/>
      <c r="F45" s="120"/>
      <c r="G45" s="119"/>
      <c r="H45" s="121"/>
    </row>
    <row r="46" spans="1:8" s="98" customFormat="1" ht="16.2" customHeight="1">
      <c r="A46" s="436"/>
      <c r="B46" s="436"/>
      <c r="C46" s="436"/>
      <c r="D46" s="436"/>
      <c r="E46" s="119"/>
      <c r="F46" s="120"/>
      <c r="G46" s="119"/>
      <c r="H46" s="121"/>
    </row>
    <row r="47" spans="1:8" s="98" customFormat="1" ht="16.2" customHeight="1">
      <c r="A47" s="121"/>
      <c r="B47" s="121"/>
      <c r="C47" s="121"/>
      <c r="D47" s="122"/>
      <c r="E47" s="119"/>
      <c r="F47" s="120"/>
      <c r="G47" s="119"/>
      <c r="H47" s="121"/>
    </row>
    <row r="48" spans="1:8" ht="16.2" customHeight="1">
      <c r="A48" s="83"/>
      <c r="B48" s="83"/>
      <c r="C48" s="83"/>
      <c r="D48" s="84"/>
      <c r="E48" s="85"/>
      <c r="F48" s="86"/>
      <c r="G48" s="85"/>
      <c r="H48" s="83"/>
    </row>
    <row r="49" spans="1:8" ht="16.2" customHeight="1">
      <c r="A49" s="83"/>
      <c r="B49" s="83"/>
      <c r="C49" s="83"/>
      <c r="D49" s="84"/>
      <c r="E49" s="85"/>
      <c r="F49" s="86"/>
      <c r="G49" s="85"/>
      <c r="H49" s="83"/>
    </row>
    <row r="50" spans="1:8" ht="16.2" customHeight="1">
      <c r="A50" s="83"/>
      <c r="B50" s="83"/>
      <c r="C50" s="83"/>
      <c r="D50" s="84"/>
      <c r="E50" s="85"/>
      <c r="F50" s="86"/>
      <c r="G50" s="85"/>
      <c r="H50" s="83"/>
    </row>
    <row r="51" spans="1:8" ht="16.2" customHeight="1">
      <c r="A51" s="83"/>
      <c r="B51" s="83"/>
      <c r="C51" s="83"/>
      <c r="D51" s="84"/>
      <c r="E51" s="437"/>
      <c r="F51" s="437"/>
      <c r="G51" s="437"/>
      <c r="H51" s="437"/>
    </row>
    <row r="52" spans="1:8" ht="20.25" customHeight="1">
      <c r="A52" s="438"/>
      <c r="B52" s="438"/>
      <c r="C52" s="438"/>
      <c r="D52" s="438"/>
      <c r="E52" s="438"/>
      <c r="F52" s="438"/>
      <c r="G52" s="438"/>
      <c r="H52" s="438"/>
    </row>
    <row r="53" spans="1:8" s="17" customFormat="1" ht="16.2" customHeight="1">
      <c r="D53" s="18"/>
      <c r="E53" s="19"/>
      <c r="F53" s="97"/>
      <c r="G53" s="19"/>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C69" s="97"/>
      <c r="D69" s="20"/>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ht="16.2" customHeight="1"/>
    <row r="82" ht="16.2" customHeight="1"/>
    <row r="83" ht="16.2" customHeight="1"/>
    <row r="84" ht="16.2" customHeight="1"/>
    <row r="85" ht="16.2" customHeight="1"/>
    <row r="86" ht="16.2" customHeight="1"/>
    <row r="87" ht="16.2" customHeight="1"/>
    <row r="88" ht="16.2" customHeight="1"/>
    <row r="89" ht="16.2" customHeight="1"/>
    <row r="90" ht="16.2" customHeight="1"/>
    <row r="91" ht="16.2" customHeight="1"/>
    <row r="92" ht="16.2" customHeight="1"/>
    <row r="93" ht="16.2" customHeight="1"/>
    <row r="94" ht="16.2" customHeight="1"/>
    <row r="95" ht="16.2" customHeight="1"/>
    <row r="96"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row r="228"/>
    <row r="229"/>
    <row r="230"/>
    <row r="231"/>
    <row r="232"/>
    <row r="233"/>
    <row r="234"/>
    <row r="235"/>
    <row r="236"/>
    <row r="237"/>
    <row r="238"/>
    <row r="239"/>
    <row r="240"/>
    <row r="241"/>
    <row r="242"/>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sheetData>
  <mergeCells count="40">
    <mergeCell ref="A4:B4"/>
    <mergeCell ref="C4:H4"/>
    <mergeCell ref="A1:B1"/>
    <mergeCell ref="C1:H1"/>
    <mergeCell ref="A2:B2"/>
    <mergeCell ref="C2:H2"/>
    <mergeCell ref="A3:B3"/>
    <mergeCell ref="A23:H23"/>
    <mergeCell ref="A6:H6"/>
    <mergeCell ref="A7:H7"/>
    <mergeCell ref="A8:H8"/>
    <mergeCell ref="A9:H9"/>
    <mergeCell ref="A10:H10"/>
    <mergeCell ref="A11:H11"/>
    <mergeCell ref="B13:F13"/>
    <mergeCell ref="B15:F15"/>
    <mergeCell ref="B19:F19"/>
    <mergeCell ref="B21:F21"/>
    <mergeCell ref="B22:F22"/>
    <mergeCell ref="A42:D42"/>
    <mergeCell ref="E42:H42"/>
    <mergeCell ref="C26:H26"/>
    <mergeCell ref="A27:B27"/>
    <mergeCell ref="C27:E27"/>
    <mergeCell ref="F27:H27"/>
    <mergeCell ref="C32:E32"/>
    <mergeCell ref="F32:H32"/>
    <mergeCell ref="A34:D34"/>
    <mergeCell ref="E34:H34"/>
    <mergeCell ref="A35:D35"/>
    <mergeCell ref="E35:H35"/>
    <mergeCell ref="E41:H41"/>
    <mergeCell ref="E51:H51"/>
    <mergeCell ref="A52:H52"/>
    <mergeCell ref="A43:B43"/>
    <mergeCell ref="E43:H43"/>
    <mergeCell ref="A44:D44"/>
    <mergeCell ref="E44:H44"/>
    <mergeCell ref="A45:D45"/>
    <mergeCell ref="A46:D46"/>
  </mergeCells>
  <dataValidations count="2">
    <dataValidation type="list" allowBlank="1" showInputMessage="1" showErrorMessage="1" sqref="WVJ983044:WVJ983061 B983044:B983061 IX983044:IX983061 ST983044:ST983061 ACP983044:ACP983061 AML983044:AML983061 AWH983044:AWH983061 BGD983044:BGD983061 BPZ983044:BPZ983061 BZV983044:BZV983061 CJR983044:CJR983061 CTN983044:CTN983061 DDJ983044:DDJ983061 DNF983044:DNF983061 DXB983044:DXB983061 EGX983044:EGX983061 EQT983044:EQT983061 FAP983044:FAP983061 FKL983044:FKL983061 FUH983044:FUH983061 GED983044:GED983061 GNZ983044:GNZ983061 GXV983044:GXV983061 HHR983044:HHR983061 HRN983044:HRN983061 IBJ983044:IBJ983061 ILF983044:ILF983061 IVB983044:IVB983061 JEX983044:JEX983061 JOT983044:JOT983061 JYP983044:JYP983061 KIL983044:KIL983061 KSH983044:KSH983061 LCD983044:LCD983061 LLZ983044:LLZ983061 LVV983044:LVV983061 MFR983044:MFR983061 MPN983044:MPN983061 MZJ983044:MZJ983061 NJF983044:NJF983061 NTB983044:NTB983061 OCX983044:OCX983061 OMT983044:OMT983061 OWP983044:OWP983061 PGL983044:PGL983061 PQH983044:PQH983061 QAD983044:QAD983061 QJZ983044:QJZ983061 QTV983044:QTV983061 RDR983044:RDR983061 RNN983044:RNN983061 RXJ983044:RXJ983061 SHF983044:SHF983061 SRB983044:SRB983061 TAX983044:TAX983061 TKT983044:TKT983061 TUP983044:TUP983061 UEL983044:UEL983061 UOH983044:UOH983061 UYD983044:UYD983061 VHZ983044:VHZ983061 VRV983044:VRV983061 WBR983044:WBR983061 WLN983044:WLN983061 B65540:B65557 IX65540:IX65557 ST65540:ST65557 ACP65540:ACP65557 AML65540:AML65557 AWH65540:AWH65557 BGD65540:BGD65557 BPZ65540:BPZ65557 BZV65540:BZV65557 CJR65540:CJR65557 CTN65540:CTN65557 DDJ65540:DDJ65557 DNF65540:DNF65557 DXB65540:DXB65557 EGX65540:EGX65557 EQT65540:EQT65557 FAP65540:FAP65557 FKL65540:FKL65557 FUH65540:FUH65557 GED65540:GED65557 GNZ65540:GNZ65557 GXV65540:GXV65557 HHR65540:HHR65557 HRN65540:HRN65557 IBJ65540:IBJ65557 ILF65540:ILF65557 IVB65540:IVB65557 JEX65540:JEX65557 JOT65540:JOT65557 JYP65540:JYP65557 KIL65540:KIL65557 KSH65540:KSH65557 LCD65540:LCD65557 LLZ65540:LLZ65557 LVV65540:LVV65557 MFR65540:MFR65557 MPN65540:MPN65557 MZJ65540:MZJ65557 NJF65540:NJF65557 NTB65540:NTB65557 OCX65540:OCX65557 OMT65540:OMT65557 OWP65540:OWP65557 PGL65540:PGL65557 PQH65540:PQH65557 QAD65540:QAD65557 QJZ65540:QJZ65557 QTV65540:QTV65557 RDR65540:RDR65557 RNN65540:RNN65557 RXJ65540:RXJ65557 SHF65540:SHF65557 SRB65540:SRB65557 TAX65540:TAX65557 TKT65540:TKT65557 TUP65540:TUP65557 UEL65540:UEL65557 UOH65540:UOH65557 UYD65540:UYD65557 VHZ65540:VHZ65557 VRV65540:VRV65557 WBR65540:WBR65557 WLN65540:WLN65557 WVJ65540:WVJ65557 B131076:B131093 IX131076:IX131093 ST131076:ST131093 ACP131076:ACP131093 AML131076:AML131093 AWH131076:AWH131093 BGD131076:BGD131093 BPZ131076:BPZ131093 BZV131076:BZV131093 CJR131076:CJR131093 CTN131076:CTN131093 DDJ131076:DDJ131093 DNF131076:DNF131093 DXB131076:DXB131093 EGX131076:EGX131093 EQT131076:EQT131093 FAP131076:FAP131093 FKL131076:FKL131093 FUH131076:FUH131093 GED131076:GED131093 GNZ131076:GNZ131093 GXV131076:GXV131093 HHR131076:HHR131093 HRN131076:HRN131093 IBJ131076:IBJ131093 ILF131076:ILF131093 IVB131076:IVB131093 JEX131076:JEX131093 JOT131076:JOT131093 JYP131076:JYP131093 KIL131076:KIL131093 KSH131076:KSH131093 LCD131076:LCD131093 LLZ131076:LLZ131093 LVV131076:LVV131093 MFR131076:MFR131093 MPN131076:MPN131093 MZJ131076:MZJ131093 NJF131076:NJF131093 NTB131076:NTB131093 OCX131076:OCX131093 OMT131076:OMT131093 OWP131076:OWP131093 PGL131076:PGL131093 PQH131076:PQH131093 QAD131076:QAD131093 QJZ131076:QJZ131093 QTV131076:QTV131093 RDR131076:RDR131093 RNN131076:RNN131093 RXJ131076:RXJ131093 SHF131076:SHF131093 SRB131076:SRB131093 TAX131076:TAX131093 TKT131076:TKT131093 TUP131076:TUP131093 UEL131076:UEL131093 UOH131076:UOH131093 UYD131076:UYD131093 VHZ131076:VHZ131093 VRV131076:VRV131093 WBR131076:WBR131093 WLN131076:WLN131093 WVJ131076:WVJ131093 B196612:B196629 IX196612:IX196629 ST196612:ST196629 ACP196612:ACP196629 AML196612:AML196629 AWH196612:AWH196629 BGD196612:BGD196629 BPZ196612:BPZ196629 BZV196612:BZV196629 CJR196612:CJR196629 CTN196612:CTN196629 DDJ196612:DDJ196629 DNF196612:DNF196629 DXB196612:DXB196629 EGX196612:EGX196629 EQT196612:EQT196629 FAP196612:FAP196629 FKL196612:FKL196629 FUH196612:FUH196629 GED196612:GED196629 GNZ196612:GNZ196629 GXV196612:GXV196629 HHR196612:HHR196629 HRN196612:HRN196629 IBJ196612:IBJ196629 ILF196612:ILF196629 IVB196612:IVB196629 JEX196612:JEX196629 JOT196612:JOT196629 JYP196612:JYP196629 KIL196612:KIL196629 KSH196612:KSH196629 LCD196612:LCD196629 LLZ196612:LLZ196629 LVV196612:LVV196629 MFR196612:MFR196629 MPN196612:MPN196629 MZJ196612:MZJ196629 NJF196612:NJF196629 NTB196612:NTB196629 OCX196612:OCX196629 OMT196612:OMT196629 OWP196612:OWP196629 PGL196612:PGL196629 PQH196612:PQH196629 QAD196612:QAD196629 QJZ196612:QJZ196629 QTV196612:QTV196629 RDR196612:RDR196629 RNN196612:RNN196629 RXJ196612:RXJ196629 SHF196612:SHF196629 SRB196612:SRB196629 TAX196612:TAX196629 TKT196612:TKT196629 TUP196612:TUP196629 UEL196612:UEL196629 UOH196612:UOH196629 UYD196612:UYD196629 VHZ196612:VHZ196629 VRV196612:VRV196629 WBR196612:WBR196629 WLN196612:WLN196629 WVJ196612:WVJ196629 B262148:B262165 IX262148:IX262165 ST262148:ST262165 ACP262148:ACP262165 AML262148:AML262165 AWH262148:AWH262165 BGD262148:BGD262165 BPZ262148:BPZ262165 BZV262148:BZV262165 CJR262148:CJR262165 CTN262148:CTN262165 DDJ262148:DDJ262165 DNF262148:DNF262165 DXB262148:DXB262165 EGX262148:EGX262165 EQT262148:EQT262165 FAP262148:FAP262165 FKL262148:FKL262165 FUH262148:FUH262165 GED262148:GED262165 GNZ262148:GNZ262165 GXV262148:GXV262165 HHR262148:HHR262165 HRN262148:HRN262165 IBJ262148:IBJ262165 ILF262148:ILF262165 IVB262148:IVB262165 JEX262148:JEX262165 JOT262148:JOT262165 JYP262148:JYP262165 KIL262148:KIL262165 KSH262148:KSH262165 LCD262148:LCD262165 LLZ262148:LLZ262165 LVV262148:LVV262165 MFR262148:MFR262165 MPN262148:MPN262165 MZJ262148:MZJ262165 NJF262148:NJF262165 NTB262148:NTB262165 OCX262148:OCX262165 OMT262148:OMT262165 OWP262148:OWP262165 PGL262148:PGL262165 PQH262148:PQH262165 QAD262148:QAD262165 QJZ262148:QJZ262165 QTV262148:QTV262165 RDR262148:RDR262165 RNN262148:RNN262165 RXJ262148:RXJ262165 SHF262148:SHF262165 SRB262148:SRB262165 TAX262148:TAX262165 TKT262148:TKT262165 TUP262148:TUP262165 UEL262148:UEL262165 UOH262148:UOH262165 UYD262148:UYD262165 VHZ262148:VHZ262165 VRV262148:VRV262165 WBR262148:WBR262165 WLN262148:WLN262165 WVJ262148:WVJ262165 B327684:B327701 IX327684:IX327701 ST327684:ST327701 ACP327684:ACP327701 AML327684:AML327701 AWH327684:AWH327701 BGD327684:BGD327701 BPZ327684:BPZ327701 BZV327684:BZV327701 CJR327684:CJR327701 CTN327684:CTN327701 DDJ327684:DDJ327701 DNF327684:DNF327701 DXB327684:DXB327701 EGX327684:EGX327701 EQT327684:EQT327701 FAP327684:FAP327701 FKL327684:FKL327701 FUH327684:FUH327701 GED327684:GED327701 GNZ327684:GNZ327701 GXV327684:GXV327701 HHR327684:HHR327701 HRN327684:HRN327701 IBJ327684:IBJ327701 ILF327684:ILF327701 IVB327684:IVB327701 JEX327684:JEX327701 JOT327684:JOT327701 JYP327684:JYP327701 KIL327684:KIL327701 KSH327684:KSH327701 LCD327684:LCD327701 LLZ327684:LLZ327701 LVV327684:LVV327701 MFR327684:MFR327701 MPN327684:MPN327701 MZJ327684:MZJ327701 NJF327684:NJF327701 NTB327684:NTB327701 OCX327684:OCX327701 OMT327684:OMT327701 OWP327684:OWP327701 PGL327684:PGL327701 PQH327684:PQH327701 QAD327684:QAD327701 QJZ327684:QJZ327701 QTV327684:QTV327701 RDR327684:RDR327701 RNN327684:RNN327701 RXJ327684:RXJ327701 SHF327684:SHF327701 SRB327684:SRB327701 TAX327684:TAX327701 TKT327684:TKT327701 TUP327684:TUP327701 UEL327684:UEL327701 UOH327684:UOH327701 UYD327684:UYD327701 VHZ327684:VHZ327701 VRV327684:VRV327701 WBR327684:WBR327701 WLN327684:WLN327701 WVJ327684:WVJ327701 B393220:B393237 IX393220:IX393237 ST393220:ST393237 ACP393220:ACP393237 AML393220:AML393237 AWH393220:AWH393237 BGD393220:BGD393237 BPZ393220:BPZ393237 BZV393220:BZV393237 CJR393220:CJR393237 CTN393220:CTN393237 DDJ393220:DDJ393237 DNF393220:DNF393237 DXB393220:DXB393237 EGX393220:EGX393237 EQT393220:EQT393237 FAP393220:FAP393237 FKL393220:FKL393237 FUH393220:FUH393237 GED393220:GED393237 GNZ393220:GNZ393237 GXV393220:GXV393237 HHR393220:HHR393237 HRN393220:HRN393237 IBJ393220:IBJ393237 ILF393220:ILF393237 IVB393220:IVB393237 JEX393220:JEX393237 JOT393220:JOT393237 JYP393220:JYP393237 KIL393220:KIL393237 KSH393220:KSH393237 LCD393220:LCD393237 LLZ393220:LLZ393237 LVV393220:LVV393237 MFR393220:MFR393237 MPN393220:MPN393237 MZJ393220:MZJ393237 NJF393220:NJF393237 NTB393220:NTB393237 OCX393220:OCX393237 OMT393220:OMT393237 OWP393220:OWP393237 PGL393220:PGL393237 PQH393220:PQH393237 QAD393220:QAD393237 QJZ393220:QJZ393237 QTV393220:QTV393237 RDR393220:RDR393237 RNN393220:RNN393237 RXJ393220:RXJ393237 SHF393220:SHF393237 SRB393220:SRB393237 TAX393220:TAX393237 TKT393220:TKT393237 TUP393220:TUP393237 UEL393220:UEL393237 UOH393220:UOH393237 UYD393220:UYD393237 VHZ393220:VHZ393237 VRV393220:VRV393237 WBR393220:WBR393237 WLN393220:WLN393237 WVJ393220:WVJ393237 B458756:B458773 IX458756:IX458773 ST458756:ST458773 ACP458756:ACP458773 AML458756:AML458773 AWH458756:AWH458773 BGD458756:BGD458773 BPZ458756:BPZ458773 BZV458756:BZV458773 CJR458756:CJR458773 CTN458756:CTN458773 DDJ458756:DDJ458773 DNF458756:DNF458773 DXB458756:DXB458773 EGX458756:EGX458773 EQT458756:EQT458773 FAP458756:FAP458773 FKL458756:FKL458773 FUH458756:FUH458773 GED458756:GED458773 GNZ458756:GNZ458773 GXV458756:GXV458773 HHR458756:HHR458773 HRN458756:HRN458773 IBJ458756:IBJ458773 ILF458756:ILF458773 IVB458756:IVB458773 JEX458756:JEX458773 JOT458756:JOT458773 JYP458756:JYP458773 KIL458756:KIL458773 KSH458756:KSH458773 LCD458756:LCD458773 LLZ458756:LLZ458773 LVV458756:LVV458773 MFR458756:MFR458773 MPN458756:MPN458773 MZJ458756:MZJ458773 NJF458756:NJF458773 NTB458756:NTB458773 OCX458756:OCX458773 OMT458756:OMT458773 OWP458756:OWP458773 PGL458756:PGL458773 PQH458756:PQH458773 QAD458756:QAD458773 QJZ458756:QJZ458773 QTV458756:QTV458773 RDR458756:RDR458773 RNN458756:RNN458773 RXJ458756:RXJ458773 SHF458756:SHF458773 SRB458756:SRB458773 TAX458756:TAX458773 TKT458756:TKT458773 TUP458756:TUP458773 UEL458756:UEL458773 UOH458756:UOH458773 UYD458756:UYD458773 VHZ458756:VHZ458773 VRV458756:VRV458773 WBR458756:WBR458773 WLN458756:WLN458773 WVJ458756:WVJ458773 B524292:B524309 IX524292:IX524309 ST524292:ST524309 ACP524292:ACP524309 AML524292:AML524309 AWH524292:AWH524309 BGD524292:BGD524309 BPZ524292:BPZ524309 BZV524292:BZV524309 CJR524292:CJR524309 CTN524292:CTN524309 DDJ524292:DDJ524309 DNF524292:DNF524309 DXB524292:DXB524309 EGX524292:EGX524309 EQT524292:EQT524309 FAP524292:FAP524309 FKL524292:FKL524309 FUH524292:FUH524309 GED524292:GED524309 GNZ524292:GNZ524309 GXV524292:GXV524309 HHR524292:HHR524309 HRN524292:HRN524309 IBJ524292:IBJ524309 ILF524292:ILF524309 IVB524292:IVB524309 JEX524292:JEX524309 JOT524292:JOT524309 JYP524292:JYP524309 KIL524292:KIL524309 KSH524292:KSH524309 LCD524292:LCD524309 LLZ524292:LLZ524309 LVV524292:LVV524309 MFR524292:MFR524309 MPN524292:MPN524309 MZJ524292:MZJ524309 NJF524292:NJF524309 NTB524292:NTB524309 OCX524292:OCX524309 OMT524292:OMT524309 OWP524292:OWP524309 PGL524292:PGL524309 PQH524292:PQH524309 QAD524292:QAD524309 QJZ524292:QJZ524309 QTV524292:QTV524309 RDR524292:RDR524309 RNN524292:RNN524309 RXJ524292:RXJ524309 SHF524292:SHF524309 SRB524292:SRB524309 TAX524292:TAX524309 TKT524292:TKT524309 TUP524292:TUP524309 UEL524292:UEL524309 UOH524292:UOH524309 UYD524292:UYD524309 VHZ524292:VHZ524309 VRV524292:VRV524309 WBR524292:WBR524309 WLN524292:WLN524309 WVJ524292:WVJ524309 B589828:B589845 IX589828:IX589845 ST589828:ST589845 ACP589828:ACP589845 AML589828:AML589845 AWH589828:AWH589845 BGD589828:BGD589845 BPZ589828:BPZ589845 BZV589828:BZV589845 CJR589828:CJR589845 CTN589828:CTN589845 DDJ589828:DDJ589845 DNF589828:DNF589845 DXB589828:DXB589845 EGX589828:EGX589845 EQT589828:EQT589845 FAP589828:FAP589845 FKL589828:FKL589845 FUH589828:FUH589845 GED589828:GED589845 GNZ589828:GNZ589845 GXV589828:GXV589845 HHR589828:HHR589845 HRN589828:HRN589845 IBJ589828:IBJ589845 ILF589828:ILF589845 IVB589828:IVB589845 JEX589828:JEX589845 JOT589828:JOT589845 JYP589828:JYP589845 KIL589828:KIL589845 KSH589828:KSH589845 LCD589828:LCD589845 LLZ589828:LLZ589845 LVV589828:LVV589845 MFR589828:MFR589845 MPN589828:MPN589845 MZJ589828:MZJ589845 NJF589828:NJF589845 NTB589828:NTB589845 OCX589828:OCX589845 OMT589828:OMT589845 OWP589828:OWP589845 PGL589828:PGL589845 PQH589828:PQH589845 QAD589828:QAD589845 QJZ589828:QJZ589845 QTV589828:QTV589845 RDR589828:RDR589845 RNN589828:RNN589845 RXJ589828:RXJ589845 SHF589828:SHF589845 SRB589828:SRB589845 TAX589828:TAX589845 TKT589828:TKT589845 TUP589828:TUP589845 UEL589828:UEL589845 UOH589828:UOH589845 UYD589828:UYD589845 VHZ589828:VHZ589845 VRV589828:VRV589845 WBR589828:WBR589845 WLN589828:WLN589845 WVJ589828:WVJ589845 B655364:B655381 IX655364:IX655381 ST655364:ST655381 ACP655364:ACP655381 AML655364:AML655381 AWH655364:AWH655381 BGD655364:BGD655381 BPZ655364:BPZ655381 BZV655364:BZV655381 CJR655364:CJR655381 CTN655364:CTN655381 DDJ655364:DDJ655381 DNF655364:DNF655381 DXB655364:DXB655381 EGX655364:EGX655381 EQT655364:EQT655381 FAP655364:FAP655381 FKL655364:FKL655381 FUH655364:FUH655381 GED655364:GED655381 GNZ655364:GNZ655381 GXV655364:GXV655381 HHR655364:HHR655381 HRN655364:HRN655381 IBJ655364:IBJ655381 ILF655364:ILF655381 IVB655364:IVB655381 JEX655364:JEX655381 JOT655364:JOT655381 JYP655364:JYP655381 KIL655364:KIL655381 KSH655364:KSH655381 LCD655364:LCD655381 LLZ655364:LLZ655381 LVV655364:LVV655381 MFR655364:MFR655381 MPN655364:MPN655381 MZJ655364:MZJ655381 NJF655364:NJF655381 NTB655364:NTB655381 OCX655364:OCX655381 OMT655364:OMT655381 OWP655364:OWP655381 PGL655364:PGL655381 PQH655364:PQH655381 QAD655364:QAD655381 QJZ655364:QJZ655381 QTV655364:QTV655381 RDR655364:RDR655381 RNN655364:RNN655381 RXJ655364:RXJ655381 SHF655364:SHF655381 SRB655364:SRB655381 TAX655364:TAX655381 TKT655364:TKT655381 TUP655364:TUP655381 UEL655364:UEL655381 UOH655364:UOH655381 UYD655364:UYD655381 VHZ655364:VHZ655381 VRV655364:VRV655381 WBR655364:WBR655381 WLN655364:WLN655381 WVJ655364:WVJ655381 B720900:B720917 IX720900:IX720917 ST720900:ST720917 ACP720900:ACP720917 AML720900:AML720917 AWH720900:AWH720917 BGD720900:BGD720917 BPZ720900:BPZ720917 BZV720900:BZV720917 CJR720900:CJR720917 CTN720900:CTN720917 DDJ720900:DDJ720917 DNF720900:DNF720917 DXB720900:DXB720917 EGX720900:EGX720917 EQT720900:EQT720917 FAP720900:FAP720917 FKL720900:FKL720917 FUH720900:FUH720917 GED720900:GED720917 GNZ720900:GNZ720917 GXV720900:GXV720917 HHR720900:HHR720917 HRN720900:HRN720917 IBJ720900:IBJ720917 ILF720900:ILF720917 IVB720900:IVB720917 JEX720900:JEX720917 JOT720900:JOT720917 JYP720900:JYP720917 KIL720900:KIL720917 KSH720900:KSH720917 LCD720900:LCD720917 LLZ720900:LLZ720917 LVV720900:LVV720917 MFR720900:MFR720917 MPN720900:MPN720917 MZJ720900:MZJ720917 NJF720900:NJF720917 NTB720900:NTB720917 OCX720900:OCX720917 OMT720900:OMT720917 OWP720900:OWP720917 PGL720900:PGL720917 PQH720900:PQH720917 QAD720900:QAD720917 QJZ720900:QJZ720917 QTV720900:QTV720917 RDR720900:RDR720917 RNN720900:RNN720917 RXJ720900:RXJ720917 SHF720900:SHF720917 SRB720900:SRB720917 TAX720900:TAX720917 TKT720900:TKT720917 TUP720900:TUP720917 UEL720900:UEL720917 UOH720900:UOH720917 UYD720900:UYD720917 VHZ720900:VHZ720917 VRV720900:VRV720917 WBR720900:WBR720917 WLN720900:WLN720917 WVJ720900:WVJ720917 B786436:B786453 IX786436:IX786453 ST786436:ST786453 ACP786436:ACP786453 AML786436:AML786453 AWH786436:AWH786453 BGD786436:BGD786453 BPZ786436:BPZ786453 BZV786436:BZV786453 CJR786436:CJR786453 CTN786436:CTN786453 DDJ786436:DDJ786453 DNF786436:DNF786453 DXB786436:DXB786453 EGX786436:EGX786453 EQT786436:EQT786453 FAP786436:FAP786453 FKL786436:FKL786453 FUH786436:FUH786453 GED786436:GED786453 GNZ786436:GNZ786453 GXV786436:GXV786453 HHR786436:HHR786453 HRN786436:HRN786453 IBJ786436:IBJ786453 ILF786436:ILF786453 IVB786436:IVB786453 JEX786436:JEX786453 JOT786436:JOT786453 JYP786436:JYP786453 KIL786436:KIL786453 KSH786436:KSH786453 LCD786436:LCD786453 LLZ786436:LLZ786453 LVV786436:LVV786453 MFR786436:MFR786453 MPN786436:MPN786453 MZJ786436:MZJ786453 NJF786436:NJF786453 NTB786436:NTB786453 OCX786436:OCX786453 OMT786436:OMT786453 OWP786436:OWP786453 PGL786436:PGL786453 PQH786436:PQH786453 QAD786436:QAD786453 QJZ786436:QJZ786453 QTV786436:QTV786453 RDR786436:RDR786453 RNN786436:RNN786453 RXJ786436:RXJ786453 SHF786436:SHF786453 SRB786436:SRB786453 TAX786436:TAX786453 TKT786436:TKT786453 TUP786436:TUP786453 UEL786436:UEL786453 UOH786436:UOH786453 UYD786436:UYD786453 VHZ786436:VHZ786453 VRV786436:VRV786453 WBR786436:WBR786453 WLN786436:WLN786453 WVJ786436:WVJ786453 B851972:B851989 IX851972:IX851989 ST851972:ST851989 ACP851972:ACP851989 AML851972:AML851989 AWH851972:AWH851989 BGD851972:BGD851989 BPZ851972:BPZ851989 BZV851972:BZV851989 CJR851972:CJR851989 CTN851972:CTN851989 DDJ851972:DDJ851989 DNF851972:DNF851989 DXB851972:DXB851989 EGX851972:EGX851989 EQT851972:EQT851989 FAP851972:FAP851989 FKL851972:FKL851989 FUH851972:FUH851989 GED851972:GED851989 GNZ851972:GNZ851989 GXV851972:GXV851989 HHR851972:HHR851989 HRN851972:HRN851989 IBJ851972:IBJ851989 ILF851972:ILF851989 IVB851972:IVB851989 JEX851972:JEX851989 JOT851972:JOT851989 JYP851972:JYP851989 KIL851972:KIL851989 KSH851972:KSH851989 LCD851972:LCD851989 LLZ851972:LLZ851989 LVV851972:LVV851989 MFR851972:MFR851989 MPN851972:MPN851989 MZJ851972:MZJ851989 NJF851972:NJF851989 NTB851972:NTB851989 OCX851972:OCX851989 OMT851972:OMT851989 OWP851972:OWP851989 PGL851972:PGL851989 PQH851972:PQH851989 QAD851972:QAD851989 QJZ851972:QJZ851989 QTV851972:QTV851989 RDR851972:RDR851989 RNN851972:RNN851989 RXJ851972:RXJ851989 SHF851972:SHF851989 SRB851972:SRB851989 TAX851972:TAX851989 TKT851972:TKT851989 TUP851972:TUP851989 UEL851972:UEL851989 UOH851972:UOH851989 UYD851972:UYD851989 VHZ851972:VHZ851989 VRV851972:VRV851989 WBR851972:WBR851989 WLN851972:WLN851989 WVJ851972:WVJ851989 B917508:B917525 IX917508:IX917525 ST917508:ST917525 ACP917508:ACP917525 AML917508:AML917525 AWH917508:AWH917525 BGD917508:BGD917525 BPZ917508:BPZ917525 BZV917508:BZV917525 CJR917508:CJR917525 CTN917508:CTN917525 DDJ917508:DDJ917525 DNF917508:DNF917525 DXB917508:DXB917525 EGX917508:EGX917525 EQT917508:EQT917525 FAP917508:FAP917525 FKL917508:FKL917525 FUH917508:FUH917525 GED917508:GED917525 GNZ917508:GNZ917525 GXV917508:GXV917525 HHR917508:HHR917525 HRN917508:HRN917525 IBJ917508:IBJ917525 ILF917508:ILF917525 IVB917508:IVB917525 JEX917508:JEX917525 JOT917508:JOT917525 JYP917508:JYP917525 KIL917508:KIL917525 KSH917508:KSH917525 LCD917508:LCD917525 LLZ917508:LLZ917525 LVV917508:LVV917525 MFR917508:MFR917525 MPN917508:MPN917525 MZJ917508:MZJ917525 NJF917508:NJF917525 NTB917508:NTB917525 OCX917508:OCX917525 OMT917508:OMT917525 OWP917508:OWP917525 PGL917508:PGL917525 PQH917508:PQH917525 QAD917508:QAD917525 QJZ917508:QJZ917525 QTV917508:QTV917525 RDR917508:RDR917525 RNN917508:RNN917525 RXJ917508:RXJ917525 SHF917508:SHF917525 SRB917508:SRB917525 TAX917508:TAX917525 TKT917508:TKT917525 TUP917508:TUP917525 UEL917508:UEL917525 UOH917508:UOH917525 UYD917508:UYD917525 VHZ917508:VHZ917525 VRV917508:VRV917525 WBR917508:WBR917525 WLN917508:WLN917525 WVJ917508:WVJ917525" xr:uid="{00000000-0002-0000-3600-000000000000}">
      <formula1>trung</formula1>
    </dataValidation>
    <dataValidation type="list" allowBlank="1" showInputMessage="1" showErrorMessage="1" sqref="B20" xr:uid="{00000000-0002-0000-3600-000001000000}">
      <formula1>bichphuong</formula1>
    </dataValidation>
  </dataValidation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361"/>
  <sheetViews>
    <sheetView topLeftCell="A11"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2298</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2299</v>
      </c>
      <c r="C13" s="425"/>
      <c r="D13" s="425"/>
      <c r="E13" s="425"/>
      <c r="F13" s="425"/>
      <c r="G13" s="73">
        <f>G14</f>
        <v>51920000.000000007</v>
      </c>
      <c r="H13" s="74"/>
    </row>
    <row r="14" spans="1:8" s="131" customFormat="1" ht="40.5" customHeight="1">
      <c r="A14" s="123"/>
      <c r="B14" s="124" t="s">
        <v>1757</v>
      </c>
      <c r="C14" s="125" t="s">
        <v>1753</v>
      </c>
      <c r="D14" s="126">
        <v>4.4000000000000004</v>
      </c>
      <c r="E14" s="127">
        <v>11800000</v>
      </c>
      <c r="F14" s="128">
        <v>1</v>
      </c>
      <c r="G14" s="129">
        <f>D14*E14*F14</f>
        <v>51920000.000000007</v>
      </c>
      <c r="H14" s="130"/>
    </row>
    <row r="15" spans="1:8" ht="27" customHeight="1">
      <c r="A15" s="75" t="s">
        <v>18</v>
      </c>
      <c r="B15" s="426" t="s">
        <v>1725</v>
      </c>
      <c r="C15" s="426"/>
      <c r="D15" s="426"/>
      <c r="E15" s="426"/>
      <c r="F15" s="426"/>
      <c r="G15" s="76">
        <f>SUM(G16:G16)</f>
        <v>0</v>
      </c>
      <c r="H15" s="11"/>
    </row>
    <row r="16" spans="1:8" ht="30.6" customHeight="1">
      <c r="A16" s="77"/>
      <c r="B16" s="78" t="s">
        <v>1728</v>
      </c>
      <c r="C16" s="13"/>
      <c r="D16" s="13"/>
      <c r="E16" s="13"/>
      <c r="F16" s="13"/>
      <c r="G16" s="79"/>
      <c r="H16" s="15"/>
    </row>
    <row r="17" spans="1:8" ht="24" customHeight="1">
      <c r="A17" s="75" t="s">
        <v>19</v>
      </c>
      <c r="B17" s="426" t="s">
        <v>1727</v>
      </c>
      <c r="C17" s="426"/>
      <c r="D17" s="426"/>
      <c r="E17" s="426"/>
      <c r="F17" s="426"/>
      <c r="G17" s="76">
        <f>SUM(G18:G18)</f>
        <v>0</v>
      </c>
      <c r="H17" s="11"/>
    </row>
    <row r="18" spans="1:8" ht="30.6" customHeight="1">
      <c r="A18" s="77"/>
      <c r="B18" s="78" t="s">
        <v>1728</v>
      </c>
      <c r="C18" s="13"/>
      <c r="D18" s="13"/>
      <c r="E18" s="13"/>
      <c r="F18" s="13"/>
      <c r="G18" s="79"/>
      <c r="H18" s="15"/>
    </row>
    <row r="19" spans="1:8" ht="15.6">
      <c r="A19" s="80"/>
      <c r="B19" s="427" t="s">
        <v>62</v>
      </c>
      <c r="C19" s="428"/>
      <c r="D19" s="428"/>
      <c r="E19" s="428"/>
      <c r="F19" s="429"/>
      <c r="G19" s="81">
        <f>G13+G15+G17</f>
        <v>51920000.000000007</v>
      </c>
      <c r="H19" s="82"/>
    </row>
    <row r="20" spans="1:8" ht="15.6">
      <c r="A20" s="80"/>
      <c r="B20" s="427" t="s">
        <v>1726</v>
      </c>
      <c r="C20" s="428"/>
      <c r="D20" s="428"/>
      <c r="E20" s="428"/>
      <c r="F20" s="429"/>
      <c r="G20" s="81">
        <f>ROUND(G19,-3)</f>
        <v>51920000</v>
      </c>
      <c r="H20" s="82"/>
    </row>
    <row r="21" spans="1:8" ht="15.6">
      <c r="A21" s="430" t="str">
        <f>[18]!uni(G20)</f>
        <v xml:space="preserve">Năm mươi mốt triệu chín trăm hai mươi nghìn đồng </v>
      </c>
      <c r="B21" s="431"/>
      <c r="C21" s="431"/>
      <c r="D21" s="431"/>
      <c r="E21" s="431"/>
      <c r="F21" s="431"/>
      <c r="G21" s="431"/>
      <c r="H21" s="432"/>
    </row>
    <row r="22" spans="1:8">
      <c r="A22" s="17"/>
      <c r="B22" s="17"/>
      <c r="C22" s="97"/>
      <c r="D22" s="20"/>
      <c r="E22" s="19"/>
      <c r="F22" s="97"/>
      <c r="G22" s="19"/>
      <c r="H22" s="17"/>
    </row>
    <row r="23" spans="1:8" s="109" customFormat="1" ht="16.5" customHeight="1">
      <c r="A23" s="108"/>
      <c r="B23" s="108"/>
      <c r="C23" s="424" t="s">
        <v>1742</v>
      </c>
      <c r="D23" s="424"/>
      <c r="E23" s="424"/>
      <c r="F23" s="424"/>
      <c r="G23" s="424"/>
      <c r="H23" s="424"/>
    </row>
    <row r="24" spans="1:8" s="109" customFormat="1" ht="16.5" customHeight="1">
      <c r="A24" s="423" t="s">
        <v>63</v>
      </c>
      <c r="B24" s="423"/>
      <c r="C24" s="424" t="s">
        <v>1743</v>
      </c>
      <c r="D24" s="424"/>
      <c r="E24" s="424"/>
      <c r="F24" s="424" t="s">
        <v>1744</v>
      </c>
      <c r="G24" s="424"/>
      <c r="H24" s="424"/>
    </row>
    <row r="25" spans="1:8" s="109" customFormat="1" ht="15.6">
      <c r="A25" s="108"/>
      <c r="B25" s="108"/>
      <c r="C25" s="108"/>
      <c r="D25" s="110"/>
      <c r="E25" s="111"/>
      <c r="F25" s="112"/>
      <c r="G25" s="111"/>
      <c r="H25" s="113"/>
    </row>
    <row r="26" spans="1:8" s="109" customFormat="1" ht="15.6">
      <c r="A26" s="108"/>
      <c r="B26" s="108"/>
      <c r="C26" s="108"/>
      <c r="D26" s="110"/>
      <c r="E26" s="111"/>
      <c r="F26" s="112"/>
      <c r="G26" s="114"/>
      <c r="H26" s="113"/>
    </row>
    <row r="27" spans="1:8" s="109" customFormat="1" ht="15.6">
      <c r="A27" s="108"/>
      <c r="B27" s="108"/>
      <c r="C27" s="108"/>
      <c r="D27" s="110"/>
      <c r="E27" s="111"/>
      <c r="F27" s="112"/>
      <c r="G27" s="111"/>
      <c r="H27" s="113"/>
    </row>
    <row r="28" spans="1:8" s="109" customFormat="1" ht="15.6">
      <c r="A28" s="108"/>
      <c r="B28" s="108"/>
      <c r="C28" s="108"/>
      <c r="D28" s="110"/>
      <c r="E28" s="111"/>
      <c r="F28" s="112"/>
      <c r="G28" s="111"/>
      <c r="H28" s="113"/>
    </row>
    <row r="29" spans="1:8" s="109" customFormat="1" ht="15.6">
      <c r="A29" s="108"/>
      <c r="B29" s="108"/>
      <c r="C29" s="108"/>
      <c r="D29" s="110"/>
      <c r="E29" s="111"/>
      <c r="F29" s="112"/>
      <c r="G29" s="111"/>
      <c r="H29" s="113"/>
    </row>
    <row r="30" spans="1:8" s="109" customFormat="1" ht="16.5" customHeight="1">
      <c r="A30" s="108"/>
      <c r="B30" s="198" t="s">
        <v>64</v>
      </c>
      <c r="C30" s="424"/>
      <c r="D30" s="424"/>
      <c r="E30" s="424"/>
      <c r="F30" s="424" t="s">
        <v>1745</v>
      </c>
      <c r="G30" s="424"/>
      <c r="H30" s="424"/>
    </row>
    <row r="31" spans="1:8" s="109" customFormat="1" ht="15.6">
      <c r="A31" s="108"/>
      <c r="B31" s="198"/>
      <c r="C31" s="199"/>
      <c r="D31" s="199"/>
      <c r="E31" s="199"/>
      <c r="F31" s="199"/>
      <c r="G31" s="199"/>
      <c r="H31" s="199"/>
    </row>
    <row r="32" spans="1:8" s="109" customFormat="1" ht="15" customHeight="1">
      <c r="A32" s="424" t="s">
        <v>1746</v>
      </c>
      <c r="B32" s="424"/>
      <c r="C32" s="424"/>
      <c r="D32" s="424"/>
      <c r="E32" s="424" t="s">
        <v>1747</v>
      </c>
      <c r="F32" s="424"/>
      <c r="G32" s="424"/>
      <c r="H32" s="424"/>
    </row>
    <row r="33" spans="1:8" s="109" customFormat="1" ht="33.6" customHeight="1">
      <c r="A33" s="424" t="s">
        <v>1748</v>
      </c>
      <c r="B33" s="424"/>
      <c r="C33" s="424"/>
      <c r="D33" s="424"/>
      <c r="E33" s="424" t="s">
        <v>65</v>
      </c>
      <c r="F33" s="424"/>
      <c r="G33" s="424"/>
      <c r="H33" s="424"/>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ustomHeight="1">
      <c r="A39" s="108"/>
      <c r="B39" s="108"/>
      <c r="C39" s="108"/>
      <c r="D39" s="115"/>
      <c r="E39" s="439" t="s">
        <v>1749</v>
      </c>
      <c r="F39" s="439"/>
      <c r="G39" s="439"/>
      <c r="H39" s="439"/>
    </row>
    <row r="40" spans="1:8" s="109" customFormat="1" ht="16.5" customHeight="1">
      <c r="A40" s="424" t="s">
        <v>1751</v>
      </c>
      <c r="B40" s="424"/>
      <c r="C40" s="424"/>
      <c r="D40" s="424"/>
      <c r="E40" s="424" t="s">
        <v>1750</v>
      </c>
      <c r="F40" s="424"/>
      <c r="G40" s="424"/>
      <c r="H40" s="424"/>
    </row>
    <row r="41" spans="1:8" s="118" customFormat="1" ht="16.2" customHeight="1">
      <c r="A41" s="440"/>
      <c r="B41" s="440"/>
      <c r="C41" s="116"/>
      <c r="D41" s="117"/>
      <c r="E41" s="440"/>
      <c r="F41" s="440"/>
      <c r="G41" s="440"/>
      <c r="H41" s="440"/>
    </row>
    <row r="42" spans="1:8" s="118" customFormat="1" ht="15.75" customHeight="1">
      <c r="A42" s="440"/>
      <c r="B42" s="440"/>
      <c r="C42" s="440"/>
      <c r="D42" s="440"/>
      <c r="E42" s="440"/>
      <c r="F42" s="440"/>
      <c r="G42" s="440"/>
      <c r="H42" s="440"/>
    </row>
    <row r="43" spans="1:8" s="98" customFormat="1" ht="16.2" customHeight="1">
      <c r="A43" s="436"/>
      <c r="B43" s="436"/>
      <c r="C43" s="436"/>
      <c r="D43" s="436"/>
      <c r="E43" s="119"/>
      <c r="F43" s="120"/>
      <c r="G43" s="119"/>
      <c r="H43" s="121"/>
    </row>
    <row r="44" spans="1:8" s="98" customFormat="1" ht="16.2" customHeight="1">
      <c r="A44" s="436"/>
      <c r="B44" s="436"/>
      <c r="C44" s="436"/>
      <c r="D44" s="436"/>
      <c r="E44" s="119"/>
      <c r="F44" s="120"/>
      <c r="G44" s="119"/>
      <c r="H44" s="121"/>
    </row>
    <row r="45" spans="1:8" s="98" customFormat="1" ht="16.2" customHeight="1">
      <c r="A45" s="121"/>
      <c r="B45" s="121"/>
      <c r="C45" s="121"/>
      <c r="D45" s="122"/>
      <c r="E45" s="119"/>
      <c r="F45" s="120"/>
      <c r="G45" s="119"/>
      <c r="H45" s="121"/>
    </row>
    <row r="46" spans="1:8" ht="16.2" customHeight="1">
      <c r="A46" s="83"/>
      <c r="B46" s="83"/>
      <c r="C46" s="83"/>
      <c r="D46" s="84"/>
      <c r="E46" s="85"/>
      <c r="F46" s="86"/>
      <c r="G46" s="85"/>
      <c r="H46" s="83"/>
    </row>
    <row r="47" spans="1:8" ht="16.2" customHeight="1">
      <c r="A47" s="83"/>
      <c r="B47" s="83"/>
      <c r="C47" s="83"/>
      <c r="D47" s="84"/>
      <c r="E47" s="85"/>
      <c r="F47" s="86"/>
      <c r="G47" s="85"/>
      <c r="H47" s="83"/>
    </row>
    <row r="48" spans="1:8" ht="16.2" customHeight="1">
      <c r="A48" s="83"/>
      <c r="B48" s="83"/>
      <c r="C48" s="83"/>
      <c r="D48" s="84"/>
      <c r="E48" s="85"/>
      <c r="F48" s="86"/>
      <c r="G48" s="85"/>
      <c r="H48" s="83"/>
    </row>
    <row r="49" spans="1:8" ht="16.2" customHeight="1">
      <c r="A49" s="83"/>
      <c r="B49" s="83"/>
      <c r="C49" s="83"/>
      <c r="D49" s="84"/>
      <c r="E49" s="437"/>
      <c r="F49" s="437"/>
      <c r="G49" s="437"/>
      <c r="H49" s="437"/>
    </row>
    <row r="50" spans="1:8" ht="20.25" customHeight="1">
      <c r="A50" s="438"/>
      <c r="B50" s="438"/>
      <c r="C50" s="438"/>
      <c r="D50" s="438"/>
      <c r="E50" s="438"/>
      <c r="F50" s="438"/>
      <c r="G50" s="438"/>
      <c r="H50" s="438"/>
    </row>
    <row r="51" spans="1:8" s="17" customFormat="1" ht="16.2" customHeight="1">
      <c r="D51" s="18"/>
      <c r="E51" s="19"/>
      <c r="F51" s="97"/>
      <c r="G51" s="19"/>
    </row>
    <row r="52" spans="1:8" s="17" customFormat="1" ht="16.2" customHeight="1">
      <c r="D52" s="18"/>
      <c r="E52" s="19"/>
      <c r="F52" s="97"/>
      <c r="G52" s="19"/>
    </row>
    <row r="53" spans="1:8" s="17" customFormat="1" ht="16.2" customHeight="1">
      <c r="D53" s="18"/>
      <c r="E53" s="19"/>
      <c r="F53" s="97"/>
      <c r="G53" s="19"/>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C67" s="97"/>
      <c r="D67" s="20"/>
      <c r="E67" s="19"/>
      <c r="F67" s="97"/>
      <c r="G67" s="19"/>
    </row>
    <row r="68" spans="3:7" s="17" customFormat="1" ht="16.2" customHeight="1">
      <c r="C68" s="97"/>
      <c r="D68" s="20"/>
      <c r="E68" s="19"/>
      <c r="F68" s="97"/>
      <c r="G68" s="19"/>
    </row>
    <row r="69" spans="3:7" s="17" customFormat="1" ht="16.2" customHeight="1">
      <c r="C69" s="97"/>
      <c r="D69" s="20"/>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ht="16.2" customHeight="1"/>
    <row r="80" spans="3:7" ht="16.2" customHeight="1"/>
    <row r="81" ht="16.2" customHeight="1"/>
    <row r="82" ht="16.2" customHeight="1"/>
    <row r="83" ht="16.2" customHeight="1"/>
    <row r="84" ht="16.2" customHeight="1"/>
    <row r="85" ht="16.2" customHeight="1"/>
    <row r="86" ht="16.2" customHeight="1"/>
    <row r="87" ht="16.2" customHeight="1"/>
    <row r="88" ht="16.2" customHeight="1"/>
    <row r="89" ht="16.2" customHeight="1"/>
    <row r="90" ht="16.2" customHeight="1"/>
    <row r="91" ht="16.2" customHeight="1"/>
    <row r="92" ht="16.2" customHeight="1"/>
    <row r="93" ht="16.2" customHeight="1"/>
    <row r="94" ht="16.2" customHeight="1"/>
    <row r="95" ht="16.2" customHeight="1"/>
    <row r="96"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row r="226"/>
    <row r="227"/>
    <row r="228"/>
    <row r="229"/>
    <row r="230"/>
    <row r="231"/>
    <row r="232"/>
    <row r="233"/>
    <row r="234"/>
    <row r="235"/>
    <row r="236"/>
    <row r="237"/>
    <row r="238"/>
    <row r="239"/>
    <row r="240"/>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sheetData>
  <mergeCells count="40">
    <mergeCell ref="A4:B4"/>
    <mergeCell ref="C4:H4"/>
    <mergeCell ref="A1:B1"/>
    <mergeCell ref="C1:H1"/>
    <mergeCell ref="A2:B2"/>
    <mergeCell ref="C2:H2"/>
    <mergeCell ref="A3:B3"/>
    <mergeCell ref="A21:H21"/>
    <mergeCell ref="A6:H6"/>
    <mergeCell ref="A7:H7"/>
    <mergeCell ref="A8:H8"/>
    <mergeCell ref="A9:H9"/>
    <mergeCell ref="A10:H10"/>
    <mergeCell ref="A11:H11"/>
    <mergeCell ref="B13:F13"/>
    <mergeCell ref="B15:F15"/>
    <mergeCell ref="B17:F17"/>
    <mergeCell ref="B19:F19"/>
    <mergeCell ref="B20:F20"/>
    <mergeCell ref="A40:D40"/>
    <mergeCell ref="E40:H40"/>
    <mergeCell ref="C23:H23"/>
    <mergeCell ref="A24:B24"/>
    <mergeCell ref="C24:E24"/>
    <mergeCell ref="F24:H24"/>
    <mergeCell ref="C30:E30"/>
    <mergeCell ref="F30:H30"/>
    <mergeCell ref="A32:D32"/>
    <mergeCell ref="E32:H32"/>
    <mergeCell ref="A33:D33"/>
    <mergeCell ref="E33:H33"/>
    <mergeCell ref="E39:H39"/>
    <mergeCell ref="E49:H49"/>
    <mergeCell ref="A50:H50"/>
    <mergeCell ref="A41:B41"/>
    <mergeCell ref="E41:H41"/>
    <mergeCell ref="A42:D42"/>
    <mergeCell ref="E42:H42"/>
    <mergeCell ref="A43:D43"/>
    <mergeCell ref="A44:D44"/>
  </mergeCells>
  <dataValidations count="1">
    <dataValidation type="list" allowBlank="1" showInputMessage="1" showErrorMessage="1" sqref="WVJ983042:WVJ983059 B983042:B983059 IX983042:IX983059 ST983042:ST983059 ACP983042:ACP983059 AML983042:AML983059 AWH983042:AWH983059 BGD983042:BGD983059 BPZ983042:BPZ983059 BZV983042:BZV983059 CJR983042:CJR983059 CTN983042:CTN983059 DDJ983042:DDJ983059 DNF983042:DNF983059 DXB983042:DXB983059 EGX983042:EGX983059 EQT983042:EQT983059 FAP983042:FAP983059 FKL983042:FKL983059 FUH983042:FUH983059 GED983042:GED983059 GNZ983042:GNZ983059 GXV983042:GXV983059 HHR983042:HHR983059 HRN983042:HRN983059 IBJ983042:IBJ983059 ILF983042:ILF983059 IVB983042:IVB983059 JEX983042:JEX983059 JOT983042:JOT983059 JYP983042:JYP983059 KIL983042:KIL983059 KSH983042:KSH983059 LCD983042:LCD983059 LLZ983042:LLZ983059 LVV983042:LVV983059 MFR983042:MFR983059 MPN983042:MPN983059 MZJ983042:MZJ983059 NJF983042:NJF983059 NTB983042:NTB983059 OCX983042:OCX983059 OMT983042:OMT983059 OWP983042:OWP983059 PGL983042:PGL983059 PQH983042:PQH983059 QAD983042:QAD983059 QJZ983042:QJZ983059 QTV983042:QTV983059 RDR983042:RDR983059 RNN983042:RNN983059 RXJ983042:RXJ983059 SHF983042:SHF983059 SRB983042:SRB983059 TAX983042:TAX983059 TKT983042:TKT983059 TUP983042:TUP983059 UEL983042:UEL983059 UOH983042:UOH983059 UYD983042:UYD983059 VHZ983042:VHZ983059 VRV983042:VRV983059 WBR983042:WBR983059 WLN983042:WLN983059 B65538:B65555 IX65538:IX65555 ST65538:ST65555 ACP65538:ACP65555 AML65538:AML65555 AWH65538:AWH65555 BGD65538:BGD65555 BPZ65538:BPZ65555 BZV65538:BZV65555 CJR65538:CJR65555 CTN65538:CTN65555 DDJ65538:DDJ65555 DNF65538:DNF65555 DXB65538:DXB65555 EGX65538:EGX65555 EQT65538:EQT65555 FAP65538:FAP65555 FKL65538:FKL65555 FUH65538:FUH65555 GED65538:GED65555 GNZ65538:GNZ65555 GXV65538:GXV65555 HHR65538:HHR65555 HRN65538:HRN65555 IBJ65538:IBJ65555 ILF65538:ILF65555 IVB65538:IVB65555 JEX65538:JEX65555 JOT65538:JOT65555 JYP65538:JYP65555 KIL65538:KIL65555 KSH65538:KSH65555 LCD65538:LCD65555 LLZ65538:LLZ65555 LVV65538:LVV65555 MFR65538:MFR65555 MPN65538:MPN65555 MZJ65538:MZJ65555 NJF65538:NJF65555 NTB65538:NTB65555 OCX65538:OCX65555 OMT65538:OMT65555 OWP65538:OWP65555 PGL65538:PGL65555 PQH65538:PQH65555 QAD65538:QAD65555 QJZ65538:QJZ65555 QTV65538:QTV65555 RDR65538:RDR65555 RNN65538:RNN65555 RXJ65538:RXJ65555 SHF65538:SHF65555 SRB65538:SRB65555 TAX65538:TAX65555 TKT65538:TKT65555 TUP65538:TUP65555 UEL65538:UEL65555 UOH65538:UOH65555 UYD65538:UYD65555 VHZ65538:VHZ65555 VRV65538:VRV65555 WBR65538:WBR65555 WLN65538:WLN65555 WVJ65538:WVJ65555 B131074:B131091 IX131074:IX131091 ST131074:ST131091 ACP131074:ACP131091 AML131074:AML131091 AWH131074:AWH131091 BGD131074:BGD131091 BPZ131074:BPZ131091 BZV131074:BZV131091 CJR131074:CJR131091 CTN131074:CTN131091 DDJ131074:DDJ131091 DNF131074:DNF131091 DXB131074:DXB131091 EGX131074:EGX131091 EQT131074:EQT131091 FAP131074:FAP131091 FKL131074:FKL131091 FUH131074:FUH131091 GED131074:GED131091 GNZ131074:GNZ131091 GXV131074:GXV131091 HHR131074:HHR131091 HRN131074:HRN131091 IBJ131074:IBJ131091 ILF131074:ILF131091 IVB131074:IVB131091 JEX131074:JEX131091 JOT131074:JOT131091 JYP131074:JYP131091 KIL131074:KIL131091 KSH131074:KSH131091 LCD131074:LCD131091 LLZ131074:LLZ131091 LVV131074:LVV131091 MFR131074:MFR131091 MPN131074:MPN131091 MZJ131074:MZJ131091 NJF131074:NJF131091 NTB131074:NTB131091 OCX131074:OCX131091 OMT131074:OMT131091 OWP131074:OWP131091 PGL131074:PGL131091 PQH131074:PQH131091 QAD131074:QAD131091 QJZ131074:QJZ131091 QTV131074:QTV131091 RDR131074:RDR131091 RNN131074:RNN131091 RXJ131074:RXJ131091 SHF131074:SHF131091 SRB131074:SRB131091 TAX131074:TAX131091 TKT131074:TKT131091 TUP131074:TUP131091 UEL131074:UEL131091 UOH131074:UOH131091 UYD131074:UYD131091 VHZ131074:VHZ131091 VRV131074:VRV131091 WBR131074:WBR131091 WLN131074:WLN131091 WVJ131074:WVJ131091 B196610:B196627 IX196610:IX196627 ST196610:ST196627 ACP196610:ACP196627 AML196610:AML196627 AWH196610:AWH196627 BGD196610:BGD196627 BPZ196610:BPZ196627 BZV196610:BZV196627 CJR196610:CJR196627 CTN196610:CTN196627 DDJ196610:DDJ196627 DNF196610:DNF196627 DXB196610:DXB196627 EGX196610:EGX196627 EQT196610:EQT196627 FAP196610:FAP196627 FKL196610:FKL196627 FUH196610:FUH196627 GED196610:GED196627 GNZ196610:GNZ196627 GXV196610:GXV196627 HHR196610:HHR196627 HRN196610:HRN196627 IBJ196610:IBJ196627 ILF196610:ILF196627 IVB196610:IVB196627 JEX196610:JEX196627 JOT196610:JOT196627 JYP196610:JYP196627 KIL196610:KIL196627 KSH196610:KSH196627 LCD196610:LCD196627 LLZ196610:LLZ196627 LVV196610:LVV196627 MFR196610:MFR196627 MPN196610:MPN196627 MZJ196610:MZJ196627 NJF196610:NJF196627 NTB196610:NTB196627 OCX196610:OCX196627 OMT196610:OMT196627 OWP196610:OWP196627 PGL196610:PGL196627 PQH196610:PQH196627 QAD196610:QAD196627 QJZ196610:QJZ196627 QTV196610:QTV196627 RDR196610:RDR196627 RNN196610:RNN196627 RXJ196610:RXJ196627 SHF196610:SHF196627 SRB196610:SRB196627 TAX196610:TAX196627 TKT196610:TKT196627 TUP196610:TUP196627 UEL196610:UEL196627 UOH196610:UOH196627 UYD196610:UYD196627 VHZ196610:VHZ196627 VRV196610:VRV196627 WBR196610:WBR196627 WLN196610:WLN196627 WVJ196610:WVJ196627 B262146:B262163 IX262146:IX262163 ST262146:ST262163 ACP262146:ACP262163 AML262146:AML262163 AWH262146:AWH262163 BGD262146:BGD262163 BPZ262146:BPZ262163 BZV262146:BZV262163 CJR262146:CJR262163 CTN262146:CTN262163 DDJ262146:DDJ262163 DNF262146:DNF262163 DXB262146:DXB262163 EGX262146:EGX262163 EQT262146:EQT262163 FAP262146:FAP262163 FKL262146:FKL262163 FUH262146:FUH262163 GED262146:GED262163 GNZ262146:GNZ262163 GXV262146:GXV262163 HHR262146:HHR262163 HRN262146:HRN262163 IBJ262146:IBJ262163 ILF262146:ILF262163 IVB262146:IVB262163 JEX262146:JEX262163 JOT262146:JOT262163 JYP262146:JYP262163 KIL262146:KIL262163 KSH262146:KSH262163 LCD262146:LCD262163 LLZ262146:LLZ262163 LVV262146:LVV262163 MFR262146:MFR262163 MPN262146:MPN262163 MZJ262146:MZJ262163 NJF262146:NJF262163 NTB262146:NTB262163 OCX262146:OCX262163 OMT262146:OMT262163 OWP262146:OWP262163 PGL262146:PGL262163 PQH262146:PQH262163 QAD262146:QAD262163 QJZ262146:QJZ262163 QTV262146:QTV262163 RDR262146:RDR262163 RNN262146:RNN262163 RXJ262146:RXJ262163 SHF262146:SHF262163 SRB262146:SRB262163 TAX262146:TAX262163 TKT262146:TKT262163 TUP262146:TUP262163 UEL262146:UEL262163 UOH262146:UOH262163 UYD262146:UYD262163 VHZ262146:VHZ262163 VRV262146:VRV262163 WBR262146:WBR262163 WLN262146:WLN262163 WVJ262146:WVJ262163 B327682:B327699 IX327682:IX327699 ST327682:ST327699 ACP327682:ACP327699 AML327682:AML327699 AWH327682:AWH327699 BGD327682:BGD327699 BPZ327682:BPZ327699 BZV327682:BZV327699 CJR327682:CJR327699 CTN327682:CTN327699 DDJ327682:DDJ327699 DNF327682:DNF327699 DXB327682:DXB327699 EGX327682:EGX327699 EQT327682:EQT327699 FAP327682:FAP327699 FKL327682:FKL327699 FUH327682:FUH327699 GED327682:GED327699 GNZ327682:GNZ327699 GXV327682:GXV327699 HHR327682:HHR327699 HRN327682:HRN327699 IBJ327682:IBJ327699 ILF327682:ILF327699 IVB327682:IVB327699 JEX327682:JEX327699 JOT327682:JOT327699 JYP327682:JYP327699 KIL327682:KIL327699 KSH327682:KSH327699 LCD327682:LCD327699 LLZ327682:LLZ327699 LVV327682:LVV327699 MFR327682:MFR327699 MPN327682:MPN327699 MZJ327682:MZJ327699 NJF327682:NJF327699 NTB327682:NTB327699 OCX327682:OCX327699 OMT327682:OMT327699 OWP327682:OWP327699 PGL327682:PGL327699 PQH327682:PQH327699 QAD327682:QAD327699 QJZ327682:QJZ327699 QTV327682:QTV327699 RDR327682:RDR327699 RNN327682:RNN327699 RXJ327682:RXJ327699 SHF327682:SHF327699 SRB327682:SRB327699 TAX327682:TAX327699 TKT327682:TKT327699 TUP327682:TUP327699 UEL327682:UEL327699 UOH327682:UOH327699 UYD327682:UYD327699 VHZ327682:VHZ327699 VRV327682:VRV327699 WBR327682:WBR327699 WLN327682:WLN327699 WVJ327682:WVJ327699 B393218:B393235 IX393218:IX393235 ST393218:ST393235 ACP393218:ACP393235 AML393218:AML393235 AWH393218:AWH393235 BGD393218:BGD393235 BPZ393218:BPZ393235 BZV393218:BZV393235 CJR393218:CJR393235 CTN393218:CTN393235 DDJ393218:DDJ393235 DNF393218:DNF393235 DXB393218:DXB393235 EGX393218:EGX393235 EQT393218:EQT393235 FAP393218:FAP393235 FKL393218:FKL393235 FUH393218:FUH393235 GED393218:GED393235 GNZ393218:GNZ393235 GXV393218:GXV393235 HHR393218:HHR393235 HRN393218:HRN393235 IBJ393218:IBJ393235 ILF393218:ILF393235 IVB393218:IVB393235 JEX393218:JEX393235 JOT393218:JOT393235 JYP393218:JYP393235 KIL393218:KIL393235 KSH393218:KSH393235 LCD393218:LCD393235 LLZ393218:LLZ393235 LVV393218:LVV393235 MFR393218:MFR393235 MPN393218:MPN393235 MZJ393218:MZJ393235 NJF393218:NJF393235 NTB393218:NTB393235 OCX393218:OCX393235 OMT393218:OMT393235 OWP393218:OWP393235 PGL393218:PGL393235 PQH393218:PQH393235 QAD393218:QAD393235 QJZ393218:QJZ393235 QTV393218:QTV393235 RDR393218:RDR393235 RNN393218:RNN393235 RXJ393218:RXJ393235 SHF393218:SHF393235 SRB393218:SRB393235 TAX393218:TAX393235 TKT393218:TKT393235 TUP393218:TUP393235 UEL393218:UEL393235 UOH393218:UOH393235 UYD393218:UYD393235 VHZ393218:VHZ393235 VRV393218:VRV393235 WBR393218:WBR393235 WLN393218:WLN393235 WVJ393218:WVJ393235 B458754:B458771 IX458754:IX458771 ST458754:ST458771 ACP458754:ACP458771 AML458754:AML458771 AWH458754:AWH458771 BGD458754:BGD458771 BPZ458754:BPZ458771 BZV458754:BZV458771 CJR458754:CJR458771 CTN458754:CTN458771 DDJ458754:DDJ458771 DNF458754:DNF458771 DXB458754:DXB458771 EGX458754:EGX458771 EQT458754:EQT458771 FAP458754:FAP458771 FKL458754:FKL458771 FUH458754:FUH458771 GED458754:GED458771 GNZ458754:GNZ458771 GXV458754:GXV458771 HHR458754:HHR458771 HRN458754:HRN458771 IBJ458754:IBJ458771 ILF458754:ILF458771 IVB458754:IVB458771 JEX458754:JEX458771 JOT458754:JOT458771 JYP458754:JYP458771 KIL458754:KIL458771 KSH458754:KSH458771 LCD458754:LCD458771 LLZ458754:LLZ458771 LVV458754:LVV458771 MFR458754:MFR458771 MPN458754:MPN458771 MZJ458754:MZJ458771 NJF458754:NJF458771 NTB458754:NTB458771 OCX458754:OCX458771 OMT458754:OMT458771 OWP458754:OWP458771 PGL458754:PGL458771 PQH458754:PQH458771 QAD458754:QAD458771 QJZ458754:QJZ458771 QTV458754:QTV458771 RDR458754:RDR458771 RNN458754:RNN458771 RXJ458754:RXJ458771 SHF458754:SHF458771 SRB458754:SRB458771 TAX458754:TAX458771 TKT458754:TKT458771 TUP458754:TUP458771 UEL458754:UEL458771 UOH458754:UOH458771 UYD458754:UYD458771 VHZ458754:VHZ458771 VRV458754:VRV458771 WBR458754:WBR458771 WLN458754:WLN458771 WVJ458754:WVJ458771 B524290:B524307 IX524290:IX524307 ST524290:ST524307 ACP524290:ACP524307 AML524290:AML524307 AWH524290:AWH524307 BGD524290:BGD524307 BPZ524290:BPZ524307 BZV524290:BZV524307 CJR524290:CJR524307 CTN524290:CTN524307 DDJ524290:DDJ524307 DNF524290:DNF524307 DXB524290:DXB524307 EGX524290:EGX524307 EQT524290:EQT524307 FAP524290:FAP524307 FKL524290:FKL524307 FUH524290:FUH524307 GED524290:GED524307 GNZ524290:GNZ524307 GXV524290:GXV524307 HHR524290:HHR524307 HRN524290:HRN524307 IBJ524290:IBJ524307 ILF524290:ILF524307 IVB524290:IVB524307 JEX524290:JEX524307 JOT524290:JOT524307 JYP524290:JYP524307 KIL524290:KIL524307 KSH524290:KSH524307 LCD524290:LCD524307 LLZ524290:LLZ524307 LVV524290:LVV524307 MFR524290:MFR524307 MPN524290:MPN524307 MZJ524290:MZJ524307 NJF524290:NJF524307 NTB524290:NTB524307 OCX524290:OCX524307 OMT524290:OMT524307 OWP524290:OWP524307 PGL524290:PGL524307 PQH524290:PQH524307 QAD524290:QAD524307 QJZ524290:QJZ524307 QTV524290:QTV524307 RDR524290:RDR524307 RNN524290:RNN524307 RXJ524290:RXJ524307 SHF524290:SHF524307 SRB524290:SRB524307 TAX524290:TAX524307 TKT524290:TKT524307 TUP524290:TUP524307 UEL524290:UEL524307 UOH524290:UOH524307 UYD524290:UYD524307 VHZ524290:VHZ524307 VRV524290:VRV524307 WBR524290:WBR524307 WLN524290:WLN524307 WVJ524290:WVJ524307 B589826:B589843 IX589826:IX589843 ST589826:ST589843 ACP589826:ACP589843 AML589826:AML589843 AWH589826:AWH589843 BGD589826:BGD589843 BPZ589826:BPZ589843 BZV589826:BZV589843 CJR589826:CJR589843 CTN589826:CTN589843 DDJ589826:DDJ589843 DNF589826:DNF589843 DXB589826:DXB589843 EGX589826:EGX589843 EQT589826:EQT589843 FAP589826:FAP589843 FKL589826:FKL589843 FUH589826:FUH589843 GED589826:GED589843 GNZ589826:GNZ589843 GXV589826:GXV589843 HHR589826:HHR589843 HRN589826:HRN589843 IBJ589826:IBJ589843 ILF589826:ILF589843 IVB589826:IVB589843 JEX589826:JEX589843 JOT589826:JOT589843 JYP589826:JYP589843 KIL589826:KIL589843 KSH589826:KSH589843 LCD589826:LCD589843 LLZ589826:LLZ589843 LVV589826:LVV589843 MFR589826:MFR589843 MPN589826:MPN589843 MZJ589826:MZJ589843 NJF589826:NJF589843 NTB589826:NTB589843 OCX589826:OCX589843 OMT589826:OMT589843 OWP589826:OWP589843 PGL589826:PGL589843 PQH589826:PQH589843 QAD589826:QAD589843 QJZ589826:QJZ589843 QTV589826:QTV589843 RDR589826:RDR589843 RNN589826:RNN589843 RXJ589826:RXJ589843 SHF589826:SHF589843 SRB589826:SRB589843 TAX589826:TAX589843 TKT589826:TKT589843 TUP589826:TUP589843 UEL589826:UEL589843 UOH589826:UOH589843 UYD589826:UYD589843 VHZ589826:VHZ589843 VRV589826:VRV589843 WBR589826:WBR589843 WLN589826:WLN589843 WVJ589826:WVJ589843 B655362:B655379 IX655362:IX655379 ST655362:ST655379 ACP655362:ACP655379 AML655362:AML655379 AWH655362:AWH655379 BGD655362:BGD655379 BPZ655362:BPZ655379 BZV655362:BZV655379 CJR655362:CJR655379 CTN655362:CTN655379 DDJ655362:DDJ655379 DNF655362:DNF655379 DXB655362:DXB655379 EGX655362:EGX655379 EQT655362:EQT655379 FAP655362:FAP655379 FKL655362:FKL655379 FUH655362:FUH655379 GED655362:GED655379 GNZ655362:GNZ655379 GXV655362:GXV655379 HHR655362:HHR655379 HRN655362:HRN655379 IBJ655362:IBJ655379 ILF655362:ILF655379 IVB655362:IVB655379 JEX655362:JEX655379 JOT655362:JOT655379 JYP655362:JYP655379 KIL655362:KIL655379 KSH655362:KSH655379 LCD655362:LCD655379 LLZ655362:LLZ655379 LVV655362:LVV655379 MFR655362:MFR655379 MPN655362:MPN655379 MZJ655362:MZJ655379 NJF655362:NJF655379 NTB655362:NTB655379 OCX655362:OCX655379 OMT655362:OMT655379 OWP655362:OWP655379 PGL655362:PGL655379 PQH655362:PQH655379 QAD655362:QAD655379 QJZ655362:QJZ655379 QTV655362:QTV655379 RDR655362:RDR655379 RNN655362:RNN655379 RXJ655362:RXJ655379 SHF655362:SHF655379 SRB655362:SRB655379 TAX655362:TAX655379 TKT655362:TKT655379 TUP655362:TUP655379 UEL655362:UEL655379 UOH655362:UOH655379 UYD655362:UYD655379 VHZ655362:VHZ655379 VRV655362:VRV655379 WBR655362:WBR655379 WLN655362:WLN655379 WVJ655362:WVJ655379 B720898:B720915 IX720898:IX720915 ST720898:ST720915 ACP720898:ACP720915 AML720898:AML720915 AWH720898:AWH720915 BGD720898:BGD720915 BPZ720898:BPZ720915 BZV720898:BZV720915 CJR720898:CJR720915 CTN720898:CTN720915 DDJ720898:DDJ720915 DNF720898:DNF720915 DXB720898:DXB720915 EGX720898:EGX720915 EQT720898:EQT720915 FAP720898:FAP720915 FKL720898:FKL720915 FUH720898:FUH720915 GED720898:GED720915 GNZ720898:GNZ720915 GXV720898:GXV720915 HHR720898:HHR720915 HRN720898:HRN720915 IBJ720898:IBJ720915 ILF720898:ILF720915 IVB720898:IVB720915 JEX720898:JEX720915 JOT720898:JOT720915 JYP720898:JYP720915 KIL720898:KIL720915 KSH720898:KSH720915 LCD720898:LCD720915 LLZ720898:LLZ720915 LVV720898:LVV720915 MFR720898:MFR720915 MPN720898:MPN720915 MZJ720898:MZJ720915 NJF720898:NJF720915 NTB720898:NTB720915 OCX720898:OCX720915 OMT720898:OMT720915 OWP720898:OWP720915 PGL720898:PGL720915 PQH720898:PQH720915 QAD720898:QAD720915 QJZ720898:QJZ720915 QTV720898:QTV720915 RDR720898:RDR720915 RNN720898:RNN720915 RXJ720898:RXJ720915 SHF720898:SHF720915 SRB720898:SRB720915 TAX720898:TAX720915 TKT720898:TKT720915 TUP720898:TUP720915 UEL720898:UEL720915 UOH720898:UOH720915 UYD720898:UYD720915 VHZ720898:VHZ720915 VRV720898:VRV720915 WBR720898:WBR720915 WLN720898:WLN720915 WVJ720898:WVJ720915 B786434:B786451 IX786434:IX786451 ST786434:ST786451 ACP786434:ACP786451 AML786434:AML786451 AWH786434:AWH786451 BGD786434:BGD786451 BPZ786434:BPZ786451 BZV786434:BZV786451 CJR786434:CJR786451 CTN786434:CTN786451 DDJ786434:DDJ786451 DNF786434:DNF786451 DXB786434:DXB786451 EGX786434:EGX786451 EQT786434:EQT786451 FAP786434:FAP786451 FKL786434:FKL786451 FUH786434:FUH786451 GED786434:GED786451 GNZ786434:GNZ786451 GXV786434:GXV786451 HHR786434:HHR786451 HRN786434:HRN786451 IBJ786434:IBJ786451 ILF786434:ILF786451 IVB786434:IVB786451 JEX786434:JEX786451 JOT786434:JOT786451 JYP786434:JYP786451 KIL786434:KIL786451 KSH786434:KSH786451 LCD786434:LCD786451 LLZ786434:LLZ786451 LVV786434:LVV786451 MFR786434:MFR786451 MPN786434:MPN786451 MZJ786434:MZJ786451 NJF786434:NJF786451 NTB786434:NTB786451 OCX786434:OCX786451 OMT786434:OMT786451 OWP786434:OWP786451 PGL786434:PGL786451 PQH786434:PQH786451 QAD786434:QAD786451 QJZ786434:QJZ786451 QTV786434:QTV786451 RDR786434:RDR786451 RNN786434:RNN786451 RXJ786434:RXJ786451 SHF786434:SHF786451 SRB786434:SRB786451 TAX786434:TAX786451 TKT786434:TKT786451 TUP786434:TUP786451 UEL786434:UEL786451 UOH786434:UOH786451 UYD786434:UYD786451 VHZ786434:VHZ786451 VRV786434:VRV786451 WBR786434:WBR786451 WLN786434:WLN786451 WVJ786434:WVJ786451 B851970:B851987 IX851970:IX851987 ST851970:ST851987 ACP851970:ACP851987 AML851970:AML851987 AWH851970:AWH851987 BGD851970:BGD851987 BPZ851970:BPZ851987 BZV851970:BZV851987 CJR851970:CJR851987 CTN851970:CTN851987 DDJ851970:DDJ851987 DNF851970:DNF851987 DXB851970:DXB851987 EGX851970:EGX851987 EQT851970:EQT851987 FAP851970:FAP851987 FKL851970:FKL851987 FUH851970:FUH851987 GED851970:GED851987 GNZ851970:GNZ851987 GXV851970:GXV851987 HHR851970:HHR851987 HRN851970:HRN851987 IBJ851970:IBJ851987 ILF851970:ILF851987 IVB851970:IVB851987 JEX851970:JEX851987 JOT851970:JOT851987 JYP851970:JYP851987 KIL851970:KIL851987 KSH851970:KSH851987 LCD851970:LCD851987 LLZ851970:LLZ851987 LVV851970:LVV851987 MFR851970:MFR851987 MPN851970:MPN851987 MZJ851970:MZJ851987 NJF851970:NJF851987 NTB851970:NTB851987 OCX851970:OCX851987 OMT851970:OMT851987 OWP851970:OWP851987 PGL851970:PGL851987 PQH851970:PQH851987 QAD851970:QAD851987 QJZ851970:QJZ851987 QTV851970:QTV851987 RDR851970:RDR851987 RNN851970:RNN851987 RXJ851970:RXJ851987 SHF851970:SHF851987 SRB851970:SRB851987 TAX851970:TAX851987 TKT851970:TKT851987 TUP851970:TUP851987 UEL851970:UEL851987 UOH851970:UOH851987 UYD851970:UYD851987 VHZ851970:VHZ851987 VRV851970:VRV851987 WBR851970:WBR851987 WLN851970:WLN851987 WVJ851970:WVJ851987 B917506:B917523 IX917506:IX917523 ST917506:ST917523 ACP917506:ACP917523 AML917506:AML917523 AWH917506:AWH917523 BGD917506:BGD917523 BPZ917506:BPZ917523 BZV917506:BZV917523 CJR917506:CJR917523 CTN917506:CTN917523 DDJ917506:DDJ917523 DNF917506:DNF917523 DXB917506:DXB917523 EGX917506:EGX917523 EQT917506:EQT917523 FAP917506:FAP917523 FKL917506:FKL917523 FUH917506:FUH917523 GED917506:GED917523 GNZ917506:GNZ917523 GXV917506:GXV917523 HHR917506:HHR917523 HRN917506:HRN917523 IBJ917506:IBJ917523 ILF917506:ILF917523 IVB917506:IVB917523 JEX917506:JEX917523 JOT917506:JOT917523 JYP917506:JYP917523 KIL917506:KIL917523 KSH917506:KSH917523 LCD917506:LCD917523 LLZ917506:LLZ917523 LVV917506:LVV917523 MFR917506:MFR917523 MPN917506:MPN917523 MZJ917506:MZJ917523 NJF917506:NJF917523 NTB917506:NTB917523 OCX917506:OCX917523 OMT917506:OMT917523 OWP917506:OWP917523 PGL917506:PGL917523 PQH917506:PQH917523 QAD917506:QAD917523 QJZ917506:QJZ917523 QTV917506:QTV917523 RDR917506:RDR917523 RNN917506:RNN917523 RXJ917506:RXJ917523 SHF917506:SHF917523 SRB917506:SRB917523 TAX917506:TAX917523 TKT917506:TKT917523 TUP917506:TUP917523 UEL917506:UEL917523 UOH917506:UOH917523 UYD917506:UYD917523 VHZ917506:VHZ917523 VRV917506:VRV917523 WBR917506:WBR917523 WLN917506:WLN917523 WVJ917506:WVJ917523" xr:uid="{00000000-0002-0000-3700-000000000000}">
      <formula1>trung</formula1>
    </dataValidation>
  </dataValidation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366"/>
  <sheetViews>
    <sheetView topLeftCell="A13" workbookViewId="0">
      <selection activeCell="C35" sqref="C35"/>
    </sheetView>
  </sheetViews>
  <sheetFormatPr defaultColWidth="36.09765625" defaultRowHeight="15" customHeight="1" zeroHeight="1"/>
  <cols>
    <col min="1" max="1" width="3.59765625" style="16" customWidth="1"/>
    <col min="2" max="2" width="22.8984375" style="16" customWidth="1"/>
    <col min="3" max="3" width="4.5" style="87" customWidth="1"/>
    <col min="4" max="4" width="5.5" style="88" customWidth="1"/>
    <col min="5" max="5" width="9.5" style="89" customWidth="1"/>
    <col min="6" max="6" width="5.19921875" style="87" customWidth="1"/>
    <col min="7" max="7" width="10.59765625" style="89" customWidth="1"/>
    <col min="8" max="8" width="7.59765625" style="16" customWidth="1"/>
    <col min="9" max="248" width="0" style="16" hidden="1" customWidth="1"/>
    <col min="249" max="249" width="8.09765625" style="16" customWidth="1"/>
    <col min="250" max="250" width="3" style="16" customWidth="1"/>
    <col min="251" max="251" width="5.5" style="16" customWidth="1"/>
    <col min="252" max="252" width="3.5" style="16" customWidth="1"/>
    <col min="253" max="253" width="7.5" style="16" customWidth="1"/>
    <col min="254" max="254" width="9.765625E-2" style="16" customWidth="1"/>
    <col min="255" max="255" width="0.5" style="16" customWidth="1"/>
    <col min="256" max="256" width="36.09765625" style="16"/>
    <col min="257" max="257" width="3.59765625" style="16" customWidth="1"/>
    <col min="258" max="258" width="22.8984375" style="16" customWidth="1"/>
    <col min="259" max="259" width="4.5" style="16" customWidth="1"/>
    <col min="260" max="260" width="5.5" style="16" customWidth="1"/>
    <col min="261" max="261" width="9.5" style="16" customWidth="1"/>
    <col min="262" max="262" width="5.19921875" style="16" customWidth="1"/>
    <col min="263" max="263" width="10.59765625" style="16" customWidth="1"/>
    <col min="264" max="264" width="7.59765625" style="16" customWidth="1"/>
    <col min="265" max="504" width="0" style="16" hidden="1" customWidth="1"/>
    <col min="505" max="505" width="8.09765625" style="16" customWidth="1"/>
    <col min="506" max="506" width="3" style="16" customWidth="1"/>
    <col min="507" max="507" width="5.5" style="16" customWidth="1"/>
    <col min="508" max="508" width="3.5" style="16" customWidth="1"/>
    <col min="509" max="509" width="7.5" style="16" customWidth="1"/>
    <col min="510" max="510" width="9.765625E-2" style="16" customWidth="1"/>
    <col min="511" max="511" width="0.5" style="16" customWidth="1"/>
    <col min="512" max="512" width="36.09765625" style="16"/>
    <col min="513" max="513" width="3.59765625" style="16" customWidth="1"/>
    <col min="514" max="514" width="22.8984375" style="16" customWidth="1"/>
    <col min="515" max="515" width="4.5" style="16" customWidth="1"/>
    <col min="516" max="516" width="5.5" style="16" customWidth="1"/>
    <col min="517" max="517" width="9.5" style="16" customWidth="1"/>
    <col min="518" max="518" width="5.19921875" style="16" customWidth="1"/>
    <col min="519" max="519" width="10.59765625" style="16" customWidth="1"/>
    <col min="520" max="520" width="7.59765625" style="16" customWidth="1"/>
    <col min="521" max="760" width="0" style="16" hidden="1" customWidth="1"/>
    <col min="761" max="761" width="8.09765625" style="16" customWidth="1"/>
    <col min="762" max="762" width="3" style="16" customWidth="1"/>
    <col min="763" max="763" width="5.5" style="16" customWidth="1"/>
    <col min="764" max="764" width="3.5" style="16" customWidth="1"/>
    <col min="765" max="765" width="7.5" style="16" customWidth="1"/>
    <col min="766" max="766" width="9.765625E-2" style="16" customWidth="1"/>
    <col min="767" max="767" width="0.5" style="16" customWidth="1"/>
    <col min="768" max="768" width="36.09765625" style="16"/>
    <col min="769" max="769" width="3.59765625" style="16" customWidth="1"/>
    <col min="770" max="770" width="22.8984375" style="16" customWidth="1"/>
    <col min="771" max="771" width="4.5" style="16" customWidth="1"/>
    <col min="772" max="772" width="5.5" style="16" customWidth="1"/>
    <col min="773" max="773" width="9.5" style="16" customWidth="1"/>
    <col min="774" max="774" width="5.19921875" style="16" customWidth="1"/>
    <col min="775" max="775" width="10.59765625" style="16" customWidth="1"/>
    <col min="776" max="776" width="7.59765625" style="16" customWidth="1"/>
    <col min="777" max="1016" width="0" style="16" hidden="1" customWidth="1"/>
    <col min="1017" max="1017" width="8.09765625" style="16" customWidth="1"/>
    <col min="1018" max="1018" width="3" style="16" customWidth="1"/>
    <col min="1019" max="1019" width="5.5" style="16" customWidth="1"/>
    <col min="1020" max="1020" width="3.5" style="16" customWidth="1"/>
    <col min="1021" max="1021" width="7.5" style="16" customWidth="1"/>
    <col min="1022" max="1022" width="9.765625E-2" style="16" customWidth="1"/>
    <col min="1023" max="1023" width="0.5" style="16" customWidth="1"/>
    <col min="1024" max="1024" width="36.09765625" style="16"/>
    <col min="1025" max="1025" width="3.59765625" style="16" customWidth="1"/>
    <col min="1026" max="1026" width="22.8984375" style="16" customWidth="1"/>
    <col min="1027" max="1027" width="4.5" style="16" customWidth="1"/>
    <col min="1028" max="1028" width="5.5" style="16" customWidth="1"/>
    <col min="1029" max="1029" width="9.5" style="16" customWidth="1"/>
    <col min="1030" max="1030" width="5.19921875" style="16" customWidth="1"/>
    <col min="1031" max="1031" width="10.59765625" style="16" customWidth="1"/>
    <col min="1032" max="1032" width="7.59765625" style="16" customWidth="1"/>
    <col min="1033" max="1272" width="0" style="16" hidden="1" customWidth="1"/>
    <col min="1273" max="1273" width="8.09765625" style="16" customWidth="1"/>
    <col min="1274" max="1274" width="3" style="16" customWidth="1"/>
    <col min="1275" max="1275" width="5.5" style="16" customWidth="1"/>
    <col min="1276" max="1276" width="3.5" style="16" customWidth="1"/>
    <col min="1277" max="1277" width="7.5" style="16" customWidth="1"/>
    <col min="1278" max="1278" width="9.765625E-2" style="16" customWidth="1"/>
    <col min="1279" max="1279" width="0.5" style="16" customWidth="1"/>
    <col min="1280" max="1280" width="36.09765625" style="16"/>
    <col min="1281" max="1281" width="3.59765625" style="16" customWidth="1"/>
    <col min="1282" max="1282" width="22.8984375" style="16" customWidth="1"/>
    <col min="1283" max="1283" width="4.5" style="16" customWidth="1"/>
    <col min="1284" max="1284" width="5.5" style="16" customWidth="1"/>
    <col min="1285" max="1285" width="9.5" style="16" customWidth="1"/>
    <col min="1286" max="1286" width="5.19921875" style="16" customWidth="1"/>
    <col min="1287" max="1287" width="10.59765625" style="16" customWidth="1"/>
    <col min="1288" max="1288" width="7.59765625" style="16" customWidth="1"/>
    <col min="1289" max="1528" width="0" style="16" hidden="1" customWidth="1"/>
    <col min="1529" max="1529" width="8.09765625" style="16" customWidth="1"/>
    <col min="1530" max="1530" width="3" style="16" customWidth="1"/>
    <col min="1531" max="1531" width="5.5" style="16" customWidth="1"/>
    <col min="1532" max="1532" width="3.5" style="16" customWidth="1"/>
    <col min="1533" max="1533" width="7.5" style="16" customWidth="1"/>
    <col min="1534" max="1534" width="9.765625E-2" style="16" customWidth="1"/>
    <col min="1535" max="1535" width="0.5" style="16" customWidth="1"/>
    <col min="1536" max="1536" width="36.09765625" style="16"/>
    <col min="1537" max="1537" width="3.59765625" style="16" customWidth="1"/>
    <col min="1538" max="1538" width="22.8984375" style="16" customWidth="1"/>
    <col min="1539" max="1539" width="4.5" style="16" customWidth="1"/>
    <col min="1540" max="1540" width="5.5" style="16" customWidth="1"/>
    <col min="1541" max="1541" width="9.5" style="16" customWidth="1"/>
    <col min="1542" max="1542" width="5.19921875" style="16" customWidth="1"/>
    <col min="1543" max="1543" width="10.59765625" style="16" customWidth="1"/>
    <col min="1544" max="1544" width="7.59765625" style="16" customWidth="1"/>
    <col min="1545" max="1784" width="0" style="16" hidden="1" customWidth="1"/>
    <col min="1785" max="1785" width="8.09765625" style="16" customWidth="1"/>
    <col min="1786" max="1786" width="3" style="16" customWidth="1"/>
    <col min="1787" max="1787" width="5.5" style="16" customWidth="1"/>
    <col min="1788" max="1788" width="3.5" style="16" customWidth="1"/>
    <col min="1789" max="1789" width="7.5" style="16" customWidth="1"/>
    <col min="1790" max="1790" width="9.765625E-2" style="16" customWidth="1"/>
    <col min="1791" max="1791" width="0.5" style="16" customWidth="1"/>
    <col min="1792" max="1792" width="36.09765625" style="16"/>
    <col min="1793" max="1793" width="3.59765625" style="16" customWidth="1"/>
    <col min="1794" max="1794" width="22.8984375" style="16" customWidth="1"/>
    <col min="1795" max="1795" width="4.5" style="16" customWidth="1"/>
    <col min="1796" max="1796" width="5.5" style="16" customWidth="1"/>
    <col min="1797" max="1797" width="9.5" style="16" customWidth="1"/>
    <col min="1798" max="1798" width="5.19921875" style="16" customWidth="1"/>
    <col min="1799" max="1799" width="10.59765625" style="16" customWidth="1"/>
    <col min="1800" max="1800" width="7.59765625" style="16" customWidth="1"/>
    <col min="1801" max="2040" width="0" style="16" hidden="1" customWidth="1"/>
    <col min="2041" max="2041" width="8.09765625" style="16" customWidth="1"/>
    <col min="2042" max="2042" width="3" style="16" customWidth="1"/>
    <col min="2043" max="2043" width="5.5" style="16" customWidth="1"/>
    <col min="2044" max="2044" width="3.5" style="16" customWidth="1"/>
    <col min="2045" max="2045" width="7.5" style="16" customWidth="1"/>
    <col min="2046" max="2046" width="9.765625E-2" style="16" customWidth="1"/>
    <col min="2047" max="2047" width="0.5" style="16" customWidth="1"/>
    <col min="2048" max="2048" width="36.09765625" style="16"/>
    <col min="2049" max="2049" width="3.59765625" style="16" customWidth="1"/>
    <col min="2050" max="2050" width="22.8984375" style="16" customWidth="1"/>
    <col min="2051" max="2051" width="4.5" style="16" customWidth="1"/>
    <col min="2052" max="2052" width="5.5" style="16" customWidth="1"/>
    <col min="2053" max="2053" width="9.5" style="16" customWidth="1"/>
    <col min="2054" max="2054" width="5.19921875" style="16" customWidth="1"/>
    <col min="2055" max="2055" width="10.59765625" style="16" customWidth="1"/>
    <col min="2056" max="2056" width="7.59765625" style="16" customWidth="1"/>
    <col min="2057" max="2296" width="0" style="16" hidden="1" customWidth="1"/>
    <col min="2297" max="2297" width="8.09765625" style="16" customWidth="1"/>
    <col min="2298" max="2298" width="3" style="16" customWidth="1"/>
    <col min="2299" max="2299" width="5.5" style="16" customWidth="1"/>
    <col min="2300" max="2300" width="3.5" style="16" customWidth="1"/>
    <col min="2301" max="2301" width="7.5" style="16" customWidth="1"/>
    <col min="2302" max="2302" width="9.765625E-2" style="16" customWidth="1"/>
    <col min="2303" max="2303" width="0.5" style="16" customWidth="1"/>
    <col min="2304" max="2304" width="36.09765625" style="16"/>
    <col min="2305" max="2305" width="3.59765625" style="16" customWidth="1"/>
    <col min="2306" max="2306" width="22.8984375" style="16" customWidth="1"/>
    <col min="2307" max="2307" width="4.5" style="16" customWidth="1"/>
    <col min="2308" max="2308" width="5.5" style="16" customWidth="1"/>
    <col min="2309" max="2309" width="9.5" style="16" customWidth="1"/>
    <col min="2310" max="2310" width="5.19921875" style="16" customWidth="1"/>
    <col min="2311" max="2311" width="10.59765625" style="16" customWidth="1"/>
    <col min="2312" max="2312" width="7.59765625" style="16" customWidth="1"/>
    <col min="2313" max="2552" width="0" style="16" hidden="1" customWidth="1"/>
    <col min="2553" max="2553" width="8.09765625" style="16" customWidth="1"/>
    <col min="2554" max="2554" width="3" style="16" customWidth="1"/>
    <col min="2555" max="2555" width="5.5" style="16" customWidth="1"/>
    <col min="2556" max="2556" width="3.5" style="16" customWidth="1"/>
    <col min="2557" max="2557" width="7.5" style="16" customWidth="1"/>
    <col min="2558" max="2558" width="9.765625E-2" style="16" customWidth="1"/>
    <col min="2559" max="2559" width="0.5" style="16" customWidth="1"/>
    <col min="2560" max="2560" width="36.09765625" style="16"/>
    <col min="2561" max="2561" width="3.59765625" style="16" customWidth="1"/>
    <col min="2562" max="2562" width="22.8984375" style="16" customWidth="1"/>
    <col min="2563" max="2563" width="4.5" style="16" customWidth="1"/>
    <col min="2564" max="2564" width="5.5" style="16" customWidth="1"/>
    <col min="2565" max="2565" width="9.5" style="16" customWidth="1"/>
    <col min="2566" max="2566" width="5.19921875" style="16" customWidth="1"/>
    <col min="2567" max="2567" width="10.59765625" style="16" customWidth="1"/>
    <col min="2568" max="2568" width="7.59765625" style="16" customWidth="1"/>
    <col min="2569" max="2808" width="0" style="16" hidden="1" customWidth="1"/>
    <col min="2809" max="2809" width="8.09765625" style="16" customWidth="1"/>
    <col min="2810" max="2810" width="3" style="16" customWidth="1"/>
    <col min="2811" max="2811" width="5.5" style="16" customWidth="1"/>
    <col min="2812" max="2812" width="3.5" style="16" customWidth="1"/>
    <col min="2813" max="2813" width="7.5" style="16" customWidth="1"/>
    <col min="2814" max="2814" width="9.765625E-2" style="16" customWidth="1"/>
    <col min="2815" max="2815" width="0.5" style="16" customWidth="1"/>
    <col min="2816" max="2816" width="36.09765625" style="16"/>
    <col min="2817" max="2817" width="3.59765625" style="16" customWidth="1"/>
    <col min="2818" max="2818" width="22.8984375" style="16" customWidth="1"/>
    <col min="2819" max="2819" width="4.5" style="16" customWidth="1"/>
    <col min="2820" max="2820" width="5.5" style="16" customWidth="1"/>
    <col min="2821" max="2821" width="9.5" style="16" customWidth="1"/>
    <col min="2822" max="2822" width="5.19921875" style="16" customWidth="1"/>
    <col min="2823" max="2823" width="10.59765625" style="16" customWidth="1"/>
    <col min="2824" max="2824" width="7.59765625" style="16" customWidth="1"/>
    <col min="2825" max="3064" width="0" style="16" hidden="1" customWidth="1"/>
    <col min="3065" max="3065" width="8.09765625" style="16" customWidth="1"/>
    <col min="3066" max="3066" width="3" style="16" customWidth="1"/>
    <col min="3067" max="3067" width="5.5" style="16" customWidth="1"/>
    <col min="3068" max="3068" width="3.5" style="16" customWidth="1"/>
    <col min="3069" max="3069" width="7.5" style="16" customWidth="1"/>
    <col min="3070" max="3070" width="9.765625E-2" style="16" customWidth="1"/>
    <col min="3071" max="3071" width="0.5" style="16" customWidth="1"/>
    <col min="3072" max="3072" width="36.09765625" style="16"/>
    <col min="3073" max="3073" width="3.59765625" style="16" customWidth="1"/>
    <col min="3074" max="3074" width="22.8984375" style="16" customWidth="1"/>
    <col min="3075" max="3075" width="4.5" style="16" customWidth="1"/>
    <col min="3076" max="3076" width="5.5" style="16" customWidth="1"/>
    <col min="3077" max="3077" width="9.5" style="16" customWidth="1"/>
    <col min="3078" max="3078" width="5.19921875" style="16" customWidth="1"/>
    <col min="3079" max="3079" width="10.59765625" style="16" customWidth="1"/>
    <col min="3080" max="3080" width="7.59765625" style="16" customWidth="1"/>
    <col min="3081" max="3320" width="0" style="16" hidden="1" customWidth="1"/>
    <col min="3321" max="3321" width="8.09765625" style="16" customWidth="1"/>
    <col min="3322" max="3322" width="3" style="16" customWidth="1"/>
    <col min="3323" max="3323" width="5.5" style="16" customWidth="1"/>
    <col min="3324" max="3324" width="3.5" style="16" customWidth="1"/>
    <col min="3325" max="3325" width="7.5" style="16" customWidth="1"/>
    <col min="3326" max="3326" width="9.765625E-2" style="16" customWidth="1"/>
    <col min="3327" max="3327" width="0.5" style="16" customWidth="1"/>
    <col min="3328" max="3328" width="36.09765625" style="16"/>
    <col min="3329" max="3329" width="3.59765625" style="16" customWidth="1"/>
    <col min="3330" max="3330" width="22.8984375" style="16" customWidth="1"/>
    <col min="3331" max="3331" width="4.5" style="16" customWidth="1"/>
    <col min="3332" max="3332" width="5.5" style="16" customWidth="1"/>
    <col min="3333" max="3333" width="9.5" style="16" customWidth="1"/>
    <col min="3334" max="3334" width="5.19921875" style="16" customWidth="1"/>
    <col min="3335" max="3335" width="10.59765625" style="16" customWidth="1"/>
    <col min="3336" max="3336" width="7.59765625" style="16" customWidth="1"/>
    <col min="3337" max="3576" width="0" style="16" hidden="1" customWidth="1"/>
    <col min="3577" max="3577" width="8.09765625" style="16" customWidth="1"/>
    <col min="3578" max="3578" width="3" style="16" customWidth="1"/>
    <col min="3579" max="3579" width="5.5" style="16" customWidth="1"/>
    <col min="3580" max="3580" width="3.5" style="16" customWidth="1"/>
    <col min="3581" max="3581" width="7.5" style="16" customWidth="1"/>
    <col min="3582" max="3582" width="9.765625E-2" style="16" customWidth="1"/>
    <col min="3583" max="3583" width="0.5" style="16" customWidth="1"/>
    <col min="3584" max="3584" width="36.09765625" style="16"/>
    <col min="3585" max="3585" width="3.59765625" style="16" customWidth="1"/>
    <col min="3586" max="3586" width="22.8984375" style="16" customWidth="1"/>
    <col min="3587" max="3587" width="4.5" style="16" customWidth="1"/>
    <col min="3588" max="3588" width="5.5" style="16" customWidth="1"/>
    <col min="3589" max="3589" width="9.5" style="16" customWidth="1"/>
    <col min="3590" max="3590" width="5.19921875" style="16" customWidth="1"/>
    <col min="3591" max="3591" width="10.59765625" style="16" customWidth="1"/>
    <col min="3592" max="3592" width="7.59765625" style="16" customWidth="1"/>
    <col min="3593" max="3832" width="0" style="16" hidden="1" customWidth="1"/>
    <col min="3833" max="3833" width="8.09765625" style="16" customWidth="1"/>
    <col min="3834" max="3834" width="3" style="16" customWidth="1"/>
    <col min="3835" max="3835" width="5.5" style="16" customWidth="1"/>
    <col min="3836" max="3836" width="3.5" style="16" customWidth="1"/>
    <col min="3837" max="3837" width="7.5" style="16" customWidth="1"/>
    <col min="3838" max="3838" width="9.765625E-2" style="16" customWidth="1"/>
    <col min="3839" max="3839" width="0.5" style="16" customWidth="1"/>
    <col min="3840" max="3840" width="36.09765625" style="16"/>
    <col min="3841" max="3841" width="3.59765625" style="16" customWidth="1"/>
    <col min="3842" max="3842" width="22.8984375" style="16" customWidth="1"/>
    <col min="3843" max="3843" width="4.5" style="16" customWidth="1"/>
    <col min="3844" max="3844" width="5.5" style="16" customWidth="1"/>
    <col min="3845" max="3845" width="9.5" style="16" customWidth="1"/>
    <col min="3846" max="3846" width="5.19921875" style="16" customWidth="1"/>
    <col min="3847" max="3847" width="10.59765625" style="16" customWidth="1"/>
    <col min="3848" max="3848" width="7.59765625" style="16" customWidth="1"/>
    <col min="3849" max="4088" width="0" style="16" hidden="1" customWidth="1"/>
    <col min="4089" max="4089" width="8.09765625" style="16" customWidth="1"/>
    <col min="4090" max="4090" width="3" style="16" customWidth="1"/>
    <col min="4091" max="4091" width="5.5" style="16" customWidth="1"/>
    <col min="4092" max="4092" width="3.5" style="16" customWidth="1"/>
    <col min="4093" max="4093" width="7.5" style="16" customWidth="1"/>
    <col min="4094" max="4094" width="9.765625E-2" style="16" customWidth="1"/>
    <col min="4095" max="4095" width="0.5" style="16" customWidth="1"/>
    <col min="4096" max="4096" width="36.09765625" style="16"/>
    <col min="4097" max="4097" width="3.59765625" style="16" customWidth="1"/>
    <col min="4098" max="4098" width="22.8984375" style="16" customWidth="1"/>
    <col min="4099" max="4099" width="4.5" style="16" customWidth="1"/>
    <col min="4100" max="4100" width="5.5" style="16" customWidth="1"/>
    <col min="4101" max="4101" width="9.5" style="16" customWidth="1"/>
    <col min="4102" max="4102" width="5.19921875" style="16" customWidth="1"/>
    <col min="4103" max="4103" width="10.59765625" style="16" customWidth="1"/>
    <col min="4104" max="4104" width="7.59765625" style="16" customWidth="1"/>
    <col min="4105" max="4344" width="0" style="16" hidden="1" customWidth="1"/>
    <col min="4345" max="4345" width="8.09765625" style="16" customWidth="1"/>
    <col min="4346" max="4346" width="3" style="16" customWidth="1"/>
    <col min="4347" max="4347" width="5.5" style="16" customWidth="1"/>
    <col min="4348" max="4348" width="3.5" style="16" customWidth="1"/>
    <col min="4349" max="4349" width="7.5" style="16" customWidth="1"/>
    <col min="4350" max="4350" width="9.765625E-2" style="16" customWidth="1"/>
    <col min="4351" max="4351" width="0.5" style="16" customWidth="1"/>
    <col min="4352" max="4352" width="36.09765625" style="16"/>
    <col min="4353" max="4353" width="3.59765625" style="16" customWidth="1"/>
    <col min="4354" max="4354" width="22.8984375" style="16" customWidth="1"/>
    <col min="4355" max="4355" width="4.5" style="16" customWidth="1"/>
    <col min="4356" max="4356" width="5.5" style="16" customWidth="1"/>
    <col min="4357" max="4357" width="9.5" style="16" customWidth="1"/>
    <col min="4358" max="4358" width="5.19921875" style="16" customWidth="1"/>
    <col min="4359" max="4359" width="10.59765625" style="16" customWidth="1"/>
    <col min="4360" max="4360" width="7.59765625" style="16" customWidth="1"/>
    <col min="4361" max="4600" width="0" style="16" hidden="1" customWidth="1"/>
    <col min="4601" max="4601" width="8.09765625" style="16" customWidth="1"/>
    <col min="4602" max="4602" width="3" style="16" customWidth="1"/>
    <col min="4603" max="4603" width="5.5" style="16" customWidth="1"/>
    <col min="4604" max="4604" width="3.5" style="16" customWidth="1"/>
    <col min="4605" max="4605" width="7.5" style="16" customWidth="1"/>
    <col min="4606" max="4606" width="9.765625E-2" style="16" customWidth="1"/>
    <col min="4607" max="4607" width="0.5" style="16" customWidth="1"/>
    <col min="4608" max="4608" width="36.09765625" style="16"/>
    <col min="4609" max="4609" width="3.59765625" style="16" customWidth="1"/>
    <col min="4610" max="4610" width="22.8984375" style="16" customWidth="1"/>
    <col min="4611" max="4611" width="4.5" style="16" customWidth="1"/>
    <col min="4612" max="4612" width="5.5" style="16" customWidth="1"/>
    <col min="4613" max="4613" width="9.5" style="16" customWidth="1"/>
    <col min="4614" max="4614" width="5.19921875" style="16" customWidth="1"/>
    <col min="4615" max="4615" width="10.59765625" style="16" customWidth="1"/>
    <col min="4616" max="4616" width="7.59765625" style="16" customWidth="1"/>
    <col min="4617" max="4856" width="0" style="16" hidden="1" customWidth="1"/>
    <col min="4857" max="4857" width="8.09765625" style="16" customWidth="1"/>
    <col min="4858" max="4858" width="3" style="16" customWidth="1"/>
    <col min="4859" max="4859" width="5.5" style="16" customWidth="1"/>
    <col min="4860" max="4860" width="3.5" style="16" customWidth="1"/>
    <col min="4861" max="4861" width="7.5" style="16" customWidth="1"/>
    <col min="4862" max="4862" width="9.765625E-2" style="16" customWidth="1"/>
    <col min="4863" max="4863" width="0.5" style="16" customWidth="1"/>
    <col min="4864" max="4864" width="36.09765625" style="16"/>
    <col min="4865" max="4865" width="3.59765625" style="16" customWidth="1"/>
    <col min="4866" max="4866" width="22.8984375" style="16" customWidth="1"/>
    <col min="4867" max="4867" width="4.5" style="16" customWidth="1"/>
    <col min="4868" max="4868" width="5.5" style="16" customWidth="1"/>
    <col min="4869" max="4869" width="9.5" style="16" customWidth="1"/>
    <col min="4870" max="4870" width="5.19921875" style="16" customWidth="1"/>
    <col min="4871" max="4871" width="10.59765625" style="16" customWidth="1"/>
    <col min="4872" max="4872" width="7.59765625" style="16" customWidth="1"/>
    <col min="4873" max="5112" width="0" style="16" hidden="1" customWidth="1"/>
    <col min="5113" max="5113" width="8.09765625" style="16" customWidth="1"/>
    <col min="5114" max="5114" width="3" style="16" customWidth="1"/>
    <col min="5115" max="5115" width="5.5" style="16" customWidth="1"/>
    <col min="5116" max="5116" width="3.5" style="16" customWidth="1"/>
    <col min="5117" max="5117" width="7.5" style="16" customWidth="1"/>
    <col min="5118" max="5118" width="9.765625E-2" style="16" customWidth="1"/>
    <col min="5119" max="5119" width="0.5" style="16" customWidth="1"/>
    <col min="5120" max="5120" width="36.09765625" style="16"/>
    <col min="5121" max="5121" width="3.59765625" style="16" customWidth="1"/>
    <col min="5122" max="5122" width="22.8984375" style="16" customWidth="1"/>
    <col min="5123" max="5123" width="4.5" style="16" customWidth="1"/>
    <col min="5124" max="5124" width="5.5" style="16" customWidth="1"/>
    <col min="5125" max="5125" width="9.5" style="16" customWidth="1"/>
    <col min="5126" max="5126" width="5.19921875" style="16" customWidth="1"/>
    <col min="5127" max="5127" width="10.59765625" style="16" customWidth="1"/>
    <col min="5128" max="5128" width="7.59765625" style="16" customWidth="1"/>
    <col min="5129" max="5368" width="0" style="16" hidden="1" customWidth="1"/>
    <col min="5369" max="5369" width="8.09765625" style="16" customWidth="1"/>
    <col min="5370" max="5370" width="3" style="16" customWidth="1"/>
    <col min="5371" max="5371" width="5.5" style="16" customWidth="1"/>
    <col min="5372" max="5372" width="3.5" style="16" customWidth="1"/>
    <col min="5373" max="5373" width="7.5" style="16" customWidth="1"/>
    <col min="5374" max="5374" width="9.765625E-2" style="16" customWidth="1"/>
    <col min="5375" max="5375" width="0.5" style="16" customWidth="1"/>
    <col min="5376" max="5376" width="36.09765625" style="16"/>
    <col min="5377" max="5377" width="3.59765625" style="16" customWidth="1"/>
    <col min="5378" max="5378" width="22.8984375" style="16" customWidth="1"/>
    <col min="5379" max="5379" width="4.5" style="16" customWidth="1"/>
    <col min="5380" max="5380" width="5.5" style="16" customWidth="1"/>
    <col min="5381" max="5381" width="9.5" style="16" customWidth="1"/>
    <col min="5382" max="5382" width="5.19921875" style="16" customWidth="1"/>
    <col min="5383" max="5383" width="10.59765625" style="16" customWidth="1"/>
    <col min="5384" max="5384" width="7.59765625" style="16" customWidth="1"/>
    <col min="5385" max="5624" width="0" style="16" hidden="1" customWidth="1"/>
    <col min="5625" max="5625" width="8.09765625" style="16" customWidth="1"/>
    <col min="5626" max="5626" width="3" style="16" customWidth="1"/>
    <col min="5627" max="5627" width="5.5" style="16" customWidth="1"/>
    <col min="5628" max="5628" width="3.5" style="16" customWidth="1"/>
    <col min="5629" max="5629" width="7.5" style="16" customWidth="1"/>
    <col min="5630" max="5630" width="9.765625E-2" style="16" customWidth="1"/>
    <col min="5631" max="5631" width="0.5" style="16" customWidth="1"/>
    <col min="5632" max="5632" width="36.09765625" style="16"/>
    <col min="5633" max="5633" width="3.59765625" style="16" customWidth="1"/>
    <col min="5634" max="5634" width="22.8984375" style="16" customWidth="1"/>
    <col min="5635" max="5635" width="4.5" style="16" customWidth="1"/>
    <col min="5636" max="5636" width="5.5" style="16" customWidth="1"/>
    <col min="5637" max="5637" width="9.5" style="16" customWidth="1"/>
    <col min="5638" max="5638" width="5.19921875" style="16" customWidth="1"/>
    <col min="5639" max="5639" width="10.59765625" style="16" customWidth="1"/>
    <col min="5640" max="5640" width="7.59765625" style="16" customWidth="1"/>
    <col min="5641" max="5880" width="0" style="16" hidden="1" customWidth="1"/>
    <col min="5881" max="5881" width="8.09765625" style="16" customWidth="1"/>
    <col min="5882" max="5882" width="3" style="16" customWidth="1"/>
    <col min="5883" max="5883" width="5.5" style="16" customWidth="1"/>
    <col min="5884" max="5884" width="3.5" style="16" customWidth="1"/>
    <col min="5885" max="5885" width="7.5" style="16" customWidth="1"/>
    <col min="5886" max="5886" width="9.765625E-2" style="16" customWidth="1"/>
    <col min="5887" max="5887" width="0.5" style="16" customWidth="1"/>
    <col min="5888" max="5888" width="36.09765625" style="16"/>
    <col min="5889" max="5889" width="3.59765625" style="16" customWidth="1"/>
    <col min="5890" max="5890" width="22.8984375" style="16" customWidth="1"/>
    <col min="5891" max="5891" width="4.5" style="16" customWidth="1"/>
    <col min="5892" max="5892" width="5.5" style="16" customWidth="1"/>
    <col min="5893" max="5893" width="9.5" style="16" customWidth="1"/>
    <col min="5894" max="5894" width="5.19921875" style="16" customWidth="1"/>
    <col min="5895" max="5895" width="10.59765625" style="16" customWidth="1"/>
    <col min="5896" max="5896" width="7.59765625" style="16" customWidth="1"/>
    <col min="5897" max="6136" width="0" style="16" hidden="1" customWidth="1"/>
    <col min="6137" max="6137" width="8.09765625" style="16" customWidth="1"/>
    <col min="6138" max="6138" width="3" style="16" customWidth="1"/>
    <col min="6139" max="6139" width="5.5" style="16" customWidth="1"/>
    <col min="6140" max="6140" width="3.5" style="16" customWidth="1"/>
    <col min="6141" max="6141" width="7.5" style="16" customWidth="1"/>
    <col min="6142" max="6142" width="9.765625E-2" style="16" customWidth="1"/>
    <col min="6143" max="6143" width="0.5" style="16" customWidth="1"/>
    <col min="6144" max="6144" width="36.09765625" style="16"/>
    <col min="6145" max="6145" width="3.59765625" style="16" customWidth="1"/>
    <col min="6146" max="6146" width="22.8984375" style="16" customWidth="1"/>
    <col min="6147" max="6147" width="4.5" style="16" customWidth="1"/>
    <col min="6148" max="6148" width="5.5" style="16" customWidth="1"/>
    <col min="6149" max="6149" width="9.5" style="16" customWidth="1"/>
    <col min="6150" max="6150" width="5.19921875" style="16" customWidth="1"/>
    <col min="6151" max="6151" width="10.59765625" style="16" customWidth="1"/>
    <col min="6152" max="6152" width="7.59765625" style="16" customWidth="1"/>
    <col min="6153" max="6392" width="0" style="16" hidden="1" customWidth="1"/>
    <col min="6393" max="6393" width="8.09765625" style="16" customWidth="1"/>
    <col min="6394" max="6394" width="3" style="16" customWidth="1"/>
    <col min="6395" max="6395" width="5.5" style="16" customWidth="1"/>
    <col min="6396" max="6396" width="3.5" style="16" customWidth="1"/>
    <col min="6397" max="6397" width="7.5" style="16" customWidth="1"/>
    <col min="6398" max="6398" width="9.765625E-2" style="16" customWidth="1"/>
    <col min="6399" max="6399" width="0.5" style="16" customWidth="1"/>
    <col min="6400" max="6400" width="36.09765625" style="16"/>
    <col min="6401" max="6401" width="3.59765625" style="16" customWidth="1"/>
    <col min="6402" max="6402" width="22.8984375" style="16" customWidth="1"/>
    <col min="6403" max="6403" width="4.5" style="16" customWidth="1"/>
    <col min="6404" max="6404" width="5.5" style="16" customWidth="1"/>
    <col min="6405" max="6405" width="9.5" style="16" customWidth="1"/>
    <col min="6406" max="6406" width="5.19921875" style="16" customWidth="1"/>
    <col min="6407" max="6407" width="10.59765625" style="16" customWidth="1"/>
    <col min="6408" max="6408" width="7.59765625" style="16" customWidth="1"/>
    <col min="6409" max="6648" width="0" style="16" hidden="1" customWidth="1"/>
    <col min="6649" max="6649" width="8.09765625" style="16" customWidth="1"/>
    <col min="6650" max="6650" width="3" style="16" customWidth="1"/>
    <col min="6651" max="6651" width="5.5" style="16" customWidth="1"/>
    <col min="6652" max="6652" width="3.5" style="16" customWidth="1"/>
    <col min="6653" max="6653" width="7.5" style="16" customWidth="1"/>
    <col min="6654" max="6654" width="9.765625E-2" style="16" customWidth="1"/>
    <col min="6655" max="6655" width="0.5" style="16" customWidth="1"/>
    <col min="6656" max="6656" width="36.09765625" style="16"/>
    <col min="6657" max="6657" width="3.59765625" style="16" customWidth="1"/>
    <col min="6658" max="6658" width="22.8984375" style="16" customWidth="1"/>
    <col min="6659" max="6659" width="4.5" style="16" customWidth="1"/>
    <col min="6660" max="6660" width="5.5" style="16" customWidth="1"/>
    <col min="6661" max="6661" width="9.5" style="16" customWidth="1"/>
    <col min="6662" max="6662" width="5.19921875" style="16" customWidth="1"/>
    <col min="6663" max="6663" width="10.59765625" style="16" customWidth="1"/>
    <col min="6664" max="6664" width="7.59765625" style="16" customWidth="1"/>
    <col min="6665" max="6904" width="0" style="16" hidden="1" customWidth="1"/>
    <col min="6905" max="6905" width="8.09765625" style="16" customWidth="1"/>
    <col min="6906" max="6906" width="3" style="16" customWidth="1"/>
    <col min="6907" max="6907" width="5.5" style="16" customWidth="1"/>
    <col min="6908" max="6908" width="3.5" style="16" customWidth="1"/>
    <col min="6909" max="6909" width="7.5" style="16" customWidth="1"/>
    <col min="6910" max="6910" width="9.765625E-2" style="16" customWidth="1"/>
    <col min="6911" max="6911" width="0.5" style="16" customWidth="1"/>
    <col min="6912" max="6912" width="36.09765625" style="16"/>
    <col min="6913" max="6913" width="3.59765625" style="16" customWidth="1"/>
    <col min="6914" max="6914" width="22.8984375" style="16" customWidth="1"/>
    <col min="6915" max="6915" width="4.5" style="16" customWidth="1"/>
    <col min="6916" max="6916" width="5.5" style="16" customWidth="1"/>
    <col min="6917" max="6917" width="9.5" style="16" customWidth="1"/>
    <col min="6918" max="6918" width="5.19921875" style="16" customWidth="1"/>
    <col min="6919" max="6919" width="10.59765625" style="16" customWidth="1"/>
    <col min="6920" max="6920" width="7.59765625" style="16" customWidth="1"/>
    <col min="6921" max="7160" width="0" style="16" hidden="1" customWidth="1"/>
    <col min="7161" max="7161" width="8.09765625" style="16" customWidth="1"/>
    <col min="7162" max="7162" width="3" style="16" customWidth="1"/>
    <col min="7163" max="7163" width="5.5" style="16" customWidth="1"/>
    <col min="7164" max="7164" width="3.5" style="16" customWidth="1"/>
    <col min="7165" max="7165" width="7.5" style="16" customWidth="1"/>
    <col min="7166" max="7166" width="9.765625E-2" style="16" customWidth="1"/>
    <col min="7167" max="7167" width="0.5" style="16" customWidth="1"/>
    <col min="7168" max="7168" width="36.09765625" style="16"/>
    <col min="7169" max="7169" width="3.59765625" style="16" customWidth="1"/>
    <col min="7170" max="7170" width="22.8984375" style="16" customWidth="1"/>
    <col min="7171" max="7171" width="4.5" style="16" customWidth="1"/>
    <col min="7172" max="7172" width="5.5" style="16" customWidth="1"/>
    <col min="7173" max="7173" width="9.5" style="16" customWidth="1"/>
    <col min="7174" max="7174" width="5.19921875" style="16" customWidth="1"/>
    <col min="7175" max="7175" width="10.59765625" style="16" customWidth="1"/>
    <col min="7176" max="7176" width="7.59765625" style="16" customWidth="1"/>
    <col min="7177" max="7416" width="0" style="16" hidden="1" customWidth="1"/>
    <col min="7417" max="7417" width="8.09765625" style="16" customWidth="1"/>
    <col min="7418" max="7418" width="3" style="16" customWidth="1"/>
    <col min="7419" max="7419" width="5.5" style="16" customWidth="1"/>
    <col min="7420" max="7420" width="3.5" style="16" customWidth="1"/>
    <col min="7421" max="7421" width="7.5" style="16" customWidth="1"/>
    <col min="7422" max="7422" width="9.765625E-2" style="16" customWidth="1"/>
    <col min="7423" max="7423" width="0.5" style="16" customWidth="1"/>
    <col min="7424" max="7424" width="36.09765625" style="16"/>
    <col min="7425" max="7425" width="3.59765625" style="16" customWidth="1"/>
    <col min="7426" max="7426" width="22.8984375" style="16" customWidth="1"/>
    <col min="7427" max="7427" width="4.5" style="16" customWidth="1"/>
    <col min="7428" max="7428" width="5.5" style="16" customWidth="1"/>
    <col min="7429" max="7429" width="9.5" style="16" customWidth="1"/>
    <col min="7430" max="7430" width="5.19921875" style="16" customWidth="1"/>
    <col min="7431" max="7431" width="10.59765625" style="16" customWidth="1"/>
    <col min="7432" max="7432" width="7.59765625" style="16" customWidth="1"/>
    <col min="7433" max="7672" width="0" style="16" hidden="1" customWidth="1"/>
    <col min="7673" max="7673" width="8.09765625" style="16" customWidth="1"/>
    <col min="7674" max="7674" width="3" style="16" customWidth="1"/>
    <col min="7675" max="7675" width="5.5" style="16" customWidth="1"/>
    <col min="7676" max="7676" width="3.5" style="16" customWidth="1"/>
    <col min="7677" max="7677" width="7.5" style="16" customWidth="1"/>
    <col min="7678" max="7678" width="9.765625E-2" style="16" customWidth="1"/>
    <col min="7679" max="7679" width="0.5" style="16" customWidth="1"/>
    <col min="7680" max="7680" width="36.09765625" style="16"/>
    <col min="7681" max="7681" width="3.59765625" style="16" customWidth="1"/>
    <col min="7682" max="7682" width="22.8984375" style="16" customWidth="1"/>
    <col min="7683" max="7683" width="4.5" style="16" customWidth="1"/>
    <col min="7684" max="7684" width="5.5" style="16" customWidth="1"/>
    <col min="7685" max="7685" width="9.5" style="16" customWidth="1"/>
    <col min="7686" max="7686" width="5.19921875" style="16" customWidth="1"/>
    <col min="7687" max="7687" width="10.59765625" style="16" customWidth="1"/>
    <col min="7688" max="7688" width="7.59765625" style="16" customWidth="1"/>
    <col min="7689" max="7928" width="0" style="16" hidden="1" customWidth="1"/>
    <col min="7929" max="7929" width="8.09765625" style="16" customWidth="1"/>
    <col min="7930" max="7930" width="3" style="16" customWidth="1"/>
    <col min="7931" max="7931" width="5.5" style="16" customWidth="1"/>
    <col min="7932" max="7932" width="3.5" style="16" customWidth="1"/>
    <col min="7933" max="7933" width="7.5" style="16" customWidth="1"/>
    <col min="7934" max="7934" width="9.765625E-2" style="16" customWidth="1"/>
    <col min="7935" max="7935" width="0.5" style="16" customWidth="1"/>
    <col min="7936" max="7936" width="36.09765625" style="16"/>
    <col min="7937" max="7937" width="3.59765625" style="16" customWidth="1"/>
    <col min="7938" max="7938" width="22.8984375" style="16" customWidth="1"/>
    <col min="7939" max="7939" width="4.5" style="16" customWidth="1"/>
    <col min="7940" max="7940" width="5.5" style="16" customWidth="1"/>
    <col min="7941" max="7941" width="9.5" style="16" customWidth="1"/>
    <col min="7942" max="7942" width="5.19921875" style="16" customWidth="1"/>
    <col min="7943" max="7943" width="10.59765625" style="16" customWidth="1"/>
    <col min="7944" max="7944" width="7.59765625" style="16" customWidth="1"/>
    <col min="7945" max="8184" width="0" style="16" hidden="1" customWidth="1"/>
    <col min="8185" max="8185" width="8.09765625" style="16" customWidth="1"/>
    <col min="8186" max="8186" width="3" style="16" customWidth="1"/>
    <col min="8187" max="8187" width="5.5" style="16" customWidth="1"/>
    <col min="8188" max="8188" width="3.5" style="16" customWidth="1"/>
    <col min="8189" max="8189" width="7.5" style="16" customWidth="1"/>
    <col min="8190" max="8190" width="9.765625E-2" style="16" customWidth="1"/>
    <col min="8191" max="8191" width="0.5" style="16" customWidth="1"/>
    <col min="8192" max="8192" width="36.09765625" style="16"/>
    <col min="8193" max="8193" width="3.59765625" style="16" customWidth="1"/>
    <col min="8194" max="8194" width="22.8984375" style="16" customWidth="1"/>
    <col min="8195" max="8195" width="4.5" style="16" customWidth="1"/>
    <col min="8196" max="8196" width="5.5" style="16" customWidth="1"/>
    <col min="8197" max="8197" width="9.5" style="16" customWidth="1"/>
    <col min="8198" max="8198" width="5.19921875" style="16" customWidth="1"/>
    <col min="8199" max="8199" width="10.59765625" style="16" customWidth="1"/>
    <col min="8200" max="8200" width="7.59765625" style="16" customWidth="1"/>
    <col min="8201" max="8440" width="0" style="16" hidden="1" customWidth="1"/>
    <col min="8441" max="8441" width="8.09765625" style="16" customWidth="1"/>
    <col min="8442" max="8442" width="3" style="16" customWidth="1"/>
    <col min="8443" max="8443" width="5.5" style="16" customWidth="1"/>
    <col min="8444" max="8444" width="3.5" style="16" customWidth="1"/>
    <col min="8445" max="8445" width="7.5" style="16" customWidth="1"/>
    <col min="8446" max="8446" width="9.765625E-2" style="16" customWidth="1"/>
    <col min="8447" max="8447" width="0.5" style="16" customWidth="1"/>
    <col min="8448" max="8448" width="36.09765625" style="16"/>
    <col min="8449" max="8449" width="3.59765625" style="16" customWidth="1"/>
    <col min="8450" max="8450" width="22.8984375" style="16" customWidth="1"/>
    <col min="8451" max="8451" width="4.5" style="16" customWidth="1"/>
    <col min="8452" max="8452" width="5.5" style="16" customWidth="1"/>
    <col min="8453" max="8453" width="9.5" style="16" customWidth="1"/>
    <col min="8454" max="8454" width="5.19921875" style="16" customWidth="1"/>
    <col min="8455" max="8455" width="10.59765625" style="16" customWidth="1"/>
    <col min="8456" max="8456" width="7.59765625" style="16" customWidth="1"/>
    <col min="8457" max="8696" width="0" style="16" hidden="1" customWidth="1"/>
    <col min="8697" max="8697" width="8.09765625" style="16" customWidth="1"/>
    <col min="8698" max="8698" width="3" style="16" customWidth="1"/>
    <col min="8699" max="8699" width="5.5" style="16" customWidth="1"/>
    <col min="8700" max="8700" width="3.5" style="16" customWidth="1"/>
    <col min="8701" max="8701" width="7.5" style="16" customWidth="1"/>
    <col min="8702" max="8702" width="9.765625E-2" style="16" customWidth="1"/>
    <col min="8703" max="8703" width="0.5" style="16" customWidth="1"/>
    <col min="8704" max="8704" width="36.09765625" style="16"/>
    <col min="8705" max="8705" width="3.59765625" style="16" customWidth="1"/>
    <col min="8706" max="8706" width="22.8984375" style="16" customWidth="1"/>
    <col min="8707" max="8707" width="4.5" style="16" customWidth="1"/>
    <col min="8708" max="8708" width="5.5" style="16" customWidth="1"/>
    <col min="8709" max="8709" width="9.5" style="16" customWidth="1"/>
    <col min="8710" max="8710" width="5.19921875" style="16" customWidth="1"/>
    <col min="8711" max="8711" width="10.59765625" style="16" customWidth="1"/>
    <col min="8712" max="8712" width="7.59765625" style="16" customWidth="1"/>
    <col min="8713" max="8952" width="0" style="16" hidden="1" customWidth="1"/>
    <col min="8953" max="8953" width="8.09765625" style="16" customWidth="1"/>
    <col min="8954" max="8954" width="3" style="16" customWidth="1"/>
    <col min="8955" max="8955" width="5.5" style="16" customWidth="1"/>
    <col min="8956" max="8956" width="3.5" style="16" customWidth="1"/>
    <col min="8957" max="8957" width="7.5" style="16" customWidth="1"/>
    <col min="8958" max="8958" width="9.765625E-2" style="16" customWidth="1"/>
    <col min="8959" max="8959" width="0.5" style="16" customWidth="1"/>
    <col min="8960" max="8960" width="36.09765625" style="16"/>
    <col min="8961" max="8961" width="3.59765625" style="16" customWidth="1"/>
    <col min="8962" max="8962" width="22.8984375" style="16" customWidth="1"/>
    <col min="8963" max="8963" width="4.5" style="16" customWidth="1"/>
    <col min="8964" max="8964" width="5.5" style="16" customWidth="1"/>
    <col min="8965" max="8965" width="9.5" style="16" customWidth="1"/>
    <col min="8966" max="8966" width="5.19921875" style="16" customWidth="1"/>
    <col min="8967" max="8967" width="10.59765625" style="16" customWidth="1"/>
    <col min="8968" max="8968" width="7.59765625" style="16" customWidth="1"/>
    <col min="8969" max="9208" width="0" style="16" hidden="1" customWidth="1"/>
    <col min="9209" max="9209" width="8.09765625" style="16" customWidth="1"/>
    <col min="9210" max="9210" width="3" style="16" customWidth="1"/>
    <col min="9211" max="9211" width="5.5" style="16" customWidth="1"/>
    <col min="9212" max="9212" width="3.5" style="16" customWidth="1"/>
    <col min="9213" max="9213" width="7.5" style="16" customWidth="1"/>
    <col min="9214" max="9214" width="9.765625E-2" style="16" customWidth="1"/>
    <col min="9215" max="9215" width="0.5" style="16" customWidth="1"/>
    <col min="9216" max="9216" width="36.09765625" style="16"/>
    <col min="9217" max="9217" width="3.59765625" style="16" customWidth="1"/>
    <col min="9218" max="9218" width="22.8984375" style="16" customWidth="1"/>
    <col min="9219" max="9219" width="4.5" style="16" customWidth="1"/>
    <col min="9220" max="9220" width="5.5" style="16" customWidth="1"/>
    <col min="9221" max="9221" width="9.5" style="16" customWidth="1"/>
    <col min="9222" max="9222" width="5.19921875" style="16" customWidth="1"/>
    <col min="9223" max="9223" width="10.59765625" style="16" customWidth="1"/>
    <col min="9224" max="9224" width="7.59765625" style="16" customWidth="1"/>
    <col min="9225" max="9464" width="0" style="16" hidden="1" customWidth="1"/>
    <col min="9465" max="9465" width="8.09765625" style="16" customWidth="1"/>
    <col min="9466" max="9466" width="3" style="16" customWidth="1"/>
    <col min="9467" max="9467" width="5.5" style="16" customWidth="1"/>
    <col min="9468" max="9468" width="3.5" style="16" customWidth="1"/>
    <col min="9469" max="9469" width="7.5" style="16" customWidth="1"/>
    <col min="9470" max="9470" width="9.765625E-2" style="16" customWidth="1"/>
    <col min="9471" max="9471" width="0.5" style="16" customWidth="1"/>
    <col min="9472" max="9472" width="36.09765625" style="16"/>
    <col min="9473" max="9473" width="3.59765625" style="16" customWidth="1"/>
    <col min="9474" max="9474" width="22.8984375" style="16" customWidth="1"/>
    <col min="9475" max="9475" width="4.5" style="16" customWidth="1"/>
    <col min="9476" max="9476" width="5.5" style="16" customWidth="1"/>
    <col min="9477" max="9477" width="9.5" style="16" customWidth="1"/>
    <col min="9478" max="9478" width="5.19921875" style="16" customWidth="1"/>
    <col min="9479" max="9479" width="10.59765625" style="16" customWidth="1"/>
    <col min="9480" max="9480" width="7.59765625" style="16" customWidth="1"/>
    <col min="9481" max="9720" width="0" style="16" hidden="1" customWidth="1"/>
    <col min="9721" max="9721" width="8.09765625" style="16" customWidth="1"/>
    <col min="9722" max="9722" width="3" style="16" customWidth="1"/>
    <col min="9723" max="9723" width="5.5" style="16" customWidth="1"/>
    <col min="9724" max="9724" width="3.5" style="16" customWidth="1"/>
    <col min="9725" max="9725" width="7.5" style="16" customWidth="1"/>
    <col min="9726" max="9726" width="9.765625E-2" style="16" customWidth="1"/>
    <col min="9727" max="9727" width="0.5" style="16" customWidth="1"/>
    <col min="9728" max="9728" width="36.09765625" style="16"/>
    <col min="9729" max="9729" width="3.59765625" style="16" customWidth="1"/>
    <col min="9730" max="9730" width="22.8984375" style="16" customWidth="1"/>
    <col min="9731" max="9731" width="4.5" style="16" customWidth="1"/>
    <col min="9732" max="9732" width="5.5" style="16" customWidth="1"/>
    <col min="9733" max="9733" width="9.5" style="16" customWidth="1"/>
    <col min="9734" max="9734" width="5.19921875" style="16" customWidth="1"/>
    <col min="9735" max="9735" width="10.59765625" style="16" customWidth="1"/>
    <col min="9736" max="9736" width="7.59765625" style="16" customWidth="1"/>
    <col min="9737" max="9976" width="0" style="16" hidden="1" customWidth="1"/>
    <col min="9977" max="9977" width="8.09765625" style="16" customWidth="1"/>
    <col min="9978" max="9978" width="3" style="16" customWidth="1"/>
    <col min="9979" max="9979" width="5.5" style="16" customWidth="1"/>
    <col min="9980" max="9980" width="3.5" style="16" customWidth="1"/>
    <col min="9981" max="9981" width="7.5" style="16" customWidth="1"/>
    <col min="9982" max="9982" width="9.765625E-2" style="16" customWidth="1"/>
    <col min="9983" max="9983" width="0.5" style="16" customWidth="1"/>
    <col min="9984" max="9984" width="36.09765625" style="16"/>
    <col min="9985" max="9985" width="3.59765625" style="16" customWidth="1"/>
    <col min="9986" max="9986" width="22.8984375" style="16" customWidth="1"/>
    <col min="9987" max="9987" width="4.5" style="16" customWidth="1"/>
    <col min="9988" max="9988" width="5.5" style="16" customWidth="1"/>
    <col min="9989" max="9989" width="9.5" style="16" customWidth="1"/>
    <col min="9990" max="9990" width="5.19921875" style="16" customWidth="1"/>
    <col min="9991" max="9991" width="10.59765625" style="16" customWidth="1"/>
    <col min="9992" max="9992" width="7.59765625" style="16" customWidth="1"/>
    <col min="9993" max="10232" width="0" style="16" hidden="1" customWidth="1"/>
    <col min="10233" max="10233" width="8.09765625" style="16" customWidth="1"/>
    <col min="10234" max="10234" width="3" style="16" customWidth="1"/>
    <col min="10235" max="10235" width="5.5" style="16" customWidth="1"/>
    <col min="10236" max="10236" width="3.5" style="16" customWidth="1"/>
    <col min="10237" max="10237" width="7.5" style="16" customWidth="1"/>
    <col min="10238" max="10238" width="9.765625E-2" style="16" customWidth="1"/>
    <col min="10239" max="10239" width="0.5" style="16" customWidth="1"/>
    <col min="10240" max="10240" width="36.09765625" style="16"/>
    <col min="10241" max="10241" width="3.59765625" style="16" customWidth="1"/>
    <col min="10242" max="10242" width="22.8984375" style="16" customWidth="1"/>
    <col min="10243" max="10243" width="4.5" style="16" customWidth="1"/>
    <col min="10244" max="10244" width="5.5" style="16" customWidth="1"/>
    <col min="10245" max="10245" width="9.5" style="16" customWidth="1"/>
    <col min="10246" max="10246" width="5.19921875" style="16" customWidth="1"/>
    <col min="10247" max="10247" width="10.59765625" style="16" customWidth="1"/>
    <col min="10248" max="10248" width="7.59765625" style="16" customWidth="1"/>
    <col min="10249" max="10488" width="0" style="16" hidden="1" customWidth="1"/>
    <col min="10489" max="10489" width="8.09765625" style="16" customWidth="1"/>
    <col min="10490" max="10490" width="3" style="16" customWidth="1"/>
    <col min="10491" max="10491" width="5.5" style="16" customWidth="1"/>
    <col min="10492" max="10492" width="3.5" style="16" customWidth="1"/>
    <col min="10493" max="10493" width="7.5" style="16" customWidth="1"/>
    <col min="10494" max="10494" width="9.765625E-2" style="16" customWidth="1"/>
    <col min="10495" max="10495" width="0.5" style="16" customWidth="1"/>
    <col min="10496" max="10496" width="36.09765625" style="16"/>
    <col min="10497" max="10497" width="3.59765625" style="16" customWidth="1"/>
    <col min="10498" max="10498" width="22.8984375" style="16" customWidth="1"/>
    <col min="10499" max="10499" width="4.5" style="16" customWidth="1"/>
    <col min="10500" max="10500" width="5.5" style="16" customWidth="1"/>
    <col min="10501" max="10501" width="9.5" style="16" customWidth="1"/>
    <col min="10502" max="10502" width="5.19921875" style="16" customWidth="1"/>
    <col min="10503" max="10503" width="10.59765625" style="16" customWidth="1"/>
    <col min="10504" max="10504" width="7.59765625" style="16" customWidth="1"/>
    <col min="10505" max="10744" width="0" style="16" hidden="1" customWidth="1"/>
    <col min="10745" max="10745" width="8.09765625" style="16" customWidth="1"/>
    <col min="10746" max="10746" width="3" style="16" customWidth="1"/>
    <col min="10747" max="10747" width="5.5" style="16" customWidth="1"/>
    <col min="10748" max="10748" width="3.5" style="16" customWidth="1"/>
    <col min="10749" max="10749" width="7.5" style="16" customWidth="1"/>
    <col min="10750" max="10750" width="9.765625E-2" style="16" customWidth="1"/>
    <col min="10751" max="10751" width="0.5" style="16" customWidth="1"/>
    <col min="10752" max="10752" width="36.09765625" style="16"/>
    <col min="10753" max="10753" width="3.59765625" style="16" customWidth="1"/>
    <col min="10754" max="10754" width="22.8984375" style="16" customWidth="1"/>
    <col min="10755" max="10755" width="4.5" style="16" customWidth="1"/>
    <col min="10756" max="10756" width="5.5" style="16" customWidth="1"/>
    <col min="10757" max="10757" width="9.5" style="16" customWidth="1"/>
    <col min="10758" max="10758" width="5.19921875" style="16" customWidth="1"/>
    <col min="10759" max="10759" width="10.59765625" style="16" customWidth="1"/>
    <col min="10760" max="10760" width="7.59765625" style="16" customWidth="1"/>
    <col min="10761" max="11000" width="0" style="16" hidden="1" customWidth="1"/>
    <col min="11001" max="11001" width="8.09765625" style="16" customWidth="1"/>
    <col min="11002" max="11002" width="3" style="16" customWidth="1"/>
    <col min="11003" max="11003" width="5.5" style="16" customWidth="1"/>
    <col min="11004" max="11004" width="3.5" style="16" customWidth="1"/>
    <col min="11005" max="11005" width="7.5" style="16" customWidth="1"/>
    <col min="11006" max="11006" width="9.765625E-2" style="16" customWidth="1"/>
    <col min="11007" max="11007" width="0.5" style="16" customWidth="1"/>
    <col min="11008" max="11008" width="36.09765625" style="16"/>
    <col min="11009" max="11009" width="3.59765625" style="16" customWidth="1"/>
    <col min="11010" max="11010" width="22.8984375" style="16" customWidth="1"/>
    <col min="11011" max="11011" width="4.5" style="16" customWidth="1"/>
    <col min="11012" max="11012" width="5.5" style="16" customWidth="1"/>
    <col min="11013" max="11013" width="9.5" style="16" customWidth="1"/>
    <col min="11014" max="11014" width="5.19921875" style="16" customWidth="1"/>
    <col min="11015" max="11015" width="10.59765625" style="16" customWidth="1"/>
    <col min="11016" max="11016" width="7.59765625" style="16" customWidth="1"/>
    <col min="11017" max="11256" width="0" style="16" hidden="1" customWidth="1"/>
    <col min="11257" max="11257" width="8.09765625" style="16" customWidth="1"/>
    <col min="11258" max="11258" width="3" style="16" customWidth="1"/>
    <col min="11259" max="11259" width="5.5" style="16" customWidth="1"/>
    <col min="11260" max="11260" width="3.5" style="16" customWidth="1"/>
    <col min="11261" max="11261" width="7.5" style="16" customWidth="1"/>
    <col min="11262" max="11262" width="9.765625E-2" style="16" customWidth="1"/>
    <col min="11263" max="11263" width="0.5" style="16" customWidth="1"/>
    <col min="11264" max="11264" width="36.09765625" style="16"/>
    <col min="11265" max="11265" width="3.59765625" style="16" customWidth="1"/>
    <col min="11266" max="11266" width="22.8984375" style="16" customWidth="1"/>
    <col min="11267" max="11267" width="4.5" style="16" customWidth="1"/>
    <col min="11268" max="11268" width="5.5" style="16" customWidth="1"/>
    <col min="11269" max="11269" width="9.5" style="16" customWidth="1"/>
    <col min="11270" max="11270" width="5.19921875" style="16" customWidth="1"/>
    <col min="11271" max="11271" width="10.59765625" style="16" customWidth="1"/>
    <col min="11272" max="11272" width="7.59765625" style="16" customWidth="1"/>
    <col min="11273" max="11512" width="0" style="16" hidden="1" customWidth="1"/>
    <col min="11513" max="11513" width="8.09765625" style="16" customWidth="1"/>
    <col min="11514" max="11514" width="3" style="16" customWidth="1"/>
    <col min="11515" max="11515" width="5.5" style="16" customWidth="1"/>
    <col min="11516" max="11516" width="3.5" style="16" customWidth="1"/>
    <col min="11517" max="11517" width="7.5" style="16" customWidth="1"/>
    <col min="11518" max="11518" width="9.765625E-2" style="16" customWidth="1"/>
    <col min="11519" max="11519" width="0.5" style="16" customWidth="1"/>
    <col min="11520" max="11520" width="36.09765625" style="16"/>
    <col min="11521" max="11521" width="3.59765625" style="16" customWidth="1"/>
    <col min="11522" max="11522" width="22.8984375" style="16" customWidth="1"/>
    <col min="11523" max="11523" width="4.5" style="16" customWidth="1"/>
    <col min="11524" max="11524" width="5.5" style="16" customWidth="1"/>
    <col min="11525" max="11525" width="9.5" style="16" customWidth="1"/>
    <col min="11526" max="11526" width="5.19921875" style="16" customWidth="1"/>
    <col min="11527" max="11527" width="10.59765625" style="16" customWidth="1"/>
    <col min="11528" max="11528" width="7.59765625" style="16" customWidth="1"/>
    <col min="11529" max="11768" width="0" style="16" hidden="1" customWidth="1"/>
    <col min="11769" max="11769" width="8.09765625" style="16" customWidth="1"/>
    <col min="11770" max="11770" width="3" style="16" customWidth="1"/>
    <col min="11771" max="11771" width="5.5" style="16" customWidth="1"/>
    <col min="11772" max="11772" width="3.5" style="16" customWidth="1"/>
    <col min="11773" max="11773" width="7.5" style="16" customWidth="1"/>
    <col min="11774" max="11774" width="9.765625E-2" style="16" customWidth="1"/>
    <col min="11775" max="11775" width="0.5" style="16" customWidth="1"/>
    <col min="11776" max="11776" width="36.09765625" style="16"/>
    <col min="11777" max="11777" width="3.59765625" style="16" customWidth="1"/>
    <col min="11778" max="11778" width="22.8984375" style="16" customWidth="1"/>
    <col min="11779" max="11779" width="4.5" style="16" customWidth="1"/>
    <col min="11780" max="11780" width="5.5" style="16" customWidth="1"/>
    <col min="11781" max="11781" width="9.5" style="16" customWidth="1"/>
    <col min="11782" max="11782" width="5.19921875" style="16" customWidth="1"/>
    <col min="11783" max="11783" width="10.59765625" style="16" customWidth="1"/>
    <col min="11784" max="11784" width="7.59765625" style="16" customWidth="1"/>
    <col min="11785" max="12024" width="0" style="16" hidden="1" customWidth="1"/>
    <col min="12025" max="12025" width="8.09765625" style="16" customWidth="1"/>
    <col min="12026" max="12026" width="3" style="16" customWidth="1"/>
    <col min="12027" max="12027" width="5.5" style="16" customWidth="1"/>
    <col min="12028" max="12028" width="3.5" style="16" customWidth="1"/>
    <col min="12029" max="12029" width="7.5" style="16" customWidth="1"/>
    <col min="12030" max="12030" width="9.765625E-2" style="16" customWidth="1"/>
    <col min="12031" max="12031" width="0.5" style="16" customWidth="1"/>
    <col min="12032" max="12032" width="36.09765625" style="16"/>
    <col min="12033" max="12033" width="3.59765625" style="16" customWidth="1"/>
    <col min="12034" max="12034" width="22.8984375" style="16" customWidth="1"/>
    <col min="12035" max="12035" width="4.5" style="16" customWidth="1"/>
    <col min="12036" max="12036" width="5.5" style="16" customWidth="1"/>
    <col min="12037" max="12037" width="9.5" style="16" customWidth="1"/>
    <col min="12038" max="12038" width="5.19921875" style="16" customWidth="1"/>
    <col min="12039" max="12039" width="10.59765625" style="16" customWidth="1"/>
    <col min="12040" max="12040" width="7.59765625" style="16" customWidth="1"/>
    <col min="12041" max="12280" width="0" style="16" hidden="1" customWidth="1"/>
    <col min="12281" max="12281" width="8.09765625" style="16" customWidth="1"/>
    <col min="12282" max="12282" width="3" style="16" customWidth="1"/>
    <col min="12283" max="12283" width="5.5" style="16" customWidth="1"/>
    <col min="12284" max="12284" width="3.5" style="16" customWidth="1"/>
    <col min="12285" max="12285" width="7.5" style="16" customWidth="1"/>
    <col min="12286" max="12286" width="9.765625E-2" style="16" customWidth="1"/>
    <col min="12287" max="12287" width="0.5" style="16" customWidth="1"/>
    <col min="12288" max="12288" width="36.09765625" style="16"/>
    <col min="12289" max="12289" width="3.59765625" style="16" customWidth="1"/>
    <col min="12290" max="12290" width="22.8984375" style="16" customWidth="1"/>
    <col min="12291" max="12291" width="4.5" style="16" customWidth="1"/>
    <col min="12292" max="12292" width="5.5" style="16" customWidth="1"/>
    <col min="12293" max="12293" width="9.5" style="16" customWidth="1"/>
    <col min="12294" max="12294" width="5.19921875" style="16" customWidth="1"/>
    <col min="12295" max="12295" width="10.59765625" style="16" customWidth="1"/>
    <col min="12296" max="12296" width="7.59765625" style="16" customWidth="1"/>
    <col min="12297" max="12536" width="0" style="16" hidden="1" customWidth="1"/>
    <col min="12537" max="12537" width="8.09765625" style="16" customWidth="1"/>
    <col min="12538" max="12538" width="3" style="16" customWidth="1"/>
    <col min="12539" max="12539" width="5.5" style="16" customWidth="1"/>
    <col min="12540" max="12540" width="3.5" style="16" customWidth="1"/>
    <col min="12541" max="12541" width="7.5" style="16" customWidth="1"/>
    <col min="12542" max="12542" width="9.765625E-2" style="16" customWidth="1"/>
    <col min="12543" max="12543" width="0.5" style="16" customWidth="1"/>
    <col min="12544" max="12544" width="36.09765625" style="16"/>
    <col min="12545" max="12545" width="3.59765625" style="16" customWidth="1"/>
    <col min="12546" max="12546" width="22.8984375" style="16" customWidth="1"/>
    <col min="12547" max="12547" width="4.5" style="16" customWidth="1"/>
    <col min="12548" max="12548" width="5.5" style="16" customWidth="1"/>
    <col min="12549" max="12549" width="9.5" style="16" customWidth="1"/>
    <col min="12550" max="12550" width="5.19921875" style="16" customWidth="1"/>
    <col min="12551" max="12551" width="10.59765625" style="16" customWidth="1"/>
    <col min="12552" max="12552" width="7.59765625" style="16" customWidth="1"/>
    <col min="12553" max="12792" width="0" style="16" hidden="1" customWidth="1"/>
    <col min="12793" max="12793" width="8.09765625" style="16" customWidth="1"/>
    <col min="12794" max="12794" width="3" style="16" customWidth="1"/>
    <col min="12795" max="12795" width="5.5" style="16" customWidth="1"/>
    <col min="12796" max="12796" width="3.5" style="16" customWidth="1"/>
    <col min="12797" max="12797" width="7.5" style="16" customWidth="1"/>
    <col min="12798" max="12798" width="9.765625E-2" style="16" customWidth="1"/>
    <col min="12799" max="12799" width="0.5" style="16" customWidth="1"/>
    <col min="12800" max="12800" width="36.09765625" style="16"/>
    <col min="12801" max="12801" width="3.59765625" style="16" customWidth="1"/>
    <col min="12802" max="12802" width="22.8984375" style="16" customWidth="1"/>
    <col min="12803" max="12803" width="4.5" style="16" customWidth="1"/>
    <col min="12804" max="12804" width="5.5" style="16" customWidth="1"/>
    <col min="12805" max="12805" width="9.5" style="16" customWidth="1"/>
    <col min="12806" max="12806" width="5.19921875" style="16" customWidth="1"/>
    <col min="12807" max="12807" width="10.59765625" style="16" customWidth="1"/>
    <col min="12808" max="12808" width="7.59765625" style="16" customWidth="1"/>
    <col min="12809" max="13048" width="0" style="16" hidden="1" customWidth="1"/>
    <col min="13049" max="13049" width="8.09765625" style="16" customWidth="1"/>
    <col min="13050" max="13050" width="3" style="16" customWidth="1"/>
    <col min="13051" max="13051" width="5.5" style="16" customWidth="1"/>
    <col min="13052" max="13052" width="3.5" style="16" customWidth="1"/>
    <col min="13053" max="13053" width="7.5" style="16" customWidth="1"/>
    <col min="13054" max="13054" width="9.765625E-2" style="16" customWidth="1"/>
    <col min="13055" max="13055" width="0.5" style="16" customWidth="1"/>
    <col min="13056" max="13056" width="36.09765625" style="16"/>
    <col min="13057" max="13057" width="3.59765625" style="16" customWidth="1"/>
    <col min="13058" max="13058" width="22.8984375" style="16" customWidth="1"/>
    <col min="13059" max="13059" width="4.5" style="16" customWidth="1"/>
    <col min="13060" max="13060" width="5.5" style="16" customWidth="1"/>
    <col min="13061" max="13061" width="9.5" style="16" customWidth="1"/>
    <col min="13062" max="13062" width="5.19921875" style="16" customWidth="1"/>
    <col min="13063" max="13063" width="10.59765625" style="16" customWidth="1"/>
    <col min="13064" max="13064" width="7.59765625" style="16" customWidth="1"/>
    <col min="13065" max="13304" width="0" style="16" hidden="1" customWidth="1"/>
    <col min="13305" max="13305" width="8.09765625" style="16" customWidth="1"/>
    <col min="13306" max="13306" width="3" style="16" customWidth="1"/>
    <col min="13307" max="13307" width="5.5" style="16" customWidth="1"/>
    <col min="13308" max="13308" width="3.5" style="16" customWidth="1"/>
    <col min="13309" max="13309" width="7.5" style="16" customWidth="1"/>
    <col min="13310" max="13310" width="9.765625E-2" style="16" customWidth="1"/>
    <col min="13311" max="13311" width="0.5" style="16" customWidth="1"/>
    <col min="13312" max="13312" width="36.09765625" style="16"/>
    <col min="13313" max="13313" width="3.59765625" style="16" customWidth="1"/>
    <col min="13314" max="13314" width="22.8984375" style="16" customWidth="1"/>
    <col min="13315" max="13315" width="4.5" style="16" customWidth="1"/>
    <col min="13316" max="13316" width="5.5" style="16" customWidth="1"/>
    <col min="13317" max="13317" width="9.5" style="16" customWidth="1"/>
    <col min="13318" max="13318" width="5.19921875" style="16" customWidth="1"/>
    <col min="13319" max="13319" width="10.59765625" style="16" customWidth="1"/>
    <col min="13320" max="13320" width="7.59765625" style="16" customWidth="1"/>
    <col min="13321" max="13560" width="0" style="16" hidden="1" customWidth="1"/>
    <col min="13561" max="13561" width="8.09765625" style="16" customWidth="1"/>
    <col min="13562" max="13562" width="3" style="16" customWidth="1"/>
    <col min="13563" max="13563" width="5.5" style="16" customWidth="1"/>
    <col min="13564" max="13564" width="3.5" style="16" customWidth="1"/>
    <col min="13565" max="13565" width="7.5" style="16" customWidth="1"/>
    <col min="13566" max="13566" width="9.765625E-2" style="16" customWidth="1"/>
    <col min="13567" max="13567" width="0.5" style="16" customWidth="1"/>
    <col min="13568" max="13568" width="36.09765625" style="16"/>
    <col min="13569" max="13569" width="3.59765625" style="16" customWidth="1"/>
    <col min="13570" max="13570" width="22.8984375" style="16" customWidth="1"/>
    <col min="13571" max="13571" width="4.5" style="16" customWidth="1"/>
    <col min="13572" max="13572" width="5.5" style="16" customWidth="1"/>
    <col min="13573" max="13573" width="9.5" style="16" customWidth="1"/>
    <col min="13574" max="13574" width="5.19921875" style="16" customWidth="1"/>
    <col min="13575" max="13575" width="10.59765625" style="16" customWidth="1"/>
    <col min="13576" max="13576" width="7.59765625" style="16" customWidth="1"/>
    <col min="13577" max="13816" width="0" style="16" hidden="1" customWidth="1"/>
    <col min="13817" max="13817" width="8.09765625" style="16" customWidth="1"/>
    <col min="13818" max="13818" width="3" style="16" customWidth="1"/>
    <col min="13819" max="13819" width="5.5" style="16" customWidth="1"/>
    <col min="13820" max="13820" width="3.5" style="16" customWidth="1"/>
    <col min="13821" max="13821" width="7.5" style="16" customWidth="1"/>
    <col min="13822" max="13822" width="9.765625E-2" style="16" customWidth="1"/>
    <col min="13823" max="13823" width="0.5" style="16" customWidth="1"/>
    <col min="13824" max="13824" width="36.09765625" style="16"/>
    <col min="13825" max="13825" width="3.59765625" style="16" customWidth="1"/>
    <col min="13826" max="13826" width="22.8984375" style="16" customWidth="1"/>
    <col min="13827" max="13827" width="4.5" style="16" customWidth="1"/>
    <col min="13828" max="13828" width="5.5" style="16" customWidth="1"/>
    <col min="13829" max="13829" width="9.5" style="16" customWidth="1"/>
    <col min="13830" max="13830" width="5.19921875" style="16" customWidth="1"/>
    <col min="13831" max="13831" width="10.59765625" style="16" customWidth="1"/>
    <col min="13832" max="13832" width="7.59765625" style="16" customWidth="1"/>
    <col min="13833" max="14072" width="0" style="16" hidden="1" customWidth="1"/>
    <col min="14073" max="14073" width="8.09765625" style="16" customWidth="1"/>
    <col min="14074" max="14074" width="3" style="16" customWidth="1"/>
    <col min="14075" max="14075" width="5.5" style="16" customWidth="1"/>
    <col min="14076" max="14076" width="3.5" style="16" customWidth="1"/>
    <col min="14077" max="14077" width="7.5" style="16" customWidth="1"/>
    <col min="14078" max="14078" width="9.765625E-2" style="16" customWidth="1"/>
    <col min="14079" max="14079" width="0.5" style="16" customWidth="1"/>
    <col min="14080" max="14080" width="36.09765625" style="16"/>
    <col min="14081" max="14081" width="3.59765625" style="16" customWidth="1"/>
    <col min="14082" max="14082" width="22.8984375" style="16" customWidth="1"/>
    <col min="14083" max="14083" width="4.5" style="16" customWidth="1"/>
    <col min="14084" max="14084" width="5.5" style="16" customWidth="1"/>
    <col min="14085" max="14085" width="9.5" style="16" customWidth="1"/>
    <col min="14086" max="14086" width="5.19921875" style="16" customWidth="1"/>
    <col min="14087" max="14087" width="10.59765625" style="16" customWidth="1"/>
    <col min="14088" max="14088" width="7.59765625" style="16" customWidth="1"/>
    <col min="14089" max="14328" width="0" style="16" hidden="1" customWidth="1"/>
    <col min="14329" max="14329" width="8.09765625" style="16" customWidth="1"/>
    <col min="14330" max="14330" width="3" style="16" customWidth="1"/>
    <col min="14331" max="14331" width="5.5" style="16" customWidth="1"/>
    <col min="14332" max="14332" width="3.5" style="16" customWidth="1"/>
    <col min="14333" max="14333" width="7.5" style="16" customWidth="1"/>
    <col min="14334" max="14334" width="9.765625E-2" style="16" customWidth="1"/>
    <col min="14335" max="14335" width="0.5" style="16" customWidth="1"/>
    <col min="14336" max="14336" width="36.09765625" style="16"/>
    <col min="14337" max="14337" width="3.59765625" style="16" customWidth="1"/>
    <col min="14338" max="14338" width="22.8984375" style="16" customWidth="1"/>
    <col min="14339" max="14339" width="4.5" style="16" customWidth="1"/>
    <col min="14340" max="14340" width="5.5" style="16" customWidth="1"/>
    <col min="14341" max="14341" width="9.5" style="16" customWidth="1"/>
    <col min="14342" max="14342" width="5.19921875" style="16" customWidth="1"/>
    <col min="14343" max="14343" width="10.59765625" style="16" customWidth="1"/>
    <col min="14344" max="14344" width="7.59765625" style="16" customWidth="1"/>
    <col min="14345" max="14584" width="0" style="16" hidden="1" customWidth="1"/>
    <col min="14585" max="14585" width="8.09765625" style="16" customWidth="1"/>
    <col min="14586" max="14586" width="3" style="16" customWidth="1"/>
    <col min="14587" max="14587" width="5.5" style="16" customWidth="1"/>
    <col min="14588" max="14588" width="3.5" style="16" customWidth="1"/>
    <col min="14589" max="14589" width="7.5" style="16" customWidth="1"/>
    <col min="14590" max="14590" width="9.765625E-2" style="16" customWidth="1"/>
    <col min="14591" max="14591" width="0.5" style="16" customWidth="1"/>
    <col min="14592" max="14592" width="36.09765625" style="16"/>
    <col min="14593" max="14593" width="3.59765625" style="16" customWidth="1"/>
    <col min="14594" max="14594" width="22.8984375" style="16" customWidth="1"/>
    <col min="14595" max="14595" width="4.5" style="16" customWidth="1"/>
    <col min="14596" max="14596" width="5.5" style="16" customWidth="1"/>
    <col min="14597" max="14597" width="9.5" style="16" customWidth="1"/>
    <col min="14598" max="14598" width="5.19921875" style="16" customWidth="1"/>
    <col min="14599" max="14599" width="10.59765625" style="16" customWidth="1"/>
    <col min="14600" max="14600" width="7.59765625" style="16" customWidth="1"/>
    <col min="14601" max="14840" width="0" style="16" hidden="1" customWidth="1"/>
    <col min="14841" max="14841" width="8.09765625" style="16" customWidth="1"/>
    <col min="14842" max="14842" width="3" style="16" customWidth="1"/>
    <col min="14843" max="14843" width="5.5" style="16" customWidth="1"/>
    <col min="14844" max="14844" width="3.5" style="16" customWidth="1"/>
    <col min="14845" max="14845" width="7.5" style="16" customWidth="1"/>
    <col min="14846" max="14846" width="9.765625E-2" style="16" customWidth="1"/>
    <col min="14847" max="14847" width="0.5" style="16" customWidth="1"/>
    <col min="14848" max="14848" width="36.09765625" style="16"/>
    <col min="14849" max="14849" width="3.59765625" style="16" customWidth="1"/>
    <col min="14850" max="14850" width="22.8984375" style="16" customWidth="1"/>
    <col min="14851" max="14851" width="4.5" style="16" customWidth="1"/>
    <col min="14852" max="14852" width="5.5" style="16" customWidth="1"/>
    <col min="14853" max="14853" width="9.5" style="16" customWidth="1"/>
    <col min="14854" max="14854" width="5.19921875" style="16" customWidth="1"/>
    <col min="14855" max="14855" width="10.59765625" style="16" customWidth="1"/>
    <col min="14856" max="14856" width="7.59765625" style="16" customWidth="1"/>
    <col min="14857" max="15096" width="0" style="16" hidden="1" customWidth="1"/>
    <col min="15097" max="15097" width="8.09765625" style="16" customWidth="1"/>
    <col min="15098" max="15098" width="3" style="16" customWidth="1"/>
    <col min="15099" max="15099" width="5.5" style="16" customWidth="1"/>
    <col min="15100" max="15100" width="3.5" style="16" customWidth="1"/>
    <col min="15101" max="15101" width="7.5" style="16" customWidth="1"/>
    <col min="15102" max="15102" width="9.765625E-2" style="16" customWidth="1"/>
    <col min="15103" max="15103" width="0.5" style="16" customWidth="1"/>
    <col min="15104" max="15104" width="36.09765625" style="16"/>
    <col min="15105" max="15105" width="3.59765625" style="16" customWidth="1"/>
    <col min="15106" max="15106" width="22.8984375" style="16" customWidth="1"/>
    <col min="15107" max="15107" width="4.5" style="16" customWidth="1"/>
    <col min="15108" max="15108" width="5.5" style="16" customWidth="1"/>
    <col min="15109" max="15109" width="9.5" style="16" customWidth="1"/>
    <col min="15110" max="15110" width="5.19921875" style="16" customWidth="1"/>
    <col min="15111" max="15111" width="10.59765625" style="16" customWidth="1"/>
    <col min="15112" max="15112" width="7.59765625" style="16" customWidth="1"/>
    <col min="15113" max="15352" width="0" style="16" hidden="1" customWidth="1"/>
    <col min="15353" max="15353" width="8.09765625" style="16" customWidth="1"/>
    <col min="15354" max="15354" width="3" style="16" customWidth="1"/>
    <col min="15355" max="15355" width="5.5" style="16" customWidth="1"/>
    <col min="15356" max="15356" width="3.5" style="16" customWidth="1"/>
    <col min="15357" max="15357" width="7.5" style="16" customWidth="1"/>
    <col min="15358" max="15358" width="9.765625E-2" style="16" customWidth="1"/>
    <col min="15359" max="15359" width="0.5" style="16" customWidth="1"/>
    <col min="15360" max="15360" width="36.09765625" style="16"/>
    <col min="15361" max="15361" width="3.59765625" style="16" customWidth="1"/>
    <col min="15362" max="15362" width="22.8984375" style="16" customWidth="1"/>
    <col min="15363" max="15363" width="4.5" style="16" customWidth="1"/>
    <col min="15364" max="15364" width="5.5" style="16" customWidth="1"/>
    <col min="15365" max="15365" width="9.5" style="16" customWidth="1"/>
    <col min="15366" max="15366" width="5.19921875" style="16" customWidth="1"/>
    <col min="15367" max="15367" width="10.59765625" style="16" customWidth="1"/>
    <col min="15368" max="15368" width="7.59765625" style="16" customWidth="1"/>
    <col min="15369" max="15608" width="0" style="16" hidden="1" customWidth="1"/>
    <col min="15609" max="15609" width="8.09765625" style="16" customWidth="1"/>
    <col min="15610" max="15610" width="3" style="16" customWidth="1"/>
    <col min="15611" max="15611" width="5.5" style="16" customWidth="1"/>
    <col min="15612" max="15612" width="3.5" style="16" customWidth="1"/>
    <col min="15613" max="15613" width="7.5" style="16" customWidth="1"/>
    <col min="15614" max="15614" width="9.765625E-2" style="16" customWidth="1"/>
    <col min="15615" max="15615" width="0.5" style="16" customWidth="1"/>
    <col min="15616" max="15616" width="36.09765625" style="16"/>
    <col min="15617" max="15617" width="3.59765625" style="16" customWidth="1"/>
    <col min="15618" max="15618" width="22.8984375" style="16" customWidth="1"/>
    <col min="15619" max="15619" width="4.5" style="16" customWidth="1"/>
    <col min="15620" max="15620" width="5.5" style="16" customWidth="1"/>
    <col min="15621" max="15621" width="9.5" style="16" customWidth="1"/>
    <col min="15622" max="15622" width="5.19921875" style="16" customWidth="1"/>
    <col min="15623" max="15623" width="10.59765625" style="16" customWidth="1"/>
    <col min="15624" max="15624" width="7.59765625" style="16" customWidth="1"/>
    <col min="15625" max="15864" width="0" style="16" hidden="1" customWidth="1"/>
    <col min="15865" max="15865" width="8.09765625" style="16" customWidth="1"/>
    <col min="15866" max="15866" width="3" style="16" customWidth="1"/>
    <col min="15867" max="15867" width="5.5" style="16" customWidth="1"/>
    <col min="15868" max="15868" width="3.5" style="16" customWidth="1"/>
    <col min="15869" max="15869" width="7.5" style="16" customWidth="1"/>
    <col min="15870" max="15870" width="9.765625E-2" style="16" customWidth="1"/>
    <col min="15871" max="15871" width="0.5" style="16" customWidth="1"/>
    <col min="15872" max="15872" width="36.09765625" style="16"/>
    <col min="15873" max="15873" width="3.59765625" style="16" customWidth="1"/>
    <col min="15874" max="15874" width="22.8984375" style="16" customWidth="1"/>
    <col min="15875" max="15875" width="4.5" style="16" customWidth="1"/>
    <col min="15876" max="15876" width="5.5" style="16" customWidth="1"/>
    <col min="15877" max="15877" width="9.5" style="16" customWidth="1"/>
    <col min="15878" max="15878" width="5.19921875" style="16" customWidth="1"/>
    <col min="15879" max="15879" width="10.59765625" style="16" customWidth="1"/>
    <col min="15880" max="15880" width="7.59765625" style="16" customWidth="1"/>
    <col min="15881" max="16120" width="0" style="16" hidden="1" customWidth="1"/>
    <col min="16121" max="16121" width="8.09765625" style="16" customWidth="1"/>
    <col min="16122" max="16122" width="3" style="16" customWidth="1"/>
    <col min="16123" max="16123" width="5.5" style="16" customWidth="1"/>
    <col min="16124" max="16124" width="3.5" style="16" customWidth="1"/>
    <col min="16125" max="16125" width="7.5" style="16" customWidth="1"/>
    <col min="16126" max="16126" width="9.765625E-2" style="16" customWidth="1"/>
    <col min="16127" max="16127" width="0.5" style="16" customWidth="1"/>
    <col min="16128" max="16128" width="36.09765625" style="16"/>
    <col min="16129" max="16129" width="3.59765625" style="16" customWidth="1"/>
    <col min="16130" max="16130" width="22.8984375" style="16" customWidth="1"/>
    <col min="16131" max="16131" width="4.5" style="16" customWidth="1"/>
    <col min="16132" max="16132" width="5.5" style="16" customWidth="1"/>
    <col min="16133" max="16133" width="9.5" style="16" customWidth="1"/>
    <col min="16134" max="16134" width="5.19921875" style="16" customWidth="1"/>
    <col min="16135" max="16135" width="10.59765625" style="16" customWidth="1"/>
    <col min="16136" max="16136" width="7.59765625" style="16" customWidth="1"/>
    <col min="16137" max="16376" width="0" style="16" hidden="1" customWidth="1"/>
    <col min="16377" max="16377" width="8.09765625" style="16" customWidth="1"/>
    <col min="16378" max="16378" width="3" style="16" customWidth="1"/>
    <col min="16379" max="16379" width="5.5" style="16" customWidth="1"/>
    <col min="16380" max="16380" width="3.5" style="16" customWidth="1"/>
    <col min="16381" max="16381" width="7.5" style="16" customWidth="1"/>
    <col min="16382" max="16382" width="9.765625E-2" style="16" customWidth="1"/>
    <col min="16383" max="16383" width="0.5" style="16" customWidth="1"/>
    <col min="16384" max="16384" width="36.0976562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2300</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2301</v>
      </c>
      <c r="C13" s="425"/>
      <c r="D13" s="425"/>
      <c r="E13" s="425"/>
      <c r="F13" s="425"/>
      <c r="G13" s="73">
        <f>G14</f>
        <v>26196000</v>
      </c>
      <c r="H13" s="74"/>
    </row>
    <row r="14" spans="1:8" s="131" customFormat="1" ht="156">
      <c r="A14" s="123"/>
      <c r="B14" s="124" t="s">
        <v>2059</v>
      </c>
      <c r="C14" s="125" t="s">
        <v>1753</v>
      </c>
      <c r="D14" s="126">
        <v>11.1</v>
      </c>
      <c r="E14" s="127">
        <v>11800000</v>
      </c>
      <c r="F14" s="188">
        <v>0.2</v>
      </c>
      <c r="G14" s="129">
        <f>D14*E14*F14</f>
        <v>26196000</v>
      </c>
      <c r="H14" s="130"/>
    </row>
    <row r="15" spans="1:8" ht="27" customHeight="1">
      <c r="A15" s="75" t="s">
        <v>18</v>
      </c>
      <c r="B15" s="426" t="s">
        <v>1725</v>
      </c>
      <c r="C15" s="426"/>
      <c r="D15" s="426"/>
      <c r="E15" s="426"/>
      <c r="F15" s="426"/>
      <c r="G15" s="76">
        <f>SUM(G16:G17)</f>
        <v>1199132.6359999999</v>
      </c>
      <c r="H15" s="11"/>
    </row>
    <row r="16" spans="1:8" ht="15.6">
      <c r="A16" s="77">
        <v>1</v>
      </c>
      <c r="B16" s="78" t="s">
        <v>2302</v>
      </c>
      <c r="C16" s="14" t="s">
        <v>66</v>
      </c>
      <c r="D16" s="132">
        <f>7*1.3</f>
        <v>9.1</v>
      </c>
      <c r="E16" s="15">
        <v>379477</v>
      </c>
      <c r="F16" s="187">
        <v>0.2</v>
      </c>
      <c r="G16" s="79">
        <f>D16*E16*F16</f>
        <v>690648.14</v>
      </c>
      <c r="H16" s="15"/>
    </row>
    <row r="17" spans="1:8" ht="15.6">
      <c r="A17" s="77">
        <v>2</v>
      </c>
      <c r="B17" s="78" t="s">
        <v>2303</v>
      </c>
      <c r="C17" s="14" t="s">
        <v>1754</v>
      </c>
      <c r="D17" s="132">
        <f>13*1.2*0.1</f>
        <v>1.56</v>
      </c>
      <c r="E17" s="15">
        <v>1629758</v>
      </c>
      <c r="F17" s="187">
        <v>0.2</v>
      </c>
      <c r="G17" s="79">
        <f>D17*E17*F17</f>
        <v>508484.49600000004</v>
      </c>
      <c r="H17" s="15"/>
    </row>
    <row r="18" spans="1:8" ht="24" customHeight="1">
      <c r="A18" s="75" t="s">
        <v>19</v>
      </c>
      <c r="B18" s="426" t="s">
        <v>1727</v>
      </c>
      <c r="C18" s="426"/>
      <c r="D18" s="426"/>
      <c r="E18" s="426"/>
      <c r="F18" s="426"/>
      <c r="G18" s="76">
        <f>SUM(G19:G19)</f>
        <v>0</v>
      </c>
      <c r="H18" s="11"/>
    </row>
    <row r="19" spans="1:8" ht="30.6" customHeight="1">
      <c r="A19" s="77"/>
      <c r="B19" s="78" t="s">
        <v>1728</v>
      </c>
      <c r="C19" s="13"/>
      <c r="D19" s="13"/>
      <c r="E19" s="13"/>
      <c r="F19" s="13"/>
      <c r="G19" s="79"/>
      <c r="H19" s="15"/>
    </row>
    <row r="20" spans="1:8" ht="15.6">
      <c r="A20" s="80"/>
      <c r="B20" s="427" t="s">
        <v>62</v>
      </c>
      <c r="C20" s="428"/>
      <c r="D20" s="428"/>
      <c r="E20" s="428"/>
      <c r="F20" s="429"/>
      <c r="G20" s="81">
        <f>G13+G15+G18</f>
        <v>27395132.636</v>
      </c>
      <c r="H20" s="82"/>
    </row>
    <row r="21" spans="1:8" ht="15.6">
      <c r="A21" s="80"/>
      <c r="B21" s="427" t="s">
        <v>1726</v>
      </c>
      <c r="C21" s="428"/>
      <c r="D21" s="428"/>
      <c r="E21" s="428"/>
      <c r="F21" s="429"/>
      <c r="G21" s="81">
        <f>ROUND(G20,-3)</f>
        <v>27395000</v>
      </c>
      <c r="H21" s="82"/>
    </row>
    <row r="22" spans="1:8" ht="15.6">
      <c r="A22" s="430" t="e">
        <f ca="1">[19]!vnd(G21)</f>
        <v>#NAME?</v>
      </c>
      <c r="B22" s="431"/>
      <c r="C22" s="431"/>
      <c r="D22" s="431"/>
      <c r="E22" s="431"/>
      <c r="F22" s="431"/>
      <c r="G22" s="431"/>
      <c r="H22" s="432"/>
    </row>
    <row r="23" spans="1:8">
      <c r="A23" s="17"/>
      <c r="B23" s="17"/>
      <c r="C23" s="97"/>
      <c r="D23" s="20"/>
      <c r="E23" s="19"/>
      <c r="F23" s="97"/>
      <c r="G23" s="19"/>
      <c r="H23" s="17"/>
    </row>
    <row r="24" spans="1:8" s="109" customFormat="1" ht="16.5" customHeight="1">
      <c r="A24" s="108"/>
      <c r="B24" s="108"/>
      <c r="C24" s="424" t="s">
        <v>1742</v>
      </c>
      <c r="D24" s="424"/>
      <c r="E24" s="424"/>
      <c r="F24" s="424"/>
      <c r="G24" s="424"/>
      <c r="H24" s="424"/>
    </row>
    <row r="25" spans="1:8" s="109" customFormat="1" ht="16.5" customHeight="1">
      <c r="A25" s="423" t="s">
        <v>63</v>
      </c>
      <c r="B25" s="423"/>
      <c r="C25" s="424" t="s">
        <v>1743</v>
      </c>
      <c r="D25" s="424"/>
      <c r="E25" s="424"/>
      <c r="F25" s="424" t="s">
        <v>1744</v>
      </c>
      <c r="G25" s="424"/>
      <c r="H25" s="424"/>
    </row>
    <row r="26" spans="1:8" s="109" customFormat="1" ht="15.6">
      <c r="A26" s="108"/>
      <c r="B26" s="108"/>
      <c r="C26" s="108"/>
      <c r="D26" s="110"/>
      <c r="E26" s="111"/>
      <c r="F26" s="112"/>
      <c r="G26" s="111"/>
      <c r="H26" s="113"/>
    </row>
    <row r="27" spans="1:8" s="109" customFormat="1" ht="15.6">
      <c r="A27" s="108"/>
      <c r="B27" s="108"/>
      <c r="C27" s="108"/>
      <c r="D27" s="110"/>
      <c r="E27" s="111"/>
      <c r="F27" s="112"/>
      <c r="G27" s="114"/>
      <c r="H27" s="113"/>
    </row>
    <row r="28" spans="1:8" s="109" customFormat="1" ht="15.6">
      <c r="A28" s="108"/>
      <c r="B28" s="108"/>
      <c r="C28" s="108"/>
      <c r="D28" s="110"/>
      <c r="E28" s="111"/>
      <c r="F28" s="112"/>
      <c r="G28" s="111"/>
      <c r="H28" s="113"/>
    </row>
    <row r="29" spans="1:8" s="109" customFormat="1" ht="15.6">
      <c r="A29" s="108"/>
      <c r="B29" s="108"/>
      <c r="C29" s="108"/>
      <c r="D29" s="110"/>
      <c r="E29" s="111"/>
      <c r="F29" s="112"/>
      <c r="G29" s="111"/>
      <c r="H29" s="113"/>
    </row>
    <row r="30" spans="1:8" s="109" customFormat="1" ht="15.6">
      <c r="A30" s="108"/>
      <c r="B30" s="108"/>
      <c r="C30" s="108"/>
      <c r="D30" s="110"/>
      <c r="E30" s="111"/>
      <c r="F30" s="112"/>
      <c r="G30" s="111"/>
      <c r="H30" s="113"/>
    </row>
    <row r="31" spans="1:8" s="109" customFormat="1" ht="16.5" customHeight="1">
      <c r="A31" s="108"/>
      <c r="B31" s="198" t="s">
        <v>64</v>
      </c>
      <c r="C31" s="424"/>
      <c r="D31" s="424"/>
      <c r="E31" s="424"/>
      <c r="F31" s="424" t="s">
        <v>1745</v>
      </c>
      <c r="G31" s="424"/>
      <c r="H31" s="424"/>
    </row>
    <row r="32" spans="1:8" s="109" customFormat="1" ht="15.6">
      <c r="A32" s="108"/>
      <c r="B32" s="198"/>
      <c r="C32" s="199"/>
      <c r="D32" s="199"/>
      <c r="E32" s="199"/>
      <c r="F32" s="199"/>
      <c r="G32" s="199"/>
      <c r="H32" s="199"/>
    </row>
    <row r="33" spans="1:8" s="109" customFormat="1" ht="15" customHeight="1">
      <c r="A33" s="424" t="s">
        <v>1746</v>
      </c>
      <c r="B33" s="424"/>
      <c r="C33" s="424"/>
      <c r="D33" s="424"/>
      <c r="E33" s="424" t="s">
        <v>1747</v>
      </c>
      <c r="F33" s="424"/>
      <c r="G33" s="424"/>
      <c r="H33" s="424"/>
    </row>
    <row r="34" spans="1:8" s="109" customFormat="1" ht="33.6" customHeight="1">
      <c r="A34" s="424" t="s">
        <v>1748</v>
      </c>
      <c r="B34" s="424"/>
      <c r="C34" s="424"/>
      <c r="D34" s="424"/>
      <c r="E34" s="424" t="s">
        <v>65</v>
      </c>
      <c r="F34" s="424"/>
      <c r="G34" s="424"/>
      <c r="H34" s="424"/>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ustomHeight="1">
      <c r="A40" s="108"/>
      <c r="B40" s="108"/>
      <c r="C40" s="108"/>
      <c r="D40" s="115"/>
      <c r="E40" s="439" t="s">
        <v>1749</v>
      </c>
      <c r="F40" s="439"/>
      <c r="G40" s="439"/>
      <c r="H40" s="439"/>
    </row>
    <row r="41" spans="1:8" s="109" customFormat="1" ht="16.5" customHeight="1">
      <c r="A41" s="424" t="s">
        <v>1751</v>
      </c>
      <c r="B41" s="424"/>
      <c r="C41" s="424"/>
      <c r="D41" s="424"/>
      <c r="E41" s="424" t="s">
        <v>1750</v>
      </c>
      <c r="F41" s="424"/>
      <c r="G41" s="424"/>
      <c r="H41" s="424"/>
    </row>
    <row r="42" spans="1:8" s="118" customFormat="1" ht="16.2" customHeight="1">
      <c r="A42" s="436"/>
      <c r="B42" s="436"/>
      <c r="C42" s="273"/>
      <c r="D42" s="274"/>
      <c r="E42" s="436"/>
      <c r="F42" s="436"/>
      <c r="G42" s="436"/>
      <c r="H42" s="436"/>
    </row>
    <row r="43" spans="1:8" s="118" customFormat="1" ht="15.75" customHeight="1">
      <c r="A43" s="436"/>
      <c r="B43" s="436"/>
      <c r="C43" s="436"/>
      <c r="D43" s="436"/>
      <c r="E43" s="436"/>
      <c r="F43" s="436"/>
      <c r="G43" s="436"/>
      <c r="H43" s="436"/>
    </row>
    <row r="44" spans="1:8" s="98" customFormat="1" ht="16.2" customHeight="1">
      <c r="A44" s="436"/>
      <c r="B44" s="436"/>
      <c r="C44" s="436"/>
      <c r="D44" s="436"/>
      <c r="E44" s="119"/>
      <c r="F44" s="120"/>
      <c r="G44" s="119"/>
      <c r="H44" s="121"/>
    </row>
    <row r="45" spans="1:8" s="98" customFormat="1" ht="16.2" customHeight="1">
      <c r="A45" s="436"/>
      <c r="B45" s="436"/>
      <c r="C45" s="436"/>
      <c r="D45" s="436"/>
      <c r="E45" s="119"/>
      <c r="F45" s="120"/>
      <c r="G45" s="119"/>
      <c r="H45" s="121"/>
    </row>
    <row r="46" spans="1:8" s="98" customFormat="1" ht="16.2" customHeight="1">
      <c r="A46" s="121"/>
      <c r="B46" s="121"/>
      <c r="C46" s="121"/>
      <c r="D46" s="122"/>
      <c r="E46" s="119"/>
      <c r="F46" s="120"/>
      <c r="G46" s="119"/>
      <c r="H46" s="121"/>
    </row>
    <row r="47" spans="1:8" ht="16.2" customHeight="1">
      <c r="A47" s="83"/>
      <c r="B47" s="83"/>
      <c r="C47" s="83"/>
      <c r="D47" s="84"/>
      <c r="E47" s="85"/>
      <c r="F47" s="86"/>
      <c r="G47" s="85"/>
      <c r="H47" s="83"/>
    </row>
    <row r="48" spans="1:8" ht="16.2" customHeight="1">
      <c r="A48" s="83"/>
      <c r="B48" s="83"/>
      <c r="C48" s="83"/>
      <c r="D48" s="84"/>
      <c r="E48" s="85"/>
      <c r="F48" s="86"/>
      <c r="G48" s="85"/>
      <c r="H48" s="83"/>
    </row>
    <row r="49" spans="1:8" ht="16.2" customHeight="1">
      <c r="A49" s="83"/>
      <c r="B49" s="83"/>
      <c r="C49" s="83"/>
      <c r="D49" s="84"/>
      <c r="E49" s="85"/>
      <c r="F49" s="86"/>
      <c r="G49" s="85"/>
      <c r="H49" s="83"/>
    </row>
    <row r="50" spans="1:8" ht="16.2" customHeight="1">
      <c r="A50" s="83"/>
      <c r="B50" s="83"/>
      <c r="C50" s="83"/>
      <c r="D50" s="84"/>
      <c r="E50" s="437"/>
      <c r="F50" s="437"/>
      <c r="G50" s="437"/>
      <c r="H50" s="437"/>
    </row>
    <row r="51" spans="1:8" ht="20.25" customHeight="1">
      <c r="A51" s="438"/>
      <c r="B51" s="438"/>
      <c r="C51" s="438"/>
      <c r="D51" s="438"/>
      <c r="E51" s="438"/>
      <c r="F51" s="438"/>
      <c r="G51" s="438"/>
      <c r="H51" s="438"/>
    </row>
    <row r="52" spans="1:8" s="17" customFormat="1" ht="16.2" customHeight="1">
      <c r="D52" s="18"/>
      <c r="E52" s="19"/>
      <c r="F52" s="97"/>
      <c r="G52" s="19"/>
    </row>
    <row r="53" spans="1:8" s="17" customFormat="1" ht="16.2" customHeight="1">
      <c r="D53" s="18"/>
      <c r="E53" s="19"/>
      <c r="F53" s="97"/>
      <c r="G53" s="19"/>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C68" s="97"/>
      <c r="D68" s="20"/>
      <c r="E68" s="19"/>
      <c r="F68" s="97"/>
      <c r="G68" s="19"/>
    </row>
    <row r="69" spans="3:7" s="17" customFormat="1" ht="16.2" customHeight="1">
      <c r="C69" s="97"/>
      <c r="D69" s="20"/>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ht="16.2" customHeight="1"/>
    <row r="81" ht="16.2" customHeight="1"/>
    <row r="82" ht="16.2" customHeight="1"/>
    <row r="83" ht="16.2" customHeight="1"/>
    <row r="84" ht="16.2" customHeight="1"/>
    <row r="85" ht="16.2" customHeight="1"/>
    <row r="86" ht="16.2" customHeight="1"/>
    <row r="87" ht="16.2" customHeight="1"/>
    <row r="88" ht="16.2" customHeight="1"/>
    <row r="89" ht="16.2" customHeight="1"/>
    <row r="90" ht="16.2" customHeight="1"/>
    <row r="91" ht="16.2" customHeight="1"/>
    <row r="92" ht="16.2" customHeight="1"/>
    <row r="93" ht="16.2" customHeight="1"/>
    <row r="94" ht="16.2" customHeight="1"/>
    <row r="95" ht="16.2" customHeight="1"/>
    <row r="96"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row r="227"/>
    <row r="228"/>
    <row r="229"/>
    <row r="230"/>
    <row r="231"/>
    <row r="232"/>
    <row r="233"/>
    <row r="234"/>
    <row r="235"/>
    <row r="236"/>
    <row r="237"/>
    <row r="238"/>
    <row r="239"/>
    <row r="240"/>
    <row r="24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sheetData>
  <mergeCells count="40">
    <mergeCell ref="A4:B4"/>
    <mergeCell ref="C4:H4"/>
    <mergeCell ref="A1:B1"/>
    <mergeCell ref="C1:H1"/>
    <mergeCell ref="A2:B2"/>
    <mergeCell ref="C2:H2"/>
    <mergeCell ref="A3:B3"/>
    <mergeCell ref="A22:H22"/>
    <mergeCell ref="A6:H6"/>
    <mergeCell ref="A7:H7"/>
    <mergeCell ref="A8:H8"/>
    <mergeCell ref="A9:H9"/>
    <mergeCell ref="A10:H10"/>
    <mergeCell ref="A11:H11"/>
    <mergeCell ref="B13:F13"/>
    <mergeCell ref="B15:F15"/>
    <mergeCell ref="B18:F18"/>
    <mergeCell ref="B20:F20"/>
    <mergeCell ref="B21:F21"/>
    <mergeCell ref="A41:D41"/>
    <mergeCell ref="E41:H41"/>
    <mergeCell ref="C24:H24"/>
    <mergeCell ref="A25:B25"/>
    <mergeCell ref="C25:E25"/>
    <mergeCell ref="F25:H25"/>
    <mergeCell ref="C31:E31"/>
    <mergeCell ref="F31:H31"/>
    <mergeCell ref="A33:D33"/>
    <mergeCell ref="E33:H33"/>
    <mergeCell ref="A34:D34"/>
    <mergeCell ref="E34:H34"/>
    <mergeCell ref="E40:H40"/>
    <mergeCell ref="E50:H50"/>
    <mergeCell ref="A51:H51"/>
    <mergeCell ref="A42:B42"/>
    <mergeCell ref="E42:H42"/>
    <mergeCell ref="A43:D43"/>
    <mergeCell ref="E43:H43"/>
    <mergeCell ref="A44:D44"/>
    <mergeCell ref="A45:D45"/>
  </mergeCells>
  <dataValidations count="1">
    <dataValidation type="list" allowBlank="1" showInputMessage="1" showErrorMessage="1" sqref="WVJ983043:WVJ983060 B983043:B983060 IX983043:IX983060 ST983043:ST983060 ACP983043:ACP983060 AML983043:AML983060 AWH983043:AWH983060 BGD983043:BGD983060 BPZ983043:BPZ983060 BZV983043:BZV983060 CJR983043:CJR983060 CTN983043:CTN983060 DDJ983043:DDJ983060 DNF983043:DNF983060 DXB983043:DXB983060 EGX983043:EGX983060 EQT983043:EQT983060 FAP983043:FAP983060 FKL983043:FKL983060 FUH983043:FUH983060 GED983043:GED983060 GNZ983043:GNZ983060 GXV983043:GXV983060 HHR983043:HHR983060 HRN983043:HRN983060 IBJ983043:IBJ983060 ILF983043:ILF983060 IVB983043:IVB983060 JEX983043:JEX983060 JOT983043:JOT983060 JYP983043:JYP983060 KIL983043:KIL983060 KSH983043:KSH983060 LCD983043:LCD983060 LLZ983043:LLZ983060 LVV983043:LVV983060 MFR983043:MFR983060 MPN983043:MPN983060 MZJ983043:MZJ983060 NJF983043:NJF983060 NTB983043:NTB983060 OCX983043:OCX983060 OMT983043:OMT983060 OWP983043:OWP983060 PGL983043:PGL983060 PQH983043:PQH983060 QAD983043:QAD983060 QJZ983043:QJZ983060 QTV983043:QTV983060 RDR983043:RDR983060 RNN983043:RNN983060 RXJ983043:RXJ983060 SHF983043:SHF983060 SRB983043:SRB983060 TAX983043:TAX983060 TKT983043:TKT983060 TUP983043:TUP983060 UEL983043:UEL983060 UOH983043:UOH983060 UYD983043:UYD983060 VHZ983043:VHZ983060 VRV983043:VRV983060 WBR983043:WBR983060 WLN983043:WLN983060 B65539:B65556 IX65539:IX65556 ST65539:ST65556 ACP65539:ACP65556 AML65539:AML65556 AWH65539:AWH65556 BGD65539:BGD65556 BPZ65539:BPZ65556 BZV65539:BZV65556 CJR65539:CJR65556 CTN65539:CTN65556 DDJ65539:DDJ65556 DNF65539:DNF65556 DXB65539:DXB65556 EGX65539:EGX65556 EQT65539:EQT65556 FAP65539:FAP65556 FKL65539:FKL65556 FUH65539:FUH65556 GED65539:GED65556 GNZ65539:GNZ65556 GXV65539:GXV65556 HHR65539:HHR65556 HRN65539:HRN65556 IBJ65539:IBJ65556 ILF65539:ILF65556 IVB65539:IVB65556 JEX65539:JEX65556 JOT65539:JOT65556 JYP65539:JYP65556 KIL65539:KIL65556 KSH65539:KSH65556 LCD65539:LCD65556 LLZ65539:LLZ65556 LVV65539:LVV65556 MFR65539:MFR65556 MPN65539:MPN65556 MZJ65539:MZJ65556 NJF65539:NJF65556 NTB65539:NTB65556 OCX65539:OCX65556 OMT65539:OMT65556 OWP65539:OWP65556 PGL65539:PGL65556 PQH65539:PQH65556 QAD65539:QAD65556 QJZ65539:QJZ65556 QTV65539:QTV65556 RDR65539:RDR65556 RNN65539:RNN65556 RXJ65539:RXJ65556 SHF65539:SHF65556 SRB65539:SRB65556 TAX65539:TAX65556 TKT65539:TKT65556 TUP65539:TUP65556 UEL65539:UEL65556 UOH65539:UOH65556 UYD65539:UYD65556 VHZ65539:VHZ65556 VRV65539:VRV65556 WBR65539:WBR65556 WLN65539:WLN65556 WVJ65539:WVJ65556 B131075:B131092 IX131075:IX131092 ST131075:ST131092 ACP131075:ACP131092 AML131075:AML131092 AWH131075:AWH131092 BGD131075:BGD131092 BPZ131075:BPZ131092 BZV131075:BZV131092 CJR131075:CJR131092 CTN131075:CTN131092 DDJ131075:DDJ131092 DNF131075:DNF131092 DXB131075:DXB131092 EGX131075:EGX131092 EQT131075:EQT131092 FAP131075:FAP131092 FKL131075:FKL131092 FUH131075:FUH131092 GED131075:GED131092 GNZ131075:GNZ131092 GXV131075:GXV131092 HHR131075:HHR131092 HRN131075:HRN131092 IBJ131075:IBJ131092 ILF131075:ILF131092 IVB131075:IVB131092 JEX131075:JEX131092 JOT131075:JOT131092 JYP131075:JYP131092 KIL131075:KIL131092 KSH131075:KSH131092 LCD131075:LCD131092 LLZ131075:LLZ131092 LVV131075:LVV131092 MFR131075:MFR131092 MPN131075:MPN131092 MZJ131075:MZJ131092 NJF131075:NJF131092 NTB131075:NTB131092 OCX131075:OCX131092 OMT131075:OMT131092 OWP131075:OWP131092 PGL131075:PGL131092 PQH131075:PQH131092 QAD131075:QAD131092 QJZ131075:QJZ131092 QTV131075:QTV131092 RDR131075:RDR131092 RNN131075:RNN131092 RXJ131075:RXJ131092 SHF131075:SHF131092 SRB131075:SRB131092 TAX131075:TAX131092 TKT131075:TKT131092 TUP131075:TUP131092 UEL131075:UEL131092 UOH131075:UOH131092 UYD131075:UYD131092 VHZ131075:VHZ131092 VRV131075:VRV131092 WBR131075:WBR131092 WLN131075:WLN131092 WVJ131075:WVJ131092 B196611:B196628 IX196611:IX196628 ST196611:ST196628 ACP196611:ACP196628 AML196611:AML196628 AWH196611:AWH196628 BGD196611:BGD196628 BPZ196611:BPZ196628 BZV196611:BZV196628 CJR196611:CJR196628 CTN196611:CTN196628 DDJ196611:DDJ196628 DNF196611:DNF196628 DXB196611:DXB196628 EGX196611:EGX196628 EQT196611:EQT196628 FAP196611:FAP196628 FKL196611:FKL196628 FUH196611:FUH196628 GED196611:GED196628 GNZ196611:GNZ196628 GXV196611:GXV196628 HHR196611:HHR196628 HRN196611:HRN196628 IBJ196611:IBJ196628 ILF196611:ILF196628 IVB196611:IVB196628 JEX196611:JEX196628 JOT196611:JOT196628 JYP196611:JYP196628 KIL196611:KIL196628 KSH196611:KSH196628 LCD196611:LCD196628 LLZ196611:LLZ196628 LVV196611:LVV196628 MFR196611:MFR196628 MPN196611:MPN196628 MZJ196611:MZJ196628 NJF196611:NJF196628 NTB196611:NTB196628 OCX196611:OCX196628 OMT196611:OMT196628 OWP196611:OWP196628 PGL196611:PGL196628 PQH196611:PQH196628 QAD196611:QAD196628 QJZ196611:QJZ196628 QTV196611:QTV196628 RDR196611:RDR196628 RNN196611:RNN196628 RXJ196611:RXJ196628 SHF196611:SHF196628 SRB196611:SRB196628 TAX196611:TAX196628 TKT196611:TKT196628 TUP196611:TUP196628 UEL196611:UEL196628 UOH196611:UOH196628 UYD196611:UYD196628 VHZ196611:VHZ196628 VRV196611:VRV196628 WBR196611:WBR196628 WLN196611:WLN196628 WVJ196611:WVJ196628 B262147:B262164 IX262147:IX262164 ST262147:ST262164 ACP262147:ACP262164 AML262147:AML262164 AWH262147:AWH262164 BGD262147:BGD262164 BPZ262147:BPZ262164 BZV262147:BZV262164 CJR262147:CJR262164 CTN262147:CTN262164 DDJ262147:DDJ262164 DNF262147:DNF262164 DXB262147:DXB262164 EGX262147:EGX262164 EQT262147:EQT262164 FAP262147:FAP262164 FKL262147:FKL262164 FUH262147:FUH262164 GED262147:GED262164 GNZ262147:GNZ262164 GXV262147:GXV262164 HHR262147:HHR262164 HRN262147:HRN262164 IBJ262147:IBJ262164 ILF262147:ILF262164 IVB262147:IVB262164 JEX262147:JEX262164 JOT262147:JOT262164 JYP262147:JYP262164 KIL262147:KIL262164 KSH262147:KSH262164 LCD262147:LCD262164 LLZ262147:LLZ262164 LVV262147:LVV262164 MFR262147:MFR262164 MPN262147:MPN262164 MZJ262147:MZJ262164 NJF262147:NJF262164 NTB262147:NTB262164 OCX262147:OCX262164 OMT262147:OMT262164 OWP262147:OWP262164 PGL262147:PGL262164 PQH262147:PQH262164 QAD262147:QAD262164 QJZ262147:QJZ262164 QTV262147:QTV262164 RDR262147:RDR262164 RNN262147:RNN262164 RXJ262147:RXJ262164 SHF262147:SHF262164 SRB262147:SRB262164 TAX262147:TAX262164 TKT262147:TKT262164 TUP262147:TUP262164 UEL262147:UEL262164 UOH262147:UOH262164 UYD262147:UYD262164 VHZ262147:VHZ262164 VRV262147:VRV262164 WBR262147:WBR262164 WLN262147:WLN262164 WVJ262147:WVJ262164 B327683:B327700 IX327683:IX327700 ST327683:ST327700 ACP327683:ACP327700 AML327683:AML327700 AWH327683:AWH327700 BGD327683:BGD327700 BPZ327683:BPZ327700 BZV327683:BZV327700 CJR327683:CJR327700 CTN327683:CTN327700 DDJ327683:DDJ327700 DNF327683:DNF327700 DXB327683:DXB327700 EGX327683:EGX327700 EQT327683:EQT327700 FAP327683:FAP327700 FKL327683:FKL327700 FUH327683:FUH327700 GED327683:GED327700 GNZ327683:GNZ327700 GXV327683:GXV327700 HHR327683:HHR327700 HRN327683:HRN327700 IBJ327683:IBJ327700 ILF327683:ILF327700 IVB327683:IVB327700 JEX327683:JEX327700 JOT327683:JOT327700 JYP327683:JYP327700 KIL327683:KIL327700 KSH327683:KSH327700 LCD327683:LCD327700 LLZ327683:LLZ327700 LVV327683:LVV327700 MFR327683:MFR327700 MPN327683:MPN327700 MZJ327683:MZJ327700 NJF327683:NJF327700 NTB327683:NTB327700 OCX327683:OCX327700 OMT327683:OMT327700 OWP327683:OWP327700 PGL327683:PGL327700 PQH327683:PQH327700 QAD327683:QAD327700 QJZ327683:QJZ327700 QTV327683:QTV327700 RDR327683:RDR327700 RNN327683:RNN327700 RXJ327683:RXJ327700 SHF327683:SHF327700 SRB327683:SRB327700 TAX327683:TAX327700 TKT327683:TKT327700 TUP327683:TUP327700 UEL327683:UEL327700 UOH327683:UOH327700 UYD327683:UYD327700 VHZ327683:VHZ327700 VRV327683:VRV327700 WBR327683:WBR327700 WLN327683:WLN327700 WVJ327683:WVJ327700 B393219:B393236 IX393219:IX393236 ST393219:ST393236 ACP393219:ACP393236 AML393219:AML393236 AWH393219:AWH393236 BGD393219:BGD393236 BPZ393219:BPZ393236 BZV393219:BZV393236 CJR393219:CJR393236 CTN393219:CTN393236 DDJ393219:DDJ393236 DNF393219:DNF393236 DXB393219:DXB393236 EGX393219:EGX393236 EQT393219:EQT393236 FAP393219:FAP393236 FKL393219:FKL393236 FUH393219:FUH393236 GED393219:GED393236 GNZ393219:GNZ393236 GXV393219:GXV393236 HHR393219:HHR393236 HRN393219:HRN393236 IBJ393219:IBJ393236 ILF393219:ILF393236 IVB393219:IVB393236 JEX393219:JEX393236 JOT393219:JOT393236 JYP393219:JYP393236 KIL393219:KIL393236 KSH393219:KSH393236 LCD393219:LCD393236 LLZ393219:LLZ393236 LVV393219:LVV393236 MFR393219:MFR393236 MPN393219:MPN393236 MZJ393219:MZJ393236 NJF393219:NJF393236 NTB393219:NTB393236 OCX393219:OCX393236 OMT393219:OMT393236 OWP393219:OWP393236 PGL393219:PGL393236 PQH393219:PQH393236 QAD393219:QAD393236 QJZ393219:QJZ393236 QTV393219:QTV393236 RDR393219:RDR393236 RNN393219:RNN393236 RXJ393219:RXJ393236 SHF393219:SHF393236 SRB393219:SRB393236 TAX393219:TAX393236 TKT393219:TKT393236 TUP393219:TUP393236 UEL393219:UEL393236 UOH393219:UOH393236 UYD393219:UYD393236 VHZ393219:VHZ393236 VRV393219:VRV393236 WBR393219:WBR393236 WLN393219:WLN393236 WVJ393219:WVJ393236 B458755:B458772 IX458755:IX458772 ST458755:ST458772 ACP458755:ACP458772 AML458755:AML458772 AWH458755:AWH458772 BGD458755:BGD458772 BPZ458755:BPZ458772 BZV458755:BZV458772 CJR458755:CJR458772 CTN458755:CTN458772 DDJ458755:DDJ458772 DNF458755:DNF458772 DXB458755:DXB458772 EGX458755:EGX458772 EQT458755:EQT458772 FAP458755:FAP458772 FKL458755:FKL458772 FUH458755:FUH458772 GED458755:GED458772 GNZ458755:GNZ458772 GXV458755:GXV458772 HHR458755:HHR458772 HRN458755:HRN458772 IBJ458755:IBJ458772 ILF458755:ILF458772 IVB458755:IVB458772 JEX458755:JEX458772 JOT458755:JOT458772 JYP458755:JYP458772 KIL458755:KIL458772 KSH458755:KSH458772 LCD458755:LCD458772 LLZ458755:LLZ458772 LVV458755:LVV458772 MFR458755:MFR458772 MPN458755:MPN458772 MZJ458755:MZJ458772 NJF458755:NJF458772 NTB458755:NTB458772 OCX458755:OCX458772 OMT458755:OMT458772 OWP458755:OWP458772 PGL458755:PGL458772 PQH458755:PQH458772 QAD458755:QAD458772 QJZ458755:QJZ458772 QTV458755:QTV458772 RDR458755:RDR458772 RNN458755:RNN458772 RXJ458755:RXJ458772 SHF458755:SHF458772 SRB458755:SRB458772 TAX458755:TAX458772 TKT458755:TKT458772 TUP458755:TUP458772 UEL458755:UEL458772 UOH458755:UOH458772 UYD458755:UYD458772 VHZ458755:VHZ458772 VRV458755:VRV458772 WBR458755:WBR458772 WLN458755:WLN458772 WVJ458755:WVJ458772 B524291:B524308 IX524291:IX524308 ST524291:ST524308 ACP524291:ACP524308 AML524291:AML524308 AWH524291:AWH524308 BGD524291:BGD524308 BPZ524291:BPZ524308 BZV524291:BZV524308 CJR524291:CJR524308 CTN524291:CTN524308 DDJ524291:DDJ524308 DNF524291:DNF524308 DXB524291:DXB524308 EGX524291:EGX524308 EQT524291:EQT524308 FAP524291:FAP524308 FKL524291:FKL524308 FUH524291:FUH524308 GED524291:GED524308 GNZ524291:GNZ524308 GXV524291:GXV524308 HHR524291:HHR524308 HRN524291:HRN524308 IBJ524291:IBJ524308 ILF524291:ILF524308 IVB524291:IVB524308 JEX524291:JEX524308 JOT524291:JOT524308 JYP524291:JYP524308 KIL524291:KIL524308 KSH524291:KSH524308 LCD524291:LCD524308 LLZ524291:LLZ524308 LVV524291:LVV524308 MFR524291:MFR524308 MPN524291:MPN524308 MZJ524291:MZJ524308 NJF524291:NJF524308 NTB524291:NTB524308 OCX524291:OCX524308 OMT524291:OMT524308 OWP524291:OWP524308 PGL524291:PGL524308 PQH524291:PQH524308 QAD524291:QAD524308 QJZ524291:QJZ524308 QTV524291:QTV524308 RDR524291:RDR524308 RNN524291:RNN524308 RXJ524291:RXJ524308 SHF524291:SHF524308 SRB524291:SRB524308 TAX524291:TAX524308 TKT524291:TKT524308 TUP524291:TUP524308 UEL524291:UEL524308 UOH524291:UOH524308 UYD524291:UYD524308 VHZ524291:VHZ524308 VRV524291:VRV524308 WBR524291:WBR524308 WLN524291:WLN524308 WVJ524291:WVJ524308 B589827:B589844 IX589827:IX589844 ST589827:ST589844 ACP589827:ACP589844 AML589827:AML589844 AWH589827:AWH589844 BGD589827:BGD589844 BPZ589827:BPZ589844 BZV589827:BZV589844 CJR589827:CJR589844 CTN589827:CTN589844 DDJ589827:DDJ589844 DNF589827:DNF589844 DXB589827:DXB589844 EGX589827:EGX589844 EQT589827:EQT589844 FAP589827:FAP589844 FKL589827:FKL589844 FUH589827:FUH589844 GED589827:GED589844 GNZ589827:GNZ589844 GXV589827:GXV589844 HHR589827:HHR589844 HRN589827:HRN589844 IBJ589827:IBJ589844 ILF589827:ILF589844 IVB589827:IVB589844 JEX589827:JEX589844 JOT589827:JOT589844 JYP589827:JYP589844 KIL589827:KIL589844 KSH589827:KSH589844 LCD589827:LCD589844 LLZ589827:LLZ589844 LVV589827:LVV589844 MFR589827:MFR589844 MPN589827:MPN589844 MZJ589827:MZJ589844 NJF589827:NJF589844 NTB589827:NTB589844 OCX589827:OCX589844 OMT589827:OMT589844 OWP589827:OWP589844 PGL589827:PGL589844 PQH589827:PQH589844 QAD589827:QAD589844 QJZ589827:QJZ589844 QTV589827:QTV589844 RDR589827:RDR589844 RNN589827:RNN589844 RXJ589827:RXJ589844 SHF589827:SHF589844 SRB589827:SRB589844 TAX589827:TAX589844 TKT589827:TKT589844 TUP589827:TUP589844 UEL589827:UEL589844 UOH589827:UOH589844 UYD589827:UYD589844 VHZ589827:VHZ589844 VRV589827:VRV589844 WBR589827:WBR589844 WLN589827:WLN589844 WVJ589827:WVJ589844 B655363:B655380 IX655363:IX655380 ST655363:ST655380 ACP655363:ACP655380 AML655363:AML655380 AWH655363:AWH655380 BGD655363:BGD655380 BPZ655363:BPZ655380 BZV655363:BZV655380 CJR655363:CJR655380 CTN655363:CTN655380 DDJ655363:DDJ655380 DNF655363:DNF655380 DXB655363:DXB655380 EGX655363:EGX655380 EQT655363:EQT655380 FAP655363:FAP655380 FKL655363:FKL655380 FUH655363:FUH655380 GED655363:GED655380 GNZ655363:GNZ655380 GXV655363:GXV655380 HHR655363:HHR655380 HRN655363:HRN655380 IBJ655363:IBJ655380 ILF655363:ILF655380 IVB655363:IVB655380 JEX655363:JEX655380 JOT655363:JOT655380 JYP655363:JYP655380 KIL655363:KIL655380 KSH655363:KSH655380 LCD655363:LCD655380 LLZ655363:LLZ655380 LVV655363:LVV655380 MFR655363:MFR655380 MPN655363:MPN655380 MZJ655363:MZJ655380 NJF655363:NJF655380 NTB655363:NTB655380 OCX655363:OCX655380 OMT655363:OMT655380 OWP655363:OWP655380 PGL655363:PGL655380 PQH655363:PQH655380 QAD655363:QAD655380 QJZ655363:QJZ655380 QTV655363:QTV655380 RDR655363:RDR655380 RNN655363:RNN655380 RXJ655363:RXJ655380 SHF655363:SHF655380 SRB655363:SRB655380 TAX655363:TAX655380 TKT655363:TKT655380 TUP655363:TUP655380 UEL655363:UEL655380 UOH655363:UOH655380 UYD655363:UYD655380 VHZ655363:VHZ655380 VRV655363:VRV655380 WBR655363:WBR655380 WLN655363:WLN655380 WVJ655363:WVJ655380 B720899:B720916 IX720899:IX720916 ST720899:ST720916 ACP720899:ACP720916 AML720899:AML720916 AWH720899:AWH720916 BGD720899:BGD720916 BPZ720899:BPZ720916 BZV720899:BZV720916 CJR720899:CJR720916 CTN720899:CTN720916 DDJ720899:DDJ720916 DNF720899:DNF720916 DXB720899:DXB720916 EGX720899:EGX720916 EQT720899:EQT720916 FAP720899:FAP720916 FKL720899:FKL720916 FUH720899:FUH720916 GED720899:GED720916 GNZ720899:GNZ720916 GXV720899:GXV720916 HHR720899:HHR720916 HRN720899:HRN720916 IBJ720899:IBJ720916 ILF720899:ILF720916 IVB720899:IVB720916 JEX720899:JEX720916 JOT720899:JOT720916 JYP720899:JYP720916 KIL720899:KIL720916 KSH720899:KSH720916 LCD720899:LCD720916 LLZ720899:LLZ720916 LVV720899:LVV720916 MFR720899:MFR720916 MPN720899:MPN720916 MZJ720899:MZJ720916 NJF720899:NJF720916 NTB720899:NTB720916 OCX720899:OCX720916 OMT720899:OMT720916 OWP720899:OWP720916 PGL720899:PGL720916 PQH720899:PQH720916 QAD720899:QAD720916 QJZ720899:QJZ720916 QTV720899:QTV720916 RDR720899:RDR720916 RNN720899:RNN720916 RXJ720899:RXJ720916 SHF720899:SHF720916 SRB720899:SRB720916 TAX720899:TAX720916 TKT720899:TKT720916 TUP720899:TUP720916 UEL720899:UEL720916 UOH720899:UOH720916 UYD720899:UYD720916 VHZ720899:VHZ720916 VRV720899:VRV720916 WBR720899:WBR720916 WLN720899:WLN720916 WVJ720899:WVJ720916 B786435:B786452 IX786435:IX786452 ST786435:ST786452 ACP786435:ACP786452 AML786435:AML786452 AWH786435:AWH786452 BGD786435:BGD786452 BPZ786435:BPZ786452 BZV786435:BZV786452 CJR786435:CJR786452 CTN786435:CTN786452 DDJ786435:DDJ786452 DNF786435:DNF786452 DXB786435:DXB786452 EGX786435:EGX786452 EQT786435:EQT786452 FAP786435:FAP786452 FKL786435:FKL786452 FUH786435:FUH786452 GED786435:GED786452 GNZ786435:GNZ786452 GXV786435:GXV786452 HHR786435:HHR786452 HRN786435:HRN786452 IBJ786435:IBJ786452 ILF786435:ILF786452 IVB786435:IVB786452 JEX786435:JEX786452 JOT786435:JOT786452 JYP786435:JYP786452 KIL786435:KIL786452 KSH786435:KSH786452 LCD786435:LCD786452 LLZ786435:LLZ786452 LVV786435:LVV786452 MFR786435:MFR786452 MPN786435:MPN786452 MZJ786435:MZJ786452 NJF786435:NJF786452 NTB786435:NTB786452 OCX786435:OCX786452 OMT786435:OMT786452 OWP786435:OWP786452 PGL786435:PGL786452 PQH786435:PQH786452 QAD786435:QAD786452 QJZ786435:QJZ786452 QTV786435:QTV786452 RDR786435:RDR786452 RNN786435:RNN786452 RXJ786435:RXJ786452 SHF786435:SHF786452 SRB786435:SRB786452 TAX786435:TAX786452 TKT786435:TKT786452 TUP786435:TUP786452 UEL786435:UEL786452 UOH786435:UOH786452 UYD786435:UYD786452 VHZ786435:VHZ786452 VRV786435:VRV786452 WBR786435:WBR786452 WLN786435:WLN786452 WVJ786435:WVJ786452 B851971:B851988 IX851971:IX851988 ST851971:ST851988 ACP851971:ACP851988 AML851971:AML851988 AWH851971:AWH851988 BGD851971:BGD851988 BPZ851971:BPZ851988 BZV851971:BZV851988 CJR851971:CJR851988 CTN851971:CTN851988 DDJ851971:DDJ851988 DNF851971:DNF851988 DXB851971:DXB851988 EGX851971:EGX851988 EQT851971:EQT851988 FAP851971:FAP851988 FKL851971:FKL851988 FUH851971:FUH851988 GED851971:GED851988 GNZ851971:GNZ851988 GXV851971:GXV851988 HHR851971:HHR851988 HRN851971:HRN851988 IBJ851971:IBJ851988 ILF851971:ILF851988 IVB851971:IVB851988 JEX851971:JEX851988 JOT851971:JOT851988 JYP851971:JYP851988 KIL851971:KIL851988 KSH851971:KSH851988 LCD851971:LCD851988 LLZ851971:LLZ851988 LVV851971:LVV851988 MFR851971:MFR851988 MPN851971:MPN851988 MZJ851971:MZJ851988 NJF851971:NJF851988 NTB851971:NTB851988 OCX851971:OCX851988 OMT851971:OMT851988 OWP851971:OWP851988 PGL851971:PGL851988 PQH851971:PQH851988 QAD851971:QAD851988 QJZ851971:QJZ851988 QTV851971:QTV851988 RDR851971:RDR851988 RNN851971:RNN851988 RXJ851971:RXJ851988 SHF851971:SHF851988 SRB851971:SRB851988 TAX851971:TAX851988 TKT851971:TKT851988 TUP851971:TUP851988 UEL851971:UEL851988 UOH851971:UOH851988 UYD851971:UYD851988 VHZ851971:VHZ851988 VRV851971:VRV851988 WBR851971:WBR851988 WLN851971:WLN851988 WVJ851971:WVJ851988 B917507:B917524 IX917507:IX917524 ST917507:ST917524 ACP917507:ACP917524 AML917507:AML917524 AWH917507:AWH917524 BGD917507:BGD917524 BPZ917507:BPZ917524 BZV917507:BZV917524 CJR917507:CJR917524 CTN917507:CTN917524 DDJ917507:DDJ917524 DNF917507:DNF917524 DXB917507:DXB917524 EGX917507:EGX917524 EQT917507:EQT917524 FAP917507:FAP917524 FKL917507:FKL917524 FUH917507:FUH917524 GED917507:GED917524 GNZ917507:GNZ917524 GXV917507:GXV917524 HHR917507:HHR917524 HRN917507:HRN917524 IBJ917507:IBJ917524 ILF917507:ILF917524 IVB917507:IVB917524 JEX917507:JEX917524 JOT917507:JOT917524 JYP917507:JYP917524 KIL917507:KIL917524 KSH917507:KSH917524 LCD917507:LCD917524 LLZ917507:LLZ917524 LVV917507:LVV917524 MFR917507:MFR917524 MPN917507:MPN917524 MZJ917507:MZJ917524 NJF917507:NJF917524 NTB917507:NTB917524 OCX917507:OCX917524 OMT917507:OMT917524 OWP917507:OWP917524 PGL917507:PGL917524 PQH917507:PQH917524 QAD917507:QAD917524 QJZ917507:QJZ917524 QTV917507:QTV917524 RDR917507:RDR917524 RNN917507:RNN917524 RXJ917507:RXJ917524 SHF917507:SHF917524 SRB917507:SRB917524 TAX917507:TAX917524 TKT917507:TKT917524 TUP917507:TUP917524 UEL917507:UEL917524 UOH917507:UOH917524 UYD917507:UYD917524 VHZ917507:VHZ917524 VRV917507:VRV917524 WBR917507:WBR917524 WLN917507:WLN917524 WVJ917507:WVJ917524" xr:uid="{00000000-0002-0000-3800-000000000000}">
      <formula1>trung</formula1>
    </dataValidation>
  </dataValidation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375"/>
  <sheetViews>
    <sheetView topLeftCell="A19" zoomScaleNormal="100" workbookViewId="0">
      <selection activeCell="C35" sqref="C35"/>
    </sheetView>
  </sheetViews>
  <sheetFormatPr defaultColWidth="36.09765625" defaultRowHeight="15" customHeight="1" zeroHeight="1"/>
  <cols>
    <col min="1" max="1" width="3.59765625" style="16" customWidth="1"/>
    <col min="2" max="2" width="23.8984375" style="16" customWidth="1"/>
    <col min="3" max="3" width="6.59765625" style="87" customWidth="1"/>
    <col min="4" max="4" width="7.59765625" style="88" customWidth="1"/>
    <col min="5" max="5" width="9.5" style="89" customWidth="1"/>
    <col min="6" max="6" width="6.5" style="87" customWidth="1"/>
    <col min="7" max="7" width="10.59765625" style="89" customWidth="1"/>
    <col min="8" max="8" width="7.59765625" style="16" customWidth="1"/>
    <col min="9" max="248" width="0" style="16" hidden="1" customWidth="1"/>
    <col min="249" max="249" width="8.09765625" style="16" customWidth="1"/>
    <col min="250" max="250" width="3" style="16" customWidth="1"/>
    <col min="251" max="251" width="5.5" style="16" customWidth="1"/>
    <col min="252" max="252" width="3.5" style="16" customWidth="1"/>
    <col min="253" max="253" width="7.5" style="16" customWidth="1"/>
    <col min="254" max="254" width="9.765625E-2" style="16" customWidth="1"/>
    <col min="255" max="255" width="0.5" style="16" customWidth="1"/>
    <col min="256" max="256" width="36.09765625" style="16"/>
    <col min="257" max="257" width="3.59765625" style="16" customWidth="1"/>
    <col min="258" max="258" width="22.8984375" style="16" customWidth="1"/>
    <col min="259" max="259" width="4.5" style="16" customWidth="1"/>
    <col min="260" max="260" width="5.5" style="16" customWidth="1"/>
    <col min="261" max="261" width="9.5" style="16" customWidth="1"/>
    <col min="262" max="262" width="5.19921875" style="16" customWidth="1"/>
    <col min="263" max="263" width="10.59765625" style="16" customWidth="1"/>
    <col min="264" max="264" width="7.59765625" style="16" customWidth="1"/>
    <col min="265" max="504" width="0" style="16" hidden="1" customWidth="1"/>
    <col min="505" max="505" width="8.09765625" style="16" customWidth="1"/>
    <col min="506" max="506" width="3" style="16" customWidth="1"/>
    <col min="507" max="507" width="5.5" style="16" customWidth="1"/>
    <col min="508" max="508" width="3.5" style="16" customWidth="1"/>
    <col min="509" max="509" width="7.5" style="16" customWidth="1"/>
    <col min="510" max="510" width="9.765625E-2" style="16" customWidth="1"/>
    <col min="511" max="511" width="0.5" style="16" customWidth="1"/>
    <col min="512" max="512" width="36.09765625" style="16"/>
    <col min="513" max="513" width="3.59765625" style="16" customWidth="1"/>
    <col min="514" max="514" width="22.8984375" style="16" customWidth="1"/>
    <col min="515" max="515" width="4.5" style="16" customWidth="1"/>
    <col min="516" max="516" width="5.5" style="16" customWidth="1"/>
    <col min="517" max="517" width="9.5" style="16" customWidth="1"/>
    <col min="518" max="518" width="5.19921875" style="16" customWidth="1"/>
    <col min="519" max="519" width="10.59765625" style="16" customWidth="1"/>
    <col min="520" max="520" width="7.59765625" style="16" customWidth="1"/>
    <col min="521" max="760" width="0" style="16" hidden="1" customWidth="1"/>
    <col min="761" max="761" width="8.09765625" style="16" customWidth="1"/>
    <col min="762" max="762" width="3" style="16" customWidth="1"/>
    <col min="763" max="763" width="5.5" style="16" customWidth="1"/>
    <col min="764" max="764" width="3.5" style="16" customWidth="1"/>
    <col min="765" max="765" width="7.5" style="16" customWidth="1"/>
    <col min="766" max="766" width="9.765625E-2" style="16" customWidth="1"/>
    <col min="767" max="767" width="0.5" style="16" customWidth="1"/>
    <col min="768" max="768" width="36.09765625" style="16"/>
    <col min="769" max="769" width="3.59765625" style="16" customWidth="1"/>
    <col min="770" max="770" width="22.8984375" style="16" customWidth="1"/>
    <col min="771" max="771" width="4.5" style="16" customWidth="1"/>
    <col min="772" max="772" width="5.5" style="16" customWidth="1"/>
    <col min="773" max="773" width="9.5" style="16" customWidth="1"/>
    <col min="774" max="774" width="5.19921875" style="16" customWidth="1"/>
    <col min="775" max="775" width="10.59765625" style="16" customWidth="1"/>
    <col min="776" max="776" width="7.59765625" style="16" customWidth="1"/>
    <col min="777" max="1016" width="0" style="16" hidden="1" customWidth="1"/>
    <col min="1017" max="1017" width="8.09765625" style="16" customWidth="1"/>
    <col min="1018" max="1018" width="3" style="16" customWidth="1"/>
    <col min="1019" max="1019" width="5.5" style="16" customWidth="1"/>
    <col min="1020" max="1020" width="3.5" style="16" customWidth="1"/>
    <col min="1021" max="1021" width="7.5" style="16" customWidth="1"/>
    <col min="1022" max="1022" width="9.765625E-2" style="16" customWidth="1"/>
    <col min="1023" max="1023" width="0.5" style="16" customWidth="1"/>
    <col min="1024" max="1024" width="36.09765625" style="16"/>
    <col min="1025" max="1025" width="3.59765625" style="16" customWidth="1"/>
    <col min="1026" max="1026" width="22.8984375" style="16" customWidth="1"/>
    <col min="1027" max="1027" width="4.5" style="16" customWidth="1"/>
    <col min="1028" max="1028" width="5.5" style="16" customWidth="1"/>
    <col min="1029" max="1029" width="9.5" style="16" customWidth="1"/>
    <col min="1030" max="1030" width="5.19921875" style="16" customWidth="1"/>
    <col min="1031" max="1031" width="10.59765625" style="16" customWidth="1"/>
    <col min="1032" max="1032" width="7.59765625" style="16" customWidth="1"/>
    <col min="1033" max="1272" width="0" style="16" hidden="1" customWidth="1"/>
    <col min="1273" max="1273" width="8.09765625" style="16" customWidth="1"/>
    <col min="1274" max="1274" width="3" style="16" customWidth="1"/>
    <col min="1275" max="1275" width="5.5" style="16" customWidth="1"/>
    <col min="1276" max="1276" width="3.5" style="16" customWidth="1"/>
    <col min="1277" max="1277" width="7.5" style="16" customWidth="1"/>
    <col min="1278" max="1278" width="9.765625E-2" style="16" customWidth="1"/>
    <col min="1279" max="1279" width="0.5" style="16" customWidth="1"/>
    <col min="1280" max="1280" width="36.09765625" style="16"/>
    <col min="1281" max="1281" width="3.59765625" style="16" customWidth="1"/>
    <col min="1282" max="1282" width="22.8984375" style="16" customWidth="1"/>
    <col min="1283" max="1283" width="4.5" style="16" customWidth="1"/>
    <col min="1284" max="1284" width="5.5" style="16" customWidth="1"/>
    <col min="1285" max="1285" width="9.5" style="16" customWidth="1"/>
    <col min="1286" max="1286" width="5.19921875" style="16" customWidth="1"/>
    <col min="1287" max="1287" width="10.59765625" style="16" customWidth="1"/>
    <col min="1288" max="1288" width="7.59765625" style="16" customWidth="1"/>
    <col min="1289" max="1528" width="0" style="16" hidden="1" customWidth="1"/>
    <col min="1529" max="1529" width="8.09765625" style="16" customWidth="1"/>
    <col min="1530" max="1530" width="3" style="16" customWidth="1"/>
    <col min="1531" max="1531" width="5.5" style="16" customWidth="1"/>
    <col min="1532" max="1532" width="3.5" style="16" customWidth="1"/>
    <col min="1533" max="1533" width="7.5" style="16" customWidth="1"/>
    <col min="1534" max="1534" width="9.765625E-2" style="16" customWidth="1"/>
    <col min="1535" max="1535" width="0.5" style="16" customWidth="1"/>
    <col min="1536" max="1536" width="36.09765625" style="16"/>
    <col min="1537" max="1537" width="3.59765625" style="16" customWidth="1"/>
    <col min="1538" max="1538" width="22.8984375" style="16" customWidth="1"/>
    <col min="1539" max="1539" width="4.5" style="16" customWidth="1"/>
    <col min="1540" max="1540" width="5.5" style="16" customWidth="1"/>
    <col min="1541" max="1541" width="9.5" style="16" customWidth="1"/>
    <col min="1542" max="1542" width="5.19921875" style="16" customWidth="1"/>
    <col min="1543" max="1543" width="10.59765625" style="16" customWidth="1"/>
    <col min="1544" max="1544" width="7.59765625" style="16" customWidth="1"/>
    <col min="1545" max="1784" width="0" style="16" hidden="1" customWidth="1"/>
    <col min="1785" max="1785" width="8.09765625" style="16" customWidth="1"/>
    <col min="1786" max="1786" width="3" style="16" customWidth="1"/>
    <col min="1787" max="1787" width="5.5" style="16" customWidth="1"/>
    <col min="1788" max="1788" width="3.5" style="16" customWidth="1"/>
    <col min="1789" max="1789" width="7.5" style="16" customWidth="1"/>
    <col min="1790" max="1790" width="9.765625E-2" style="16" customWidth="1"/>
    <col min="1791" max="1791" width="0.5" style="16" customWidth="1"/>
    <col min="1792" max="1792" width="36.09765625" style="16"/>
    <col min="1793" max="1793" width="3.59765625" style="16" customWidth="1"/>
    <col min="1794" max="1794" width="22.8984375" style="16" customWidth="1"/>
    <col min="1795" max="1795" width="4.5" style="16" customWidth="1"/>
    <col min="1796" max="1796" width="5.5" style="16" customWidth="1"/>
    <col min="1797" max="1797" width="9.5" style="16" customWidth="1"/>
    <col min="1798" max="1798" width="5.19921875" style="16" customWidth="1"/>
    <col min="1799" max="1799" width="10.59765625" style="16" customWidth="1"/>
    <col min="1800" max="1800" width="7.59765625" style="16" customWidth="1"/>
    <col min="1801" max="2040" width="0" style="16" hidden="1" customWidth="1"/>
    <col min="2041" max="2041" width="8.09765625" style="16" customWidth="1"/>
    <col min="2042" max="2042" width="3" style="16" customWidth="1"/>
    <col min="2043" max="2043" width="5.5" style="16" customWidth="1"/>
    <col min="2044" max="2044" width="3.5" style="16" customWidth="1"/>
    <col min="2045" max="2045" width="7.5" style="16" customWidth="1"/>
    <col min="2046" max="2046" width="9.765625E-2" style="16" customWidth="1"/>
    <col min="2047" max="2047" width="0.5" style="16" customWidth="1"/>
    <col min="2048" max="2048" width="36.09765625" style="16"/>
    <col min="2049" max="2049" width="3.59765625" style="16" customWidth="1"/>
    <col min="2050" max="2050" width="22.8984375" style="16" customWidth="1"/>
    <col min="2051" max="2051" width="4.5" style="16" customWidth="1"/>
    <col min="2052" max="2052" width="5.5" style="16" customWidth="1"/>
    <col min="2053" max="2053" width="9.5" style="16" customWidth="1"/>
    <col min="2054" max="2054" width="5.19921875" style="16" customWidth="1"/>
    <col min="2055" max="2055" width="10.59765625" style="16" customWidth="1"/>
    <col min="2056" max="2056" width="7.59765625" style="16" customWidth="1"/>
    <col min="2057" max="2296" width="0" style="16" hidden="1" customWidth="1"/>
    <col min="2297" max="2297" width="8.09765625" style="16" customWidth="1"/>
    <col min="2298" max="2298" width="3" style="16" customWidth="1"/>
    <col min="2299" max="2299" width="5.5" style="16" customWidth="1"/>
    <col min="2300" max="2300" width="3.5" style="16" customWidth="1"/>
    <col min="2301" max="2301" width="7.5" style="16" customWidth="1"/>
    <col min="2302" max="2302" width="9.765625E-2" style="16" customWidth="1"/>
    <col min="2303" max="2303" width="0.5" style="16" customWidth="1"/>
    <col min="2304" max="2304" width="36.09765625" style="16"/>
    <col min="2305" max="2305" width="3.59765625" style="16" customWidth="1"/>
    <col min="2306" max="2306" width="22.8984375" style="16" customWidth="1"/>
    <col min="2307" max="2307" width="4.5" style="16" customWidth="1"/>
    <col min="2308" max="2308" width="5.5" style="16" customWidth="1"/>
    <col min="2309" max="2309" width="9.5" style="16" customWidth="1"/>
    <col min="2310" max="2310" width="5.19921875" style="16" customWidth="1"/>
    <col min="2311" max="2311" width="10.59765625" style="16" customWidth="1"/>
    <col min="2312" max="2312" width="7.59765625" style="16" customWidth="1"/>
    <col min="2313" max="2552" width="0" style="16" hidden="1" customWidth="1"/>
    <col min="2553" max="2553" width="8.09765625" style="16" customWidth="1"/>
    <col min="2554" max="2554" width="3" style="16" customWidth="1"/>
    <col min="2555" max="2555" width="5.5" style="16" customWidth="1"/>
    <col min="2556" max="2556" width="3.5" style="16" customWidth="1"/>
    <col min="2557" max="2557" width="7.5" style="16" customWidth="1"/>
    <col min="2558" max="2558" width="9.765625E-2" style="16" customWidth="1"/>
    <col min="2559" max="2559" width="0.5" style="16" customWidth="1"/>
    <col min="2560" max="2560" width="36.09765625" style="16"/>
    <col min="2561" max="2561" width="3.59765625" style="16" customWidth="1"/>
    <col min="2562" max="2562" width="22.8984375" style="16" customWidth="1"/>
    <col min="2563" max="2563" width="4.5" style="16" customWidth="1"/>
    <col min="2564" max="2564" width="5.5" style="16" customWidth="1"/>
    <col min="2565" max="2565" width="9.5" style="16" customWidth="1"/>
    <col min="2566" max="2566" width="5.19921875" style="16" customWidth="1"/>
    <col min="2567" max="2567" width="10.59765625" style="16" customWidth="1"/>
    <col min="2568" max="2568" width="7.59765625" style="16" customWidth="1"/>
    <col min="2569" max="2808" width="0" style="16" hidden="1" customWidth="1"/>
    <col min="2809" max="2809" width="8.09765625" style="16" customWidth="1"/>
    <col min="2810" max="2810" width="3" style="16" customWidth="1"/>
    <col min="2811" max="2811" width="5.5" style="16" customWidth="1"/>
    <col min="2812" max="2812" width="3.5" style="16" customWidth="1"/>
    <col min="2813" max="2813" width="7.5" style="16" customWidth="1"/>
    <col min="2814" max="2814" width="9.765625E-2" style="16" customWidth="1"/>
    <col min="2815" max="2815" width="0.5" style="16" customWidth="1"/>
    <col min="2816" max="2816" width="36.09765625" style="16"/>
    <col min="2817" max="2817" width="3.59765625" style="16" customWidth="1"/>
    <col min="2818" max="2818" width="22.8984375" style="16" customWidth="1"/>
    <col min="2819" max="2819" width="4.5" style="16" customWidth="1"/>
    <col min="2820" max="2820" width="5.5" style="16" customWidth="1"/>
    <col min="2821" max="2821" width="9.5" style="16" customWidth="1"/>
    <col min="2822" max="2822" width="5.19921875" style="16" customWidth="1"/>
    <col min="2823" max="2823" width="10.59765625" style="16" customWidth="1"/>
    <col min="2824" max="2824" width="7.59765625" style="16" customWidth="1"/>
    <col min="2825" max="3064" width="0" style="16" hidden="1" customWidth="1"/>
    <col min="3065" max="3065" width="8.09765625" style="16" customWidth="1"/>
    <col min="3066" max="3066" width="3" style="16" customWidth="1"/>
    <col min="3067" max="3067" width="5.5" style="16" customWidth="1"/>
    <col min="3068" max="3068" width="3.5" style="16" customWidth="1"/>
    <col min="3069" max="3069" width="7.5" style="16" customWidth="1"/>
    <col min="3070" max="3070" width="9.765625E-2" style="16" customWidth="1"/>
    <col min="3071" max="3071" width="0.5" style="16" customWidth="1"/>
    <col min="3072" max="3072" width="36.09765625" style="16"/>
    <col min="3073" max="3073" width="3.59765625" style="16" customWidth="1"/>
    <col min="3074" max="3074" width="22.8984375" style="16" customWidth="1"/>
    <col min="3075" max="3075" width="4.5" style="16" customWidth="1"/>
    <col min="3076" max="3076" width="5.5" style="16" customWidth="1"/>
    <col min="3077" max="3077" width="9.5" style="16" customWidth="1"/>
    <col min="3078" max="3078" width="5.19921875" style="16" customWidth="1"/>
    <col min="3079" max="3079" width="10.59765625" style="16" customWidth="1"/>
    <col min="3080" max="3080" width="7.59765625" style="16" customWidth="1"/>
    <col min="3081" max="3320" width="0" style="16" hidden="1" customWidth="1"/>
    <col min="3321" max="3321" width="8.09765625" style="16" customWidth="1"/>
    <col min="3322" max="3322" width="3" style="16" customWidth="1"/>
    <col min="3323" max="3323" width="5.5" style="16" customWidth="1"/>
    <col min="3324" max="3324" width="3.5" style="16" customWidth="1"/>
    <col min="3325" max="3325" width="7.5" style="16" customWidth="1"/>
    <col min="3326" max="3326" width="9.765625E-2" style="16" customWidth="1"/>
    <col min="3327" max="3327" width="0.5" style="16" customWidth="1"/>
    <col min="3328" max="3328" width="36.09765625" style="16"/>
    <col min="3329" max="3329" width="3.59765625" style="16" customWidth="1"/>
    <col min="3330" max="3330" width="22.8984375" style="16" customWidth="1"/>
    <col min="3331" max="3331" width="4.5" style="16" customWidth="1"/>
    <col min="3332" max="3332" width="5.5" style="16" customWidth="1"/>
    <col min="3333" max="3333" width="9.5" style="16" customWidth="1"/>
    <col min="3334" max="3334" width="5.19921875" style="16" customWidth="1"/>
    <col min="3335" max="3335" width="10.59765625" style="16" customWidth="1"/>
    <col min="3336" max="3336" width="7.59765625" style="16" customWidth="1"/>
    <col min="3337" max="3576" width="0" style="16" hidden="1" customWidth="1"/>
    <col min="3577" max="3577" width="8.09765625" style="16" customWidth="1"/>
    <col min="3578" max="3578" width="3" style="16" customWidth="1"/>
    <col min="3579" max="3579" width="5.5" style="16" customWidth="1"/>
    <col min="3580" max="3580" width="3.5" style="16" customWidth="1"/>
    <col min="3581" max="3581" width="7.5" style="16" customWidth="1"/>
    <col min="3582" max="3582" width="9.765625E-2" style="16" customWidth="1"/>
    <col min="3583" max="3583" width="0.5" style="16" customWidth="1"/>
    <col min="3584" max="3584" width="36.09765625" style="16"/>
    <col min="3585" max="3585" width="3.59765625" style="16" customWidth="1"/>
    <col min="3586" max="3586" width="22.8984375" style="16" customWidth="1"/>
    <col min="3587" max="3587" width="4.5" style="16" customWidth="1"/>
    <col min="3588" max="3588" width="5.5" style="16" customWidth="1"/>
    <col min="3589" max="3589" width="9.5" style="16" customWidth="1"/>
    <col min="3590" max="3590" width="5.19921875" style="16" customWidth="1"/>
    <col min="3591" max="3591" width="10.59765625" style="16" customWidth="1"/>
    <col min="3592" max="3592" width="7.59765625" style="16" customWidth="1"/>
    <col min="3593" max="3832" width="0" style="16" hidden="1" customWidth="1"/>
    <col min="3833" max="3833" width="8.09765625" style="16" customWidth="1"/>
    <col min="3834" max="3834" width="3" style="16" customWidth="1"/>
    <col min="3835" max="3835" width="5.5" style="16" customWidth="1"/>
    <col min="3836" max="3836" width="3.5" style="16" customWidth="1"/>
    <col min="3837" max="3837" width="7.5" style="16" customWidth="1"/>
    <col min="3838" max="3838" width="9.765625E-2" style="16" customWidth="1"/>
    <col min="3839" max="3839" width="0.5" style="16" customWidth="1"/>
    <col min="3840" max="3840" width="36.09765625" style="16"/>
    <col min="3841" max="3841" width="3.59765625" style="16" customWidth="1"/>
    <col min="3842" max="3842" width="22.8984375" style="16" customWidth="1"/>
    <col min="3843" max="3843" width="4.5" style="16" customWidth="1"/>
    <col min="3844" max="3844" width="5.5" style="16" customWidth="1"/>
    <col min="3845" max="3845" width="9.5" style="16" customWidth="1"/>
    <col min="3846" max="3846" width="5.19921875" style="16" customWidth="1"/>
    <col min="3847" max="3847" width="10.59765625" style="16" customWidth="1"/>
    <col min="3848" max="3848" width="7.59765625" style="16" customWidth="1"/>
    <col min="3849" max="4088" width="0" style="16" hidden="1" customWidth="1"/>
    <col min="4089" max="4089" width="8.09765625" style="16" customWidth="1"/>
    <col min="4090" max="4090" width="3" style="16" customWidth="1"/>
    <col min="4091" max="4091" width="5.5" style="16" customWidth="1"/>
    <col min="4092" max="4092" width="3.5" style="16" customWidth="1"/>
    <col min="4093" max="4093" width="7.5" style="16" customWidth="1"/>
    <col min="4094" max="4094" width="9.765625E-2" style="16" customWidth="1"/>
    <col min="4095" max="4095" width="0.5" style="16" customWidth="1"/>
    <col min="4096" max="4096" width="36.09765625" style="16"/>
    <col min="4097" max="4097" width="3.59765625" style="16" customWidth="1"/>
    <col min="4098" max="4098" width="22.8984375" style="16" customWidth="1"/>
    <col min="4099" max="4099" width="4.5" style="16" customWidth="1"/>
    <col min="4100" max="4100" width="5.5" style="16" customWidth="1"/>
    <col min="4101" max="4101" width="9.5" style="16" customWidth="1"/>
    <col min="4102" max="4102" width="5.19921875" style="16" customWidth="1"/>
    <col min="4103" max="4103" width="10.59765625" style="16" customWidth="1"/>
    <col min="4104" max="4104" width="7.59765625" style="16" customWidth="1"/>
    <col min="4105" max="4344" width="0" style="16" hidden="1" customWidth="1"/>
    <col min="4345" max="4345" width="8.09765625" style="16" customWidth="1"/>
    <col min="4346" max="4346" width="3" style="16" customWidth="1"/>
    <col min="4347" max="4347" width="5.5" style="16" customWidth="1"/>
    <col min="4348" max="4348" width="3.5" style="16" customWidth="1"/>
    <col min="4349" max="4349" width="7.5" style="16" customWidth="1"/>
    <col min="4350" max="4350" width="9.765625E-2" style="16" customWidth="1"/>
    <col min="4351" max="4351" width="0.5" style="16" customWidth="1"/>
    <col min="4352" max="4352" width="36.09765625" style="16"/>
    <col min="4353" max="4353" width="3.59765625" style="16" customWidth="1"/>
    <col min="4354" max="4354" width="22.8984375" style="16" customWidth="1"/>
    <col min="4355" max="4355" width="4.5" style="16" customWidth="1"/>
    <col min="4356" max="4356" width="5.5" style="16" customWidth="1"/>
    <col min="4357" max="4357" width="9.5" style="16" customWidth="1"/>
    <col min="4358" max="4358" width="5.19921875" style="16" customWidth="1"/>
    <col min="4359" max="4359" width="10.59765625" style="16" customWidth="1"/>
    <col min="4360" max="4360" width="7.59765625" style="16" customWidth="1"/>
    <col min="4361" max="4600" width="0" style="16" hidden="1" customWidth="1"/>
    <col min="4601" max="4601" width="8.09765625" style="16" customWidth="1"/>
    <col min="4602" max="4602" width="3" style="16" customWidth="1"/>
    <col min="4603" max="4603" width="5.5" style="16" customWidth="1"/>
    <col min="4604" max="4604" width="3.5" style="16" customWidth="1"/>
    <col min="4605" max="4605" width="7.5" style="16" customWidth="1"/>
    <col min="4606" max="4606" width="9.765625E-2" style="16" customWidth="1"/>
    <col min="4607" max="4607" width="0.5" style="16" customWidth="1"/>
    <col min="4608" max="4608" width="36.09765625" style="16"/>
    <col min="4609" max="4609" width="3.59765625" style="16" customWidth="1"/>
    <col min="4610" max="4610" width="22.8984375" style="16" customWidth="1"/>
    <col min="4611" max="4611" width="4.5" style="16" customWidth="1"/>
    <col min="4612" max="4612" width="5.5" style="16" customWidth="1"/>
    <col min="4613" max="4613" width="9.5" style="16" customWidth="1"/>
    <col min="4614" max="4614" width="5.19921875" style="16" customWidth="1"/>
    <col min="4615" max="4615" width="10.59765625" style="16" customWidth="1"/>
    <col min="4616" max="4616" width="7.59765625" style="16" customWidth="1"/>
    <col min="4617" max="4856" width="0" style="16" hidden="1" customWidth="1"/>
    <col min="4857" max="4857" width="8.09765625" style="16" customWidth="1"/>
    <col min="4858" max="4858" width="3" style="16" customWidth="1"/>
    <col min="4859" max="4859" width="5.5" style="16" customWidth="1"/>
    <col min="4860" max="4860" width="3.5" style="16" customWidth="1"/>
    <col min="4861" max="4861" width="7.5" style="16" customWidth="1"/>
    <col min="4862" max="4862" width="9.765625E-2" style="16" customWidth="1"/>
    <col min="4863" max="4863" width="0.5" style="16" customWidth="1"/>
    <col min="4864" max="4864" width="36.09765625" style="16"/>
    <col min="4865" max="4865" width="3.59765625" style="16" customWidth="1"/>
    <col min="4866" max="4866" width="22.8984375" style="16" customWidth="1"/>
    <col min="4867" max="4867" width="4.5" style="16" customWidth="1"/>
    <col min="4868" max="4868" width="5.5" style="16" customWidth="1"/>
    <col min="4869" max="4869" width="9.5" style="16" customWidth="1"/>
    <col min="4870" max="4870" width="5.19921875" style="16" customWidth="1"/>
    <col min="4871" max="4871" width="10.59765625" style="16" customWidth="1"/>
    <col min="4872" max="4872" width="7.59765625" style="16" customWidth="1"/>
    <col min="4873" max="5112" width="0" style="16" hidden="1" customWidth="1"/>
    <col min="5113" max="5113" width="8.09765625" style="16" customWidth="1"/>
    <col min="5114" max="5114" width="3" style="16" customWidth="1"/>
    <col min="5115" max="5115" width="5.5" style="16" customWidth="1"/>
    <col min="5116" max="5116" width="3.5" style="16" customWidth="1"/>
    <col min="5117" max="5117" width="7.5" style="16" customWidth="1"/>
    <col min="5118" max="5118" width="9.765625E-2" style="16" customWidth="1"/>
    <col min="5119" max="5119" width="0.5" style="16" customWidth="1"/>
    <col min="5120" max="5120" width="36.09765625" style="16"/>
    <col min="5121" max="5121" width="3.59765625" style="16" customWidth="1"/>
    <col min="5122" max="5122" width="22.8984375" style="16" customWidth="1"/>
    <col min="5123" max="5123" width="4.5" style="16" customWidth="1"/>
    <col min="5124" max="5124" width="5.5" style="16" customWidth="1"/>
    <col min="5125" max="5125" width="9.5" style="16" customWidth="1"/>
    <col min="5126" max="5126" width="5.19921875" style="16" customWidth="1"/>
    <col min="5127" max="5127" width="10.59765625" style="16" customWidth="1"/>
    <col min="5128" max="5128" width="7.59765625" style="16" customWidth="1"/>
    <col min="5129" max="5368" width="0" style="16" hidden="1" customWidth="1"/>
    <col min="5369" max="5369" width="8.09765625" style="16" customWidth="1"/>
    <col min="5370" max="5370" width="3" style="16" customWidth="1"/>
    <col min="5371" max="5371" width="5.5" style="16" customWidth="1"/>
    <col min="5372" max="5372" width="3.5" style="16" customWidth="1"/>
    <col min="5373" max="5373" width="7.5" style="16" customWidth="1"/>
    <col min="5374" max="5374" width="9.765625E-2" style="16" customWidth="1"/>
    <col min="5375" max="5375" width="0.5" style="16" customWidth="1"/>
    <col min="5376" max="5376" width="36.09765625" style="16"/>
    <col min="5377" max="5377" width="3.59765625" style="16" customWidth="1"/>
    <col min="5378" max="5378" width="22.8984375" style="16" customWidth="1"/>
    <col min="5379" max="5379" width="4.5" style="16" customWidth="1"/>
    <col min="5380" max="5380" width="5.5" style="16" customWidth="1"/>
    <col min="5381" max="5381" width="9.5" style="16" customWidth="1"/>
    <col min="5382" max="5382" width="5.19921875" style="16" customWidth="1"/>
    <col min="5383" max="5383" width="10.59765625" style="16" customWidth="1"/>
    <col min="5384" max="5384" width="7.59765625" style="16" customWidth="1"/>
    <col min="5385" max="5624" width="0" style="16" hidden="1" customWidth="1"/>
    <col min="5625" max="5625" width="8.09765625" style="16" customWidth="1"/>
    <col min="5626" max="5626" width="3" style="16" customWidth="1"/>
    <col min="5627" max="5627" width="5.5" style="16" customWidth="1"/>
    <col min="5628" max="5628" width="3.5" style="16" customWidth="1"/>
    <col min="5629" max="5629" width="7.5" style="16" customWidth="1"/>
    <col min="5630" max="5630" width="9.765625E-2" style="16" customWidth="1"/>
    <col min="5631" max="5631" width="0.5" style="16" customWidth="1"/>
    <col min="5632" max="5632" width="36.09765625" style="16"/>
    <col min="5633" max="5633" width="3.59765625" style="16" customWidth="1"/>
    <col min="5634" max="5634" width="22.8984375" style="16" customWidth="1"/>
    <col min="5635" max="5635" width="4.5" style="16" customWidth="1"/>
    <col min="5636" max="5636" width="5.5" style="16" customWidth="1"/>
    <col min="5637" max="5637" width="9.5" style="16" customWidth="1"/>
    <col min="5638" max="5638" width="5.19921875" style="16" customWidth="1"/>
    <col min="5639" max="5639" width="10.59765625" style="16" customWidth="1"/>
    <col min="5640" max="5640" width="7.59765625" style="16" customWidth="1"/>
    <col min="5641" max="5880" width="0" style="16" hidden="1" customWidth="1"/>
    <col min="5881" max="5881" width="8.09765625" style="16" customWidth="1"/>
    <col min="5882" max="5882" width="3" style="16" customWidth="1"/>
    <col min="5883" max="5883" width="5.5" style="16" customWidth="1"/>
    <col min="5884" max="5884" width="3.5" style="16" customWidth="1"/>
    <col min="5885" max="5885" width="7.5" style="16" customWidth="1"/>
    <col min="5886" max="5886" width="9.765625E-2" style="16" customWidth="1"/>
    <col min="5887" max="5887" width="0.5" style="16" customWidth="1"/>
    <col min="5888" max="5888" width="36.09765625" style="16"/>
    <col min="5889" max="5889" width="3.59765625" style="16" customWidth="1"/>
    <col min="5890" max="5890" width="22.8984375" style="16" customWidth="1"/>
    <col min="5891" max="5891" width="4.5" style="16" customWidth="1"/>
    <col min="5892" max="5892" width="5.5" style="16" customWidth="1"/>
    <col min="5893" max="5893" width="9.5" style="16" customWidth="1"/>
    <col min="5894" max="5894" width="5.19921875" style="16" customWidth="1"/>
    <col min="5895" max="5895" width="10.59765625" style="16" customWidth="1"/>
    <col min="5896" max="5896" width="7.59765625" style="16" customWidth="1"/>
    <col min="5897" max="6136" width="0" style="16" hidden="1" customWidth="1"/>
    <col min="6137" max="6137" width="8.09765625" style="16" customWidth="1"/>
    <col min="6138" max="6138" width="3" style="16" customWidth="1"/>
    <col min="6139" max="6139" width="5.5" style="16" customWidth="1"/>
    <col min="6140" max="6140" width="3.5" style="16" customWidth="1"/>
    <col min="6141" max="6141" width="7.5" style="16" customWidth="1"/>
    <col min="6142" max="6142" width="9.765625E-2" style="16" customWidth="1"/>
    <col min="6143" max="6143" width="0.5" style="16" customWidth="1"/>
    <col min="6144" max="6144" width="36.09765625" style="16"/>
    <col min="6145" max="6145" width="3.59765625" style="16" customWidth="1"/>
    <col min="6146" max="6146" width="22.8984375" style="16" customWidth="1"/>
    <col min="6147" max="6147" width="4.5" style="16" customWidth="1"/>
    <col min="6148" max="6148" width="5.5" style="16" customWidth="1"/>
    <col min="6149" max="6149" width="9.5" style="16" customWidth="1"/>
    <col min="6150" max="6150" width="5.19921875" style="16" customWidth="1"/>
    <col min="6151" max="6151" width="10.59765625" style="16" customWidth="1"/>
    <col min="6152" max="6152" width="7.59765625" style="16" customWidth="1"/>
    <col min="6153" max="6392" width="0" style="16" hidden="1" customWidth="1"/>
    <col min="6393" max="6393" width="8.09765625" style="16" customWidth="1"/>
    <col min="6394" max="6394" width="3" style="16" customWidth="1"/>
    <col min="6395" max="6395" width="5.5" style="16" customWidth="1"/>
    <col min="6396" max="6396" width="3.5" style="16" customWidth="1"/>
    <col min="6397" max="6397" width="7.5" style="16" customWidth="1"/>
    <col min="6398" max="6398" width="9.765625E-2" style="16" customWidth="1"/>
    <col min="6399" max="6399" width="0.5" style="16" customWidth="1"/>
    <col min="6400" max="6400" width="36.09765625" style="16"/>
    <col min="6401" max="6401" width="3.59765625" style="16" customWidth="1"/>
    <col min="6402" max="6402" width="22.8984375" style="16" customWidth="1"/>
    <col min="6403" max="6403" width="4.5" style="16" customWidth="1"/>
    <col min="6404" max="6404" width="5.5" style="16" customWidth="1"/>
    <col min="6405" max="6405" width="9.5" style="16" customWidth="1"/>
    <col min="6406" max="6406" width="5.19921875" style="16" customWidth="1"/>
    <col min="6407" max="6407" width="10.59765625" style="16" customWidth="1"/>
    <col min="6408" max="6408" width="7.59765625" style="16" customWidth="1"/>
    <col min="6409" max="6648" width="0" style="16" hidden="1" customWidth="1"/>
    <col min="6649" max="6649" width="8.09765625" style="16" customWidth="1"/>
    <col min="6650" max="6650" width="3" style="16" customWidth="1"/>
    <col min="6651" max="6651" width="5.5" style="16" customWidth="1"/>
    <col min="6652" max="6652" width="3.5" style="16" customWidth="1"/>
    <col min="6653" max="6653" width="7.5" style="16" customWidth="1"/>
    <col min="6654" max="6654" width="9.765625E-2" style="16" customWidth="1"/>
    <col min="6655" max="6655" width="0.5" style="16" customWidth="1"/>
    <col min="6656" max="6656" width="36.09765625" style="16"/>
    <col min="6657" max="6657" width="3.59765625" style="16" customWidth="1"/>
    <col min="6658" max="6658" width="22.8984375" style="16" customWidth="1"/>
    <col min="6659" max="6659" width="4.5" style="16" customWidth="1"/>
    <col min="6660" max="6660" width="5.5" style="16" customWidth="1"/>
    <col min="6661" max="6661" width="9.5" style="16" customWidth="1"/>
    <col min="6662" max="6662" width="5.19921875" style="16" customWidth="1"/>
    <col min="6663" max="6663" width="10.59765625" style="16" customWidth="1"/>
    <col min="6664" max="6664" width="7.59765625" style="16" customWidth="1"/>
    <col min="6665" max="6904" width="0" style="16" hidden="1" customWidth="1"/>
    <col min="6905" max="6905" width="8.09765625" style="16" customWidth="1"/>
    <col min="6906" max="6906" width="3" style="16" customWidth="1"/>
    <col min="6907" max="6907" width="5.5" style="16" customWidth="1"/>
    <col min="6908" max="6908" width="3.5" style="16" customWidth="1"/>
    <col min="6909" max="6909" width="7.5" style="16" customWidth="1"/>
    <col min="6910" max="6910" width="9.765625E-2" style="16" customWidth="1"/>
    <col min="6911" max="6911" width="0.5" style="16" customWidth="1"/>
    <col min="6912" max="6912" width="36.09765625" style="16"/>
    <col min="6913" max="6913" width="3.59765625" style="16" customWidth="1"/>
    <col min="6914" max="6914" width="22.8984375" style="16" customWidth="1"/>
    <col min="6915" max="6915" width="4.5" style="16" customWidth="1"/>
    <col min="6916" max="6916" width="5.5" style="16" customWidth="1"/>
    <col min="6917" max="6917" width="9.5" style="16" customWidth="1"/>
    <col min="6918" max="6918" width="5.19921875" style="16" customWidth="1"/>
    <col min="6919" max="6919" width="10.59765625" style="16" customWidth="1"/>
    <col min="6920" max="6920" width="7.59765625" style="16" customWidth="1"/>
    <col min="6921" max="7160" width="0" style="16" hidden="1" customWidth="1"/>
    <col min="7161" max="7161" width="8.09765625" style="16" customWidth="1"/>
    <col min="7162" max="7162" width="3" style="16" customWidth="1"/>
    <col min="7163" max="7163" width="5.5" style="16" customWidth="1"/>
    <col min="7164" max="7164" width="3.5" style="16" customWidth="1"/>
    <col min="7165" max="7165" width="7.5" style="16" customWidth="1"/>
    <col min="7166" max="7166" width="9.765625E-2" style="16" customWidth="1"/>
    <col min="7167" max="7167" width="0.5" style="16" customWidth="1"/>
    <col min="7168" max="7168" width="36.09765625" style="16"/>
    <col min="7169" max="7169" width="3.59765625" style="16" customWidth="1"/>
    <col min="7170" max="7170" width="22.8984375" style="16" customWidth="1"/>
    <col min="7171" max="7171" width="4.5" style="16" customWidth="1"/>
    <col min="7172" max="7172" width="5.5" style="16" customWidth="1"/>
    <col min="7173" max="7173" width="9.5" style="16" customWidth="1"/>
    <col min="7174" max="7174" width="5.19921875" style="16" customWidth="1"/>
    <col min="7175" max="7175" width="10.59765625" style="16" customWidth="1"/>
    <col min="7176" max="7176" width="7.59765625" style="16" customWidth="1"/>
    <col min="7177" max="7416" width="0" style="16" hidden="1" customWidth="1"/>
    <col min="7417" max="7417" width="8.09765625" style="16" customWidth="1"/>
    <col min="7418" max="7418" width="3" style="16" customWidth="1"/>
    <col min="7419" max="7419" width="5.5" style="16" customWidth="1"/>
    <col min="7420" max="7420" width="3.5" style="16" customWidth="1"/>
    <col min="7421" max="7421" width="7.5" style="16" customWidth="1"/>
    <col min="7422" max="7422" width="9.765625E-2" style="16" customWidth="1"/>
    <col min="7423" max="7423" width="0.5" style="16" customWidth="1"/>
    <col min="7424" max="7424" width="36.09765625" style="16"/>
    <col min="7425" max="7425" width="3.59765625" style="16" customWidth="1"/>
    <col min="7426" max="7426" width="22.8984375" style="16" customWidth="1"/>
    <col min="7427" max="7427" width="4.5" style="16" customWidth="1"/>
    <col min="7428" max="7428" width="5.5" style="16" customWidth="1"/>
    <col min="7429" max="7429" width="9.5" style="16" customWidth="1"/>
    <col min="7430" max="7430" width="5.19921875" style="16" customWidth="1"/>
    <col min="7431" max="7431" width="10.59765625" style="16" customWidth="1"/>
    <col min="7432" max="7432" width="7.59765625" style="16" customWidth="1"/>
    <col min="7433" max="7672" width="0" style="16" hidden="1" customWidth="1"/>
    <col min="7673" max="7673" width="8.09765625" style="16" customWidth="1"/>
    <col min="7674" max="7674" width="3" style="16" customWidth="1"/>
    <col min="7675" max="7675" width="5.5" style="16" customWidth="1"/>
    <col min="7676" max="7676" width="3.5" style="16" customWidth="1"/>
    <col min="7677" max="7677" width="7.5" style="16" customWidth="1"/>
    <col min="7678" max="7678" width="9.765625E-2" style="16" customWidth="1"/>
    <col min="7679" max="7679" width="0.5" style="16" customWidth="1"/>
    <col min="7680" max="7680" width="36.09765625" style="16"/>
    <col min="7681" max="7681" width="3.59765625" style="16" customWidth="1"/>
    <col min="7682" max="7682" width="22.8984375" style="16" customWidth="1"/>
    <col min="7683" max="7683" width="4.5" style="16" customWidth="1"/>
    <col min="7684" max="7684" width="5.5" style="16" customWidth="1"/>
    <col min="7685" max="7685" width="9.5" style="16" customWidth="1"/>
    <col min="7686" max="7686" width="5.19921875" style="16" customWidth="1"/>
    <col min="7687" max="7687" width="10.59765625" style="16" customWidth="1"/>
    <col min="7688" max="7688" width="7.59765625" style="16" customWidth="1"/>
    <col min="7689" max="7928" width="0" style="16" hidden="1" customWidth="1"/>
    <col min="7929" max="7929" width="8.09765625" style="16" customWidth="1"/>
    <col min="7930" max="7930" width="3" style="16" customWidth="1"/>
    <col min="7931" max="7931" width="5.5" style="16" customWidth="1"/>
    <col min="7932" max="7932" width="3.5" style="16" customWidth="1"/>
    <col min="7933" max="7933" width="7.5" style="16" customWidth="1"/>
    <col min="7934" max="7934" width="9.765625E-2" style="16" customWidth="1"/>
    <col min="7935" max="7935" width="0.5" style="16" customWidth="1"/>
    <col min="7936" max="7936" width="36.09765625" style="16"/>
    <col min="7937" max="7937" width="3.59765625" style="16" customWidth="1"/>
    <col min="7938" max="7938" width="22.8984375" style="16" customWidth="1"/>
    <col min="7939" max="7939" width="4.5" style="16" customWidth="1"/>
    <col min="7940" max="7940" width="5.5" style="16" customWidth="1"/>
    <col min="7941" max="7941" width="9.5" style="16" customWidth="1"/>
    <col min="7942" max="7942" width="5.19921875" style="16" customWidth="1"/>
    <col min="7943" max="7943" width="10.59765625" style="16" customWidth="1"/>
    <col min="7944" max="7944" width="7.59765625" style="16" customWidth="1"/>
    <col min="7945" max="8184" width="0" style="16" hidden="1" customWidth="1"/>
    <col min="8185" max="8185" width="8.09765625" style="16" customWidth="1"/>
    <col min="8186" max="8186" width="3" style="16" customWidth="1"/>
    <col min="8187" max="8187" width="5.5" style="16" customWidth="1"/>
    <col min="8188" max="8188" width="3.5" style="16" customWidth="1"/>
    <col min="8189" max="8189" width="7.5" style="16" customWidth="1"/>
    <col min="8190" max="8190" width="9.765625E-2" style="16" customWidth="1"/>
    <col min="8191" max="8191" width="0.5" style="16" customWidth="1"/>
    <col min="8192" max="8192" width="36.09765625" style="16"/>
    <col min="8193" max="8193" width="3.59765625" style="16" customWidth="1"/>
    <col min="8194" max="8194" width="22.8984375" style="16" customWidth="1"/>
    <col min="8195" max="8195" width="4.5" style="16" customWidth="1"/>
    <col min="8196" max="8196" width="5.5" style="16" customWidth="1"/>
    <col min="8197" max="8197" width="9.5" style="16" customWidth="1"/>
    <col min="8198" max="8198" width="5.19921875" style="16" customWidth="1"/>
    <col min="8199" max="8199" width="10.59765625" style="16" customWidth="1"/>
    <col min="8200" max="8200" width="7.59765625" style="16" customWidth="1"/>
    <col min="8201" max="8440" width="0" style="16" hidden="1" customWidth="1"/>
    <col min="8441" max="8441" width="8.09765625" style="16" customWidth="1"/>
    <col min="8442" max="8442" width="3" style="16" customWidth="1"/>
    <col min="8443" max="8443" width="5.5" style="16" customWidth="1"/>
    <col min="8444" max="8444" width="3.5" style="16" customWidth="1"/>
    <col min="8445" max="8445" width="7.5" style="16" customWidth="1"/>
    <col min="8446" max="8446" width="9.765625E-2" style="16" customWidth="1"/>
    <col min="8447" max="8447" width="0.5" style="16" customWidth="1"/>
    <col min="8448" max="8448" width="36.09765625" style="16"/>
    <col min="8449" max="8449" width="3.59765625" style="16" customWidth="1"/>
    <col min="8450" max="8450" width="22.8984375" style="16" customWidth="1"/>
    <col min="8451" max="8451" width="4.5" style="16" customWidth="1"/>
    <col min="8452" max="8452" width="5.5" style="16" customWidth="1"/>
    <col min="8453" max="8453" width="9.5" style="16" customWidth="1"/>
    <col min="8454" max="8454" width="5.19921875" style="16" customWidth="1"/>
    <col min="8455" max="8455" width="10.59765625" style="16" customWidth="1"/>
    <col min="8456" max="8456" width="7.59765625" style="16" customWidth="1"/>
    <col min="8457" max="8696" width="0" style="16" hidden="1" customWidth="1"/>
    <col min="8697" max="8697" width="8.09765625" style="16" customWidth="1"/>
    <col min="8698" max="8698" width="3" style="16" customWidth="1"/>
    <col min="8699" max="8699" width="5.5" style="16" customWidth="1"/>
    <col min="8700" max="8700" width="3.5" style="16" customWidth="1"/>
    <col min="8701" max="8701" width="7.5" style="16" customWidth="1"/>
    <col min="8702" max="8702" width="9.765625E-2" style="16" customWidth="1"/>
    <col min="8703" max="8703" width="0.5" style="16" customWidth="1"/>
    <col min="8704" max="8704" width="36.09765625" style="16"/>
    <col min="8705" max="8705" width="3.59765625" style="16" customWidth="1"/>
    <col min="8706" max="8706" width="22.8984375" style="16" customWidth="1"/>
    <col min="8707" max="8707" width="4.5" style="16" customWidth="1"/>
    <col min="8708" max="8708" width="5.5" style="16" customWidth="1"/>
    <col min="8709" max="8709" width="9.5" style="16" customWidth="1"/>
    <col min="8710" max="8710" width="5.19921875" style="16" customWidth="1"/>
    <col min="8711" max="8711" width="10.59765625" style="16" customWidth="1"/>
    <col min="8712" max="8712" width="7.59765625" style="16" customWidth="1"/>
    <col min="8713" max="8952" width="0" style="16" hidden="1" customWidth="1"/>
    <col min="8953" max="8953" width="8.09765625" style="16" customWidth="1"/>
    <col min="8954" max="8954" width="3" style="16" customWidth="1"/>
    <col min="8955" max="8955" width="5.5" style="16" customWidth="1"/>
    <col min="8956" max="8956" width="3.5" style="16" customWidth="1"/>
    <col min="8957" max="8957" width="7.5" style="16" customWidth="1"/>
    <col min="8958" max="8958" width="9.765625E-2" style="16" customWidth="1"/>
    <col min="8959" max="8959" width="0.5" style="16" customWidth="1"/>
    <col min="8960" max="8960" width="36.09765625" style="16"/>
    <col min="8961" max="8961" width="3.59765625" style="16" customWidth="1"/>
    <col min="8962" max="8962" width="22.8984375" style="16" customWidth="1"/>
    <col min="8963" max="8963" width="4.5" style="16" customWidth="1"/>
    <col min="8964" max="8964" width="5.5" style="16" customWidth="1"/>
    <col min="8965" max="8965" width="9.5" style="16" customWidth="1"/>
    <col min="8966" max="8966" width="5.19921875" style="16" customWidth="1"/>
    <col min="8967" max="8967" width="10.59765625" style="16" customWidth="1"/>
    <col min="8968" max="8968" width="7.59765625" style="16" customWidth="1"/>
    <col min="8969" max="9208" width="0" style="16" hidden="1" customWidth="1"/>
    <col min="9209" max="9209" width="8.09765625" style="16" customWidth="1"/>
    <col min="9210" max="9210" width="3" style="16" customWidth="1"/>
    <col min="9211" max="9211" width="5.5" style="16" customWidth="1"/>
    <col min="9212" max="9212" width="3.5" style="16" customWidth="1"/>
    <col min="9213" max="9213" width="7.5" style="16" customWidth="1"/>
    <col min="9214" max="9214" width="9.765625E-2" style="16" customWidth="1"/>
    <col min="9215" max="9215" width="0.5" style="16" customWidth="1"/>
    <col min="9216" max="9216" width="36.09765625" style="16"/>
    <col min="9217" max="9217" width="3.59765625" style="16" customWidth="1"/>
    <col min="9218" max="9218" width="22.8984375" style="16" customWidth="1"/>
    <col min="9219" max="9219" width="4.5" style="16" customWidth="1"/>
    <col min="9220" max="9220" width="5.5" style="16" customWidth="1"/>
    <col min="9221" max="9221" width="9.5" style="16" customWidth="1"/>
    <col min="9222" max="9222" width="5.19921875" style="16" customWidth="1"/>
    <col min="9223" max="9223" width="10.59765625" style="16" customWidth="1"/>
    <col min="9224" max="9224" width="7.59765625" style="16" customWidth="1"/>
    <col min="9225" max="9464" width="0" style="16" hidden="1" customWidth="1"/>
    <col min="9465" max="9465" width="8.09765625" style="16" customWidth="1"/>
    <col min="9466" max="9466" width="3" style="16" customWidth="1"/>
    <col min="9467" max="9467" width="5.5" style="16" customWidth="1"/>
    <col min="9468" max="9468" width="3.5" style="16" customWidth="1"/>
    <col min="9469" max="9469" width="7.5" style="16" customWidth="1"/>
    <col min="9470" max="9470" width="9.765625E-2" style="16" customWidth="1"/>
    <col min="9471" max="9471" width="0.5" style="16" customWidth="1"/>
    <col min="9472" max="9472" width="36.09765625" style="16"/>
    <col min="9473" max="9473" width="3.59765625" style="16" customWidth="1"/>
    <col min="9474" max="9474" width="22.8984375" style="16" customWidth="1"/>
    <col min="9475" max="9475" width="4.5" style="16" customWidth="1"/>
    <col min="9476" max="9476" width="5.5" style="16" customWidth="1"/>
    <col min="9477" max="9477" width="9.5" style="16" customWidth="1"/>
    <col min="9478" max="9478" width="5.19921875" style="16" customWidth="1"/>
    <col min="9479" max="9479" width="10.59765625" style="16" customWidth="1"/>
    <col min="9480" max="9480" width="7.59765625" style="16" customWidth="1"/>
    <col min="9481" max="9720" width="0" style="16" hidden="1" customWidth="1"/>
    <col min="9721" max="9721" width="8.09765625" style="16" customWidth="1"/>
    <col min="9722" max="9722" width="3" style="16" customWidth="1"/>
    <col min="9723" max="9723" width="5.5" style="16" customWidth="1"/>
    <col min="9724" max="9724" width="3.5" style="16" customWidth="1"/>
    <col min="9725" max="9725" width="7.5" style="16" customWidth="1"/>
    <col min="9726" max="9726" width="9.765625E-2" style="16" customWidth="1"/>
    <col min="9727" max="9727" width="0.5" style="16" customWidth="1"/>
    <col min="9728" max="9728" width="36.09765625" style="16"/>
    <col min="9729" max="9729" width="3.59765625" style="16" customWidth="1"/>
    <col min="9730" max="9730" width="22.8984375" style="16" customWidth="1"/>
    <col min="9731" max="9731" width="4.5" style="16" customWidth="1"/>
    <col min="9732" max="9732" width="5.5" style="16" customWidth="1"/>
    <col min="9733" max="9733" width="9.5" style="16" customWidth="1"/>
    <col min="9734" max="9734" width="5.19921875" style="16" customWidth="1"/>
    <col min="9735" max="9735" width="10.59765625" style="16" customWidth="1"/>
    <col min="9736" max="9736" width="7.59765625" style="16" customWidth="1"/>
    <col min="9737" max="9976" width="0" style="16" hidden="1" customWidth="1"/>
    <col min="9977" max="9977" width="8.09765625" style="16" customWidth="1"/>
    <col min="9978" max="9978" width="3" style="16" customWidth="1"/>
    <col min="9979" max="9979" width="5.5" style="16" customWidth="1"/>
    <col min="9980" max="9980" width="3.5" style="16" customWidth="1"/>
    <col min="9981" max="9981" width="7.5" style="16" customWidth="1"/>
    <col min="9982" max="9982" width="9.765625E-2" style="16" customWidth="1"/>
    <col min="9983" max="9983" width="0.5" style="16" customWidth="1"/>
    <col min="9984" max="9984" width="36.09765625" style="16"/>
    <col min="9985" max="9985" width="3.59765625" style="16" customWidth="1"/>
    <col min="9986" max="9986" width="22.8984375" style="16" customWidth="1"/>
    <col min="9987" max="9987" width="4.5" style="16" customWidth="1"/>
    <col min="9988" max="9988" width="5.5" style="16" customWidth="1"/>
    <col min="9989" max="9989" width="9.5" style="16" customWidth="1"/>
    <col min="9990" max="9990" width="5.19921875" style="16" customWidth="1"/>
    <col min="9991" max="9991" width="10.59765625" style="16" customWidth="1"/>
    <col min="9992" max="9992" width="7.59765625" style="16" customWidth="1"/>
    <col min="9993" max="10232" width="0" style="16" hidden="1" customWidth="1"/>
    <col min="10233" max="10233" width="8.09765625" style="16" customWidth="1"/>
    <col min="10234" max="10234" width="3" style="16" customWidth="1"/>
    <col min="10235" max="10235" width="5.5" style="16" customWidth="1"/>
    <col min="10236" max="10236" width="3.5" style="16" customWidth="1"/>
    <col min="10237" max="10237" width="7.5" style="16" customWidth="1"/>
    <col min="10238" max="10238" width="9.765625E-2" style="16" customWidth="1"/>
    <col min="10239" max="10239" width="0.5" style="16" customWidth="1"/>
    <col min="10240" max="10240" width="36.09765625" style="16"/>
    <col min="10241" max="10241" width="3.59765625" style="16" customWidth="1"/>
    <col min="10242" max="10242" width="22.8984375" style="16" customWidth="1"/>
    <col min="10243" max="10243" width="4.5" style="16" customWidth="1"/>
    <col min="10244" max="10244" width="5.5" style="16" customWidth="1"/>
    <col min="10245" max="10245" width="9.5" style="16" customWidth="1"/>
    <col min="10246" max="10246" width="5.19921875" style="16" customWidth="1"/>
    <col min="10247" max="10247" width="10.59765625" style="16" customWidth="1"/>
    <col min="10248" max="10248" width="7.59765625" style="16" customWidth="1"/>
    <col min="10249" max="10488" width="0" style="16" hidden="1" customWidth="1"/>
    <col min="10489" max="10489" width="8.09765625" style="16" customWidth="1"/>
    <col min="10490" max="10490" width="3" style="16" customWidth="1"/>
    <col min="10491" max="10491" width="5.5" style="16" customWidth="1"/>
    <col min="10492" max="10492" width="3.5" style="16" customWidth="1"/>
    <col min="10493" max="10493" width="7.5" style="16" customWidth="1"/>
    <col min="10494" max="10494" width="9.765625E-2" style="16" customWidth="1"/>
    <col min="10495" max="10495" width="0.5" style="16" customWidth="1"/>
    <col min="10496" max="10496" width="36.09765625" style="16"/>
    <col min="10497" max="10497" width="3.59765625" style="16" customWidth="1"/>
    <col min="10498" max="10498" width="22.8984375" style="16" customWidth="1"/>
    <col min="10499" max="10499" width="4.5" style="16" customWidth="1"/>
    <col min="10500" max="10500" width="5.5" style="16" customWidth="1"/>
    <col min="10501" max="10501" width="9.5" style="16" customWidth="1"/>
    <col min="10502" max="10502" width="5.19921875" style="16" customWidth="1"/>
    <col min="10503" max="10503" width="10.59765625" style="16" customWidth="1"/>
    <col min="10504" max="10504" width="7.59765625" style="16" customWidth="1"/>
    <col min="10505" max="10744" width="0" style="16" hidden="1" customWidth="1"/>
    <col min="10745" max="10745" width="8.09765625" style="16" customWidth="1"/>
    <col min="10746" max="10746" width="3" style="16" customWidth="1"/>
    <col min="10747" max="10747" width="5.5" style="16" customWidth="1"/>
    <col min="10748" max="10748" width="3.5" style="16" customWidth="1"/>
    <col min="10749" max="10749" width="7.5" style="16" customWidth="1"/>
    <col min="10750" max="10750" width="9.765625E-2" style="16" customWidth="1"/>
    <col min="10751" max="10751" width="0.5" style="16" customWidth="1"/>
    <col min="10752" max="10752" width="36.09765625" style="16"/>
    <col min="10753" max="10753" width="3.59765625" style="16" customWidth="1"/>
    <col min="10754" max="10754" width="22.8984375" style="16" customWidth="1"/>
    <col min="10755" max="10755" width="4.5" style="16" customWidth="1"/>
    <col min="10756" max="10756" width="5.5" style="16" customWidth="1"/>
    <col min="10757" max="10757" width="9.5" style="16" customWidth="1"/>
    <col min="10758" max="10758" width="5.19921875" style="16" customWidth="1"/>
    <col min="10759" max="10759" width="10.59765625" style="16" customWidth="1"/>
    <col min="10760" max="10760" width="7.59765625" style="16" customWidth="1"/>
    <col min="10761" max="11000" width="0" style="16" hidden="1" customWidth="1"/>
    <col min="11001" max="11001" width="8.09765625" style="16" customWidth="1"/>
    <col min="11002" max="11002" width="3" style="16" customWidth="1"/>
    <col min="11003" max="11003" width="5.5" style="16" customWidth="1"/>
    <col min="11004" max="11004" width="3.5" style="16" customWidth="1"/>
    <col min="11005" max="11005" width="7.5" style="16" customWidth="1"/>
    <col min="11006" max="11006" width="9.765625E-2" style="16" customWidth="1"/>
    <col min="11007" max="11007" width="0.5" style="16" customWidth="1"/>
    <col min="11008" max="11008" width="36.09765625" style="16"/>
    <col min="11009" max="11009" width="3.59765625" style="16" customWidth="1"/>
    <col min="11010" max="11010" width="22.8984375" style="16" customWidth="1"/>
    <col min="11011" max="11011" width="4.5" style="16" customWidth="1"/>
    <col min="11012" max="11012" width="5.5" style="16" customWidth="1"/>
    <col min="11013" max="11013" width="9.5" style="16" customWidth="1"/>
    <col min="11014" max="11014" width="5.19921875" style="16" customWidth="1"/>
    <col min="11015" max="11015" width="10.59765625" style="16" customWidth="1"/>
    <col min="11016" max="11016" width="7.59765625" style="16" customWidth="1"/>
    <col min="11017" max="11256" width="0" style="16" hidden="1" customWidth="1"/>
    <col min="11257" max="11257" width="8.09765625" style="16" customWidth="1"/>
    <col min="11258" max="11258" width="3" style="16" customWidth="1"/>
    <col min="11259" max="11259" width="5.5" style="16" customWidth="1"/>
    <col min="11260" max="11260" width="3.5" style="16" customWidth="1"/>
    <col min="11261" max="11261" width="7.5" style="16" customWidth="1"/>
    <col min="11262" max="11262" width="9.765625E-2" style="16" customWidth="1"/>
    <col min="11263" max="11263" width="0.5" style="16" customWidth="1"/>
    <col min="11264" max="11264" width="36.09765625" style="16"/>
    <col min="11265" max="11265" width="3.59765625" style="16" customWidth="1"/>
    <col min="11266" max="11266" width="22.8984375" style="16" customWidth="1"/>
    <col min="11267" max="11267" width="4.5" style="16" customWidth="1"/>
    <col min="11268" max="11268" width="5.5" style="16" customWidth="1"/>
    <col min="11269" max="11269" width="9.5" style="16" customWidth="1"/>
    <col min="11270" max="11270" width="5.19921875" style="16" customWidth="1"/>
    <col min="11271" max="11271" width="10.59765625" style="16" customWidth="1"/>
    <col min="11272" max="11272" width="7.59765625" style="16" customWidth="1"/>
    <col min="11273" max="11512" width="0" style="16" hidden="1" customWidth="1"/>
    <col min="11513" max="11513" width="8.09765625" style="16" customWidth="1"/>
    <col min="11514" max="11514" width="3" style="16" customWidth="1"/>
    <col min="11515" max="11515" width="5.5" style="16" customWidth="1"/>
    <col min="11516" max="11516" width="3.5" style="16" customWidth="1"/>
    <col min="11517" max="11517" width="7.5" style="16" customWidth="1"/>
    <col min="11518" max="11518" width="9.765625E-2" style="16" customWidth="1"/>
    <col min="11519" max="11519" width="0.5" style="16" customWidth="1"/>
    <col min="11520" max="11520" width="36.09765625" style="16"/>
    <col min="11521" max="11521" width="3.59765625" style="16" customWidth="1"/>
    <col min="11522" max="11522" width="22.8984375" style="16" customWidth="1"/>
    <col min="11523" max="11523" width="4.5" style="16" customWidth="1"/>
    <col min="11524" max="11524" width="5.5" style="16" customWidth="1"/>
    <col min="11525" max="11525" width="9.5" style="16" customWidth="1"/>
    <col min="11526" max="11526" width="5.19921875" style="16" customWidth="1"/>
    <col min="11527" max="11527" width="10.59765625" style="16" customWidth="1"/>
    <col min="11528" max="11528" width="7.59765625" style="16" customWidth="1"/>
    <col min="11529" max="11768" width="0" style="16" hidden="1" customWidth="1"/>
    <col min="11769" max="11769" width="8.09765625" style="16" customWidth="1"/>
    <col min="11770" max="11770" width="3" style="16" customWidth="1"/>
    <col min="11771" max="11771" width="5.5" style="16" customWidth="1"/>
    <col min="11772" max="11772" width="3.5" style="16" customWidth="1"/>
    <col min="11773" max="11773" width="7.5" style="16" customWidth="1"/>
    <col min="11774" max="11774" width="9.765625E-2" style="16" customWidth="1"/>
    <col min="11775" max="11775" width="0.5" style="16" customWidth="1"/>
    <col min="11776" max="11776" width="36.09765625" style="16"/>
    <col min="11777" max="11777" width="3.59765625" style="16" customWidth="1"/>
    <col min="11778" max="11778" width="22.8984375" style="16" customWidth="1"/>
    <col min="11779" max="11779" width="4.5" style="16" customWidth="1"/>
    <col min="11780" max="11780" width="5.5" style="16" customWidth="1"/>
    <col min="11781" max="11781" width="9.5" style="16" customWidth="1"/>
    <col min="11782" max="11782" width="5.19921875" style="16" customWidth="1"/>
    <col min="11783" max="11783" width="10.59765625" style="16" customWidth="1"/>
    <col min="11784" max="11784" width="7.59765625" style="16" customWidth="1"/>
    <col min="11785" max="12024" width="0" style="16" hidden="1" customWidth="1"/>
    <col min="12025" max="12025" width="8.09765625" style="16" customWidth="1"/>
    <col min="12026" max="12026" width="3" style="16" customWidth="1"/>
    <col min="12027" max="12027" width="5.5" style="16" customWidth="1"/>
    <col min="12028" max="12028" width="3.5" style="16" customWidth="1"/>
    <col min="12029" max="12029" width="7.5" style="16" customWidth="1"/>
    <col min="12030" max="12030" width="9.765625E-2" style="16" customWidth="1"/>
    <col min="12031" max="12031" width="0.5" style="16" customWidth="1"/>
    <col min="12032" max="12032" width="36.09765625" style="16"/>
    <col min="12033" max="12033" width="3.59765625" style="16" customWidth="1"/>
    <col min="12034" max="12034" width="22.8984375" style="16" customWidth="1"/>
    <col min="12035" max="12035" width="4.5" style="16" customWidth="1"/>
    <col min="12036" max="12036" width="5.5" style="16" customWidth="1"/>
    <col min="12037" max="12037" width="9.5" style="16" customWidth="1"/>
    <col min="12038" max="12038" width="5.19921875" style="16" customWidth="1"/>
    <col min="12039" max="12039" width="10.59765625" style="16" customWidth="1"/>
    <col min="12040" max="12040" width="7.59765625" style="16" customWidth="1"/>
    <col min="12041" max="12280" width="0" style="16" hidden="1" customWidth="1"/>
    <col min="12281" max="12281" width="8.09765625" style="16" customWidth="1"/>
    <col min="12282" max="12282" width="3" style="16" customWidth="1"/>
    <col min="12283" max="12283" width="5.5" style="16" customWidth="1"/>
    <col min="12284" max="12284" width="3.5" style="16" customWidth="1"/>
    <col min="12285" max="12285" width="7.5" style="16" customWidth="1"/>
    <col min="12286" max="12286" width="9.765625E-2" style="16" customWidth="1"/>
    <col min="12287" max="12287" width="0.5" style="16" customWidth="1"/>
    <col min="12288" max="12288" width="36.09765625" style="16"/>
    <col min="12289" max="12289" width="3.59765625" style="16" customWidth="1"/>
    <col min="12290" max="12290" width="22.8984375" style="16" customWidth="1"/>
    <col min="12291" max="12291" width="4.5" style="16" customWidth="1"/>
    <col min="12292" max="12292" width="5.5" style="16" customWidth="1"/>
    <col min="12293" max="12293" width="9.5" style="16" customWidth="1"/>
    <col min="12294" max="12294" width="5.19921875" style="16" customWidth="1"/>
    <col min="12295" max="12295" width="10.59765625" style="16" customWidth="1"/>
    <col min="12296" max="12296" width="7.59765625" style="16" customWidth="1"/>
    <col min="12297" max="12536" width="0" style="16" hidden="1" customWidth="1"/>
    <col min="12537" max="12537" width="8.09765625" style="16" customWidth="1"/>
    <col min="12538" max="12538" width="3" style="16" customWidth="1"/>
    <col min="12539" max="12539" width="5.5" style="16" customWidth="1"/>
    <col min="12540" max="12540" width="3.5" style="16" customWidth="1"/>
    <col min="12541" max="12541" width="7.5" style="16" customWidth="1"/>
    <col min="12542" max="12542" width="9.765625E-2" style="16" customWidth="1"/>
    <col min="12543" max="12543" width="0.5" style="16" customWidth="1"/>
    <col min="12544" max="12544" width="36.09765625" style="16"/>
    <col min="12545" max="12545" width="3.59765625" style="16" customWidth="1"/>
    <col min="12546" max="12546" width="22.8984375" style="16" customWidth="1"/>
    <col min="12547" max="12547" width="4.5" style="16" customWidth="1"/>
    <col min="12548" max="12548" width="5.5" style="16" customWidth="1"/>
    <col min="12549" max="12549" width="9.5" style="16" customWidth="1"/>
    <col min="12550" max="12550" width="5.19921875" style="16" customWidth="1"/>
    <col min="12551" max="12551" width="10.59765625" style="16" customWidth="1"/>
    <col min="12552" max="12552" width="7.59765625" style="16" customWidth="1"/>
    <col min="12553" max="12792" width="0" style="16" hidden="1" customWidth="1"/>
    <col min="12793" max="12793" width="8.09765625" style="16" customWidth="1"/>
    <col min="12794" max="12794" width="3" style="16" customWidth="1"/>
    <col min="12795" max="12795" width="5.5" style="16" customWidth="1"/>
    <col min="12796" max="12796" width="3.5" style="16" customWidth="1"/>
    <col min="12797" max="12797" width="7.5" style="16" customWidth="1"/>
    <col min="12798" max="12798" width="9.765625E-2" style="16" customWidth="1"/>
    <col min="12799" max="12799" width="0.5" style="16" customWidth="1"/>
    <col min="12800" max="12800" width="36.09765625" style="16"/>
    <col min="12801" max="12801" width="3.59765625" style="16" customWidth="1"/>
    <col min="12802" max="12802" width="22.8984375" style="16" customWidth="1"/>
    <col min="12803" max="12803" width="4.5" style="16" customWidth="1"/>
    <col min="12804" max="12804" width="5.5" style="16" customWidth="1"/>
    <col min="12805" max="12805" width="9.5" style="16" customWidth="1"/>
    <col min="12806" max="12806" width="5.19921875" style="16" customWidth="1"/>
    <col min="12807" max="12807" width="10.59765625" style="16" customWidth="1"/>
    <col min="12808" max="12808" width="7.59765625" style="16" customWidth="1"/>
    <col min="12809" max="13048" width="0" style="16" hidden="1" customWidth="1"/>
    <col min="13049" max="13049" width="8.09765625" style="16" customWidth="1"/>
    <col min="13050" max="13050" width="3" style="16" customWidth="1"/>
    <col min="13051" max="13051" width="5.5" style="16" customWidth="1"/>
    <col min="13052" max="13052" width="3.5" style="16" customWidth="1"/>
    <col min="13053" max="13053" width="7.5" style="16" customWidth="1"/>
    <col min="13054" max="13054" width="9.765625E-2" style="16" customWidth="1"/>
    <col min="13055" max="13055" width="0.5" style="16" customWidth="1"/>
    <col min="13056" max="13056" width="36.09765625" style="16"/>
    <col min="13057" max="13057" width="3.59765625" style="16" customWidth="1"/>
    <col min="13058" max="13058" width="22.8984375" style="16" customWidth="1"/>
    <col min="13059" max="13059" width="4.5" style="16" customWidth="1"/>
    <col min="13060" max="13060" width="5.5" style="16" customWidth="1"/>
    <col min="13061" max="13061" width="9.5" style="16" customWidth="1"/>
    <col min="13062" max="13062" width="5.19921875" style="16" customWidth="1"/>
    <col min="13063" max="13063" width="10.59765625" style="16" customWidth="1"/>
    <col min="13064" max="13064" width="7.59765625" style="16" customWidth="1"/>
    <col min="13065" max="13304" width="0" style="16" hidden="1" customWidth="1"/>
    <col min="13305" max="13305" width="8.09765625" style="16" customWidth="1"/>
    <col min="13306" max="13306" width="3" style="16" customWidth="1"/>
    <col min="13307" max="13307" width="5.5" style="16" customWidth="1"/>
    <col min="13308" max="13308" width="3.5" style="16" customWidth="1"/>
    <col min="13309" max="13309" width="7.5" style="16" customWidth="1"/>
    <col min="13310" max="13310" width="9.765625E-2" style="16" customWidth="1"/>
    <col min="13311" max="13311" width="0.5" style="16" customWidth="1"/>
    <col min="13312" max="13312" width="36.09765625" style="16"/>
    <col min="13313" max="13313" width="3.59765625" style="16" customWidth="1"/>
    <col min="13314" max="13314" width="22.8984375" style="16" customWidth="1"/>
    <col min="13315" max="13315" width="4.5" style="16" customWidth="1"/>
    <col min="13316" max="13316" width="5.5" style="16" customWidth="1"/>
    <col min="13317" max="13317" width="9.5" style="16" customWidth="1"/>
    <col min="13318" max="13318" width="5.19921875" style="16" customWidth="1"/>
    <col min="13319" max="13319" width="10.59765625" style="16" customWidth="1"/>
    <col min="13320" max="13320" width="7.59765625" style="16" customWidth="1"/>
    <col min="13321" max="13560" width="0" style="16" hidden="1" customWidth="1"/>
    <col min="13561" max="13561" width="8.09765625" style="16" customWidth="1"/>
    <col min="13562" max="13562" width="3" style="16" customWidth="1"/>
    <col min="13563" max="13563" width="5.5" style="16" customWidth="1"/>
    <col min="13564" max="13564" width="3.5" style="16" customWidth="1"/>
    <col min="13565" max="13565" width="7.5" style="16" customWidth="1"/>
    <col min="13566" max="13566" width="9.765625E-2" style="16" customWidth="1"/>
    <col min="13567" max="13567" width="0.5" style="16" customWidth="1"/>
    <col min="13568" max="13568" width="36.09765625" style="16"/>
    <col min="13569" max="13569" width="3.59765625" style="16" customWidth="1"/>
    <col min="13570" max="13570" width="22.8984375" style="16" customWidth="1"/>
    <col min="13571" max="13571" width="4.5" style="16" customWidth="1"/>
    <col min="13572" max="13572" width="5.5" style="16" customWidth="1"/>
    <col min="13573" max="13573" width="9.5" style="16" customWidth="1"/>
    <col min="13574" max="13574" width="5.19921875" style="16" customWidth="1"/>
    <col min="13575" max="13575" width="10.59765625" style="16" customWidth="1"/>
    <col min="13576" max="13576" width="7.59765625" style="16" customWidth="1"/>
    <col min="13577" max="13816" width="0" style="16" hidden="1" customWidth="1"/>
    <col min="13817" max="13817" width="8.09765625" style="16" customWidth="1"/>
    <col min="13818" max="13818" width="3" style="16" customWidth="1"/>
    <col min="13819" max="13819" width="5.5" style="16" customWidth="1"/>
    <col min="13820" max="13820" width="3.5" style="16" customWidth="1"/>
    <col min="13821" max="13821" width="7.5" style="16" customWidth="1"/>
    <col min="13822" max="13822" width="9.765625E-2" style="16" customWidth="1"/>
    <col min="13823" max="13823" width="0.5" style="16" customWidth="1"/>
    <col min="13824" max="13824" width="36.09765625" style="16"/>
    <col min="13825" max="13825" width="3.59765625" style="16" customWidth="1"/>
    <col min="13826" max="13826" width="22.8984375" style="16" customWidth="1"/>
    <col min="13827" max="13827" width="4.5" style="16" customWidth="1"/>
    <col min="13828" max="13828" width="5.5" style="16" customWidth="1"/>
    <col min="13829" max="13829" width="9.5" style="16" customWidth="1"/>
    <col min="13830" max="13830" width="5.19921875" style="16" customWidth="1"/>
    <col min="13831" max="13831" width="10.59765625" style="16" customWidth="1"/>
    <col min="13832" max="13832" width="7.59765625" style="16" customWidth="1"/>
    <col min="13833" max="14072" width="0" style="16" hidden="1" customWidth="1"/>
    <col min="14073" max="14073" width="8.09765625" style="16" customWidth="1"/>
    <col min="14074" max="14074" width="3" style="16" customWidth="1"/>
    <col min="14075" max="14075" width="5.5" style="16" customWidth="1"/>
    <col min="14076" max="14076" width="3.5" style="16" customWidth="1"/>
    <col min="14077" max="14077" width="7.5" style="16" customWidth="1"/>
    <col min="14078" max="14078" width="9.765625E-2" style="16" customWidth="1"/>
    <col min="14079" max="14079" width="0.5" style="16" customWidth="1"/>
    <col min="14080" max="14080" width="36.09765625" style="16"/>
    <col min="14081" max="14081" width="3.59765625" style="16" customWidth="1"/>
    <col min="14082" max="14082" width="22.8984375" style="16" customWidth="1"/>
    <col min="14083" max="14083" width="4.5" style="16" customWidth="1"/>
    <col min="14084" max="14084" width="5.5" style="16" customWidth="1"/>
    <col min="14085" max="14085" width="9.5" style="16" customWidth="1"/>
    <col min="14086" max="14086" width="5.19921875" style="16" customWidth="1"/>
    <col min="14087" max="14087" width="10.59765625" style="16" customWidth="1"/>
    <col min="14088" max="14088" width="7.59765625" style="16" customWidth="1"/>
    <col min="14089" max="14328" width="0" style="16" hidden="1" customWidth="1"/>
    <col min="14329" max="14329" width="8.09765625" style="16" customWidth="1"/>
    <col min="14330" max="14330" width="3" style="16" customWidth="1"/>
    <col min="14331" max="14331" width="5.5" style="16" customWidth="1"/>
    <col min="14332" max="14332" width="3.5" style="16" customWidth="1"/>
    <col min="14333" max="14333" width="7.5" style="16" customWidth="1"/>
    <col min="14334" max="14334" width="9.765625E-2" style="16" customWidth="1"/>
    <col min="14335" max="14335" width="0.5" style="16" customWidth="1"/>
    <col min="14336" max="14336" width="36.09765625" style="16"/>
    <col min="14337" max="14337" width="3.59765625" style="16" customWidth="1"/>
    <col min="14338" max="14338" width="22.8984375" style="16" customWidth="1"/>
    <col min="14339" max="14339" width="4.5" style="16" customWidth="1"/>
    <col min="14340" max="14340" width="5.5" style="16" customWidth="1"/>
    <col min="14341" max="14341" width="9.5" style="16" customWidth="1"/>
    <col min="14342" max="14342" width="5.19921875" style="16" customWidth="1"/>
    <col min="14343" max="14343" width="10.59765625" style="16" customWidth="1"/>
    <col min="14344" max="14344" width="7.59765625" style="16" customWidth="1"/>
    <col min="14345" max="14584" width="0" style="16" hidden="1" customWidth="1"/>
    <col min="14585" max="14585" width="8.09765625" style="16" customWidth="1"/>
    <col min="14586" max="14586" width="3" style="16" customWidth="1"/>
    <col min="14587" max="14587" width="5.5" style="16" customWidth="1"/>
    <col min="14588" max="14588" width="3.5" style="16" customWidth="1"/>
    <col min="14589" max="14589" width="7.5" style="16" customWidth="1"/>
    <col min="14590" max="14590" width="9.765625E-2" style="16" customWidth="1"/>
    <col min="14591" max="14591" width="0.5" style="16" customWidth="1"/>
    <col min="14592" max="14592" width="36.09765625" style="16"/>
    <col min="14593" max="14593" width="3.59765625" style="16" customWidth="1"/>
    <col min="14594" max="14594" width="22.8984375" style="16" customWidth="1"/>
    <col min="14595" max="14595" width="4.5" style="16" customWidth="1"/>
    <col min="14596" max="14596" width="5.5" style="16" customWidth="1"/>
    <col min="14597" max="14597" width="9.5" style="16" customWidth="1"/>
    <col min="14598" max="14598" width="5.19921875" style="16" customWidth="1"/>
    <col min="14599" max="14599" width="10.59765625" style="16" customWidth="1"/>
    <col min="14600" max="14600" width="7.59765625" style="16" customWidth="1"/>
    <col min="14601" max="14840" width="0" style="16" hidden="1" customWidth="1"/>
    <col min="14841" max="14841" width="8.09765625" style="16" customWidth="1"/>
    <col min="14842" max="14842" width="3" style="16" customWidth="1"/>
    <col min="14843" max="14843" width="5.5" style="16" customWidth="1"/>
    <col min="14844" max="14844" width="3.5" style="16" customWidth="1"/>
    <col min="14845" max="14845" width="7.5" style="16" customWidth="1"/>
    <col min="14846" max="14846" width="9.765625E-2" style="16" customWidth="1"/>
    <col min="14847" max="14847" width="0.5" style="16" customWidth="1"/>
    <col min="14848" max="14848" width="36.09765625" style="16"/>
    <col min="14849" max="14849" width="3.59765625" style="16" customWidth="1"/>
    <col min="14850" max="14850" width="22.8984375" style="16" customWidth="1"/>
    <col min="14851" max="14851" width="4.5" style="16" customWidth="1"/>
    <col min="14852" max="14852" width="5.5" style="16" customWidth="1"/>
    <col min="14853" max="14853" width="9.5" style="16" customWidth="1"/>
    <col min="14854" max="14854" width="5.19921875" style="16" customWidth="1"/>
    <col min="14855" max="14855" width="10.59765625" style="16" customWidth="1"/>
    <col min="14856" max="14856" width="7.59765625" style="16" customWidth="1"/>
    <col min="14857" max="15096" width="0" style="16" hidden="1" customWidth="1"/>
    <col min="15097" max="15097" width="8.09765625" style="16" customWidth="1"/>
    <col min="15098" max="15098" width="3" style="16" customWidth="1"/>
    <col min="15099" max="15099" width="5.5" style="16" customWidth="1"/>
    <col min="15100" max="15100" width="3.5" style="16" customWidth="1"/>
    <col min="15101" max="15101" width="7.5" style="16" customWidth="1"/>
    <col min="15102" max="15102" width="9.765625E-2" style="16" customWidth="1"/>
    <col min="15103" max="15103" width="0.5" style="16" customWidth="1"/>
    <col min="15104" max="15104" width="36.09765625" style="16"/>
    <col min="15105" max="15105" width="3.59765625" style="16" customWidth="1"/>
    <col min="15106" max="15106" width="22.8984375" style="16" customWidth="1"/>
    <col min="15107" max="15107" width="4.5" style="16" customWidth="1"/>
    <col min="15108" max="15108" width="5.5" style="16" customWidth="1"/>
    <col min="15109" max="15109" width="9.5" style="16" customWidth="1"/>
    <col min="15110" max="15110" width="5.19921875" style="16" customWidth="1"/>
    <col min="15111" max="15111" width="10.59765625" style="16" customWidth="1"/>
    <col min="15112" max="15112" width="7.59765625" style="16" customWidth="1"/>
    <col min="15113" max="15352" width="0" style="16" hidden="1" customWidth="1"/>
    <col min="15353" max="15353" width="8.09765625" style="16" customWidth="1"/>
    <col min="15354" max="15354" width="3" style="16" customWidth="1"/>
    <col min="15355" max="15355" width="5.5" style="16" customWidth="1"/>
    <col min="15356" max="15356" width="3.5" style="16" customWidth="1"/>
    <col min="15357" max="15357" width="7.5" style="16" customWidth="1"/>
    <col min="15358" max="15358" width="9.765625E-2" style="16" customWidth="1"/>
    <col min="15359" max="15359" width="0.5" style="16" customWidth="1"/>
    <col min="15360" max="15360" width="36.09765625" style="16"/>
    <col min="15361" max="15361" width="3.59765625" style="16" customWidth="1"/>
    <col min="15362" max="15362" width="22.8984375" style="16" customWidth="1"/>
    <col min="15363" max="15363" width="4.5" style="16" customWidth="1"/>
    <col min="15364" max="15364" width="5.5" style="16" customWidth="1"/>
    <col min="15365" max="15365" width="9.5" style="16" customWidth="1"/>
    <col min="15366" max="15366" width="5.19921875" style="16" customWidth="1"/>
    <col min="15367" max="15367" width="10.59765625" style="16" customWidth="1"/>
    <col min="15368" max="15368" width="7.59765625" style="16" customWidth="1"/>
    <col min="15369" max="15608" width="0" style="16" hidden="1" customWidth="1"/>
    <col min="15609" max="15609" width="8.09765625" style="16" customWidth="1"/>
    <col min="15610" max="15610" width="3" style="16" customWidth="1"/>
    <col min="15611" max="15611" width="5.5" style="16" customWidth="1"/>
    <col min="15612" max="15612" width="3.5" style="16" customWidth="1"/>
    <col min="15613" max="15613" width="7.5" style="16" customWidth="1"/>
    <col min="15614" max="15614" width="9.765625E-2" style="16" customWidth="1"/>
    <col min="15615" max="15615" width="0.5" style="16" customWidth="1"/>
    <col min="15616" max="15616" width="36.09765625" style="16"/>
    <col min="15617" max="15617" width="3.59765625" style="16" customWidth="1"/>
    <col min="15618" max="15618" width="22.8984375" style="16" customWidth="1"/>
    <col min="15619" max="15619" width="4.5" style="16" customWidth="1"/>
    <col min="15620" max="15620" width="5.5" style="16" customWidth="1"/>
    <col min="15621" max="15621" width="9.5" style="16" customWidth="1"/>
    <col min="15622" max="15622" width="5.19921875" style="16" customWidth="1"/>
    <col min="15623" max="15623" width="10.59765625" style="16" customWidth="1"/>
    <col min="15624" max="15624" width="7.59765625" style="16" customWidth="1"/>
    <col min="15625" max="15864" width="0" style="16" hidden="1" customWidth="1"/>
    <col min="15865" max="15865" width="8.09765625" style="16" customWidth="1"/>
    <col min="15866" max="15866" width="3" style="16" customWidth="1"/>
    <col min="15867" max="15867" width="5.5" style="16" customWidth="1"/>
    <col min="15868" max="15868" width="3.5" style="16" customWidth="1"/>
    <col min="15869" max="15869" width="7.5" style="16" customWidth="1"/>
    <col min="15870" max="15870" width="9.765625E-2" style="16" customWidth="1"/>
    <col min="15871" max="15871" width="0.5" style="16" customWidth="1"/>
    <col min="15872" max="15872" width="36.09765625" style="16"/>
    <col min="15873" max="15873" width="3.59765625" style="16" customWidth="1"/>
    <col min="15874" max="15874" width="22.8984375" style="16" customWidth="1"/>
    <col min="15875" max="15875" width="4.5" style="16" customWidth="1"/>
    <col min="15876" max="15876" width="5.5" style="16" customWidth="1"/>
    <col min="15877" max="15877" width="9.5" style="16" customWidth="1"/>
    <col min="15878" max="15878" width="5.19921875" style="16" customWidth="1"/>
    <col min="15879" max="15879" width="10.59765625" style="16" customWidth="1"/>
    <col min="15880" max="15880" width="7.59765625" style="16" customWidth="1"/>
    <col min="15881" max="16120" width="0" style="16" hidden="1" customWidth="1"/>
    <col min="16121" max="16121" width="8.09765625" style="16" customWidth="1"/>
    <col min="16122" max="16122" width="3" style="16" customWidth="1"/>
    <col min="16123" max="16123" width="5.5" style="16" customWidth="1"/>
    <col min="16124" max="16124" width="3.5" style="16" customWidth="1"/>
    <col min="16125" max="16125" width="7.5" style="16" customWidth="1"/>
    <col min="16126" max="16126" width="9.765625E-2" style="16" customWidth="1"/>
    <col min="16127" max="16127" width="0.5" style="16" customWidth="1"/>
    <col min="16128" max="16128" width="36.09765625" style="16"/>
    <col min="16129" max="16129" width="3.59765625" style="16" customWidth="1"/>
    <col min="16130" max="16130" width="22.8984375" style="16" customWidth="1"/>
    <col min="16131" max="16131" width="4.5" style="16" customWidth="1"/>
    <col min="16132" max="16132" width="5.5" style="16" customWidth="1"/>
    <col min="16133" max="16133" width="9.5" style="16" customWidth="1"/>
    <col min="16134" max="16134" width="5.19921875" style="16" customWidth="1"/>
    <col min="16135" max="16135" width="10.59765625" style="16" customWidth="1"/>
    <col min="16136" max="16136" width="7.59765625" style="16" customWidth="1"/>
    <col min="16137" max="16376" width="0" style="16" hidden="1" customWidth="1"/>
    <col min="16377" max="16377" width="8.09765625" style="16" customWidth="1"/>
    <col min="16378" max="16378" width="3" style="16" customWidth="1"/>
    <col min="16379" max="16379" width="5.5" style="16" customWidth="1"/>
    <col min="16380" max="16380" width="3.5" style="16" customWidth="1"/>
    <col min="16381" max="16381" width="7.5" style="16" customWidth="1"/>
    <col min="16382" max="16382" width="9.765625E-2" style="16" customWidth="1"/>
    <col min="16383" max="16383" width="0.5" style="16" customWidth="1"/>
    <col min="16384" max="16384" width="36.0976562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2304</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2305</v>
      </c>
      <c r="C13" s="425"/>
      <c r="D13" s="425"/>
      <c r="E13" s="425"/>
      <c r="F13" s="425"/>
      <c r="G13" s="73">
        <f>G14</f>
        <v>7788000</v>
      </c>
      <c r="H13" s="74"/>
    </row>
    <row r="14" spans="1:8" s="131" customFormat="1" ht="156">
      <c r="A14" s="123"/>
      <c r="B14" s="124" t="s">
        <v>2059</v>
      </c>
      <c r="C14" s="125" t="s">
        <v>1753</v>
      </c>
      <c r="D14" s="126">
        <v>3.3</v>
      </c>
      <c r="E14" s="275">
        <v>11800000</v>
      </c>
      <c r="F14" s="188">
        <v>0.2</v>
      </c>
      <c r="G14" s="129">
        <f>D14*E14*F14</f>
        <v>7788000</v>
      </c>
      <c r="H14" s="130"/>
    </row>
    <row r="15" spans="1:8" ht="21.75" customHeight="1">
      <c r="A15" s="75" t="s">
        <v>18</v>
      </c>
      <c r="B15" s="426" t="s">
        <v>1725</v>
      </c>
      <c r="C15" s="426"/>
      <c r="D15" s="426"/>
      <c r="E15" s="426"/>
      <c r="F15" s="426"/>
      <c r="G15" s="76">
        <f>SUM(G16:G26)</f>
        <v>7794312.7132000001</v>
      </c>
      <c r="H15" s="11"/>
    </row>
    <row r="16" spans="1:8" s="17" customFormat="1" ht="15.6">
      <c r="A16" s="77">
        <v>1</v>
      </c>
      <c r="B16" s="78" t="s">
        <v>2306</v>
      </c>
      <c r="C16" s="14" t="s">
        <v>66</v>
      </c>
      <c r="D16" s="132">
        <f>3.4*3</f>
        <v>10.199999999999999</v>
      </c>
      <c r="E16" s="15">
        <v>2350000</v>
      </c>
      <c r="F16" s="187">
        <v>0.2</v>
      </c>
      <c r="G16" s="79">
        <f>D16*E16*F16</f>
        <v>4794000</v>
      </c>
      <c r="H16" s="15"/>
    </row>
    <row r="17" spans="1:8" ht="31.2">
      <c r="A17" s="77">
        <v>2</v>
      </c>
      <c r="B17" s="78" t="s">
        <v>2307</v>
      </c>
      <c r="C17" s="14" t="s">
        <v>1754</v>
      </c>
      <c r="D17" s="132">
        <f>3*2.4*0.11</f>
        <v>0.79199999999999993</v>
      </c>
      <c r="E17" s="15">
        <v>2126713</v>
      </c>
      <c r="F17" s="187">
        <v>0.2</v>
      </c>
      <c r="G17" s="79">
        <f t="shared" ref="G17:G26" si="0">D17*E17*F17</f>
        <v>336871.33919999999</v>
      </c>
      <c r="H17" s="15"/>
    </row>
    <row r="18" spans="1:8" s="179" customFormat="1" ht="15.6">
      <c r="A18" s="77"/>
      <c r="B18" s="78" t="s">
        <v>2308</v>
      </c>
      <c r="C18" s="14" t="s">
        <v>66</v>
      </c>
      <c r="D18" s="132">
        <f>3*2.4*2</f>
        <v>14.399999999999999</v>
      </c>
      <c r="E18" s="15">
        <v>141099</v>
      </c>
      <c r="F18" s="187">
        <v>0.2</v>
      </c>
      <c r="G18" s="79">
        <f t="shared" si="0"/>
        <v>406365.12</v>
      </c>
      <c r="H18" s="15"/>
    </row>
    <row r="19" spans="1:8" ht="15.6">
      <c r="A19" s="77">
        <v>3</v>
      </c>
      <c r="B19" s="78" t="s">
        <v>2309</v>
      </c>
      <c r="C19" s="14" t="s">
        <v>66</v>
      </c>
      <c r="D19" s="132">
        <f>1.2*2.15</f>
        <v>2.5799999999999996</v>
      </c>
      <c r="E19" s="15">
        <v>214934</v>
      </c>
      <c r="F19" s="187">
        <v>0.2</v>
      </c>
      <c r="G19" s="79">
        <f t="shared" si="0"/>
        <v>110905.944</v>
      </c>
      <c r="H19" s="15"/>
    </row>
    <row r="20" spans="1:8" ht="31.2">
      <c r="A20" s="77">
        <v>4</v>
      </c>
      <c r="B20" s="78" t="s">
        <v>2310</v>
      </c>
      <c r="C20" s="14" t="s">
        <v>66</v>
      </c>
      <c r="D20" s="132">
        <f>4.8*1.5</f>
        <v>7.1999999999999993</v>
      </c>
      <c r="E20" s="15">
        <v>488333</v>
      </c>
      <c r="F20" s="187">
        <v>0.2</v>
      </c>
      <c r="G20" s="79">
        <f t="shared" si="0"/>
        <v>703199.52</v>
      </c>
      <c r="H20" s="15"/>
    </row>
    <row r="21" spans="1:8" ht="15.6">
      <c r="A21" s="77">
        <v>5</v>
      </c>
      <c r="B21" s="78" t="s">
        <v>2311</v>
      </c>
      <c r="C21" s="14" t="s">
        <v>66</v>
      </c>
      <c r="D21" s="132">
        <f>0.7*5</f>
        <v>3.5</v>
      </c>
      <c r="E21" s="15">
        <v>214934</v>
      </c>
      <c r="F21" s="187">
        <v>0.2</v>
      </c>
      <c r="G21" s="79">
        <f t="shared" si="0"/>
        <v>150453.80000000002</v>
      </c>
      <c r="H21" s="15"/>
    </row>
    <row r="22" spans="1:8" ht="15.6">
      <c r="A22" s="77">
        <v>6</v>
      </c>
      <c r="B22" s="78" t="s">
        <v>2312</v>
      </c>
      <c r="C22" s="14" t="s">
        <v>66</v>
      </c>
      <c r="D22" s="132">
        <f>5*0.8</f>
        <v>4</v>
      </c>
      <c r="E22" s="15">
        <v>850000</v>
      </c>
      <c r="F22" s="187">
        <v>0.2</v>
      </c>
      <c r="G22" s="79">
        <f t="shared" si="0"/>
        <v>680000</v>
      </c>
      <c r="H22" s="15"/>
    </row>
    <row r="23" spans="1:8" ht="15.6">
      <c r="A23" s="77">
        <v>7</v>
      </c>
      <c r="B23" s="78" t="s">
        <v>2313</v>
      </c>
      <c r="C23" s="14" t="s">
        <v>66</v>
      </c>
      <c r="D23" s="132">
        <f>0.8*5</f>
        <v>4</v>
      </c>
      <c r="E23" s="15">
        <v>550000</v>
      </c>
      <c r="F23" s="187">
        <v>0.2</v>
      </c>
      <c r="G23" s="79">
        <f t="shared" si="0"/>
        <v>440000</v>
      </c>
      <c r="H23" s="15"/>
    </row>
    <row r="24" spans="1:8" ht="15.6">
      <c r="A24" s="77">
        <v>8</v>
      </c>
      <c r="B24" s="78" t="s">
        <v>2314</v>
      </c>
      <c r="C24" s="14" t="s">
        <v>1754</v>
      </c>
      <c r="D24" s="132">
        <f>0.4*5*0.1</f>
        <v>0.2</v>
      </c>
      <c r="E24" s="15">
        <v>1629758</v>
      </c>
      <c r="F24" s="187">
        <v>0.2</v>
      </c>
      <c r="G24" s="79">
        <f t="shared" si="0"/>
        <v>65190.320000000007</v>
      </c>
      <c r="H24" s="15"/>
    </row>
    <row r="25" spans="1:8" ht="62.4">
      <c r="A25" s="77">
        <v>9</v>
      </c>
      <c r="B25" s="78" t="s">
        <v>2315</v>
      </c>
      <c r="C25" s="14" t="s">
        <v>1755</v>
      </c>
      <c r="D25" s="132">
        <f>(9.44/6)*(2.3*4+1.5)</f>
        <v>16.834666666666664</v>
      </c>
      <c r="E25" s="15">
        <v>19900</v>
      </c>
      <c r="F25" s="187">
        <v>0.2</v>
      </c>
      <c r="G25" s="79">
        <f t="shared" si="0"/>
        <v>67001.973333333313</v>
      </c>
      <c r="H25" s="15"/>
    </row>
    <row r="26" spans="1:8" ht="46.8">
      <c r="A26" s="77">
        <v>10</v>
      </c>
      <c r="B26" s="78" t="s">
        <v>2316</v>
      </c>
      <c r="C26" s="14" t="s">
        <v>1755</v>
      </c>
      <c r="D26" s="132">
        <f>(19.61/6)*3.1</f>
        <v>10.131833333333333</v>
      </c>
      <c r="E26" s="15">
        <v>19900</v>
      </c>
      <c r="F26" s="187">
        <v>0.2</v>
      </c>
      <c r="G26" s="79">
        <f t="shared" si="0"/>
        <v>40324.69666666667</v>
      </c>
      <c r="H26" s="15"/>
    </row>
    <row r="27" spans="1:8" ht="24" customHeight="1">
      <c r="A27" s="75" t="s">
        <v>19</v>
      </c>
      <c r="B27" s="426" t="s">
        <v>1727</v>
      </c>
      <c r="C27" s="426"/>
      <c r="D27" s="426"/>
      <c r="E27" s="426"/>
      <c r="F27" s="426"/>
      <c r="G27" s="76">
        <f>SUM(G28:G28)</f>
        <v>0</v>
      </c>
      <c r="H27" s="11"/>
    </row>
    <row r="28" spans="1:8" ht="30.6" customHeight="1">
      <c r="A28" s="77"/>
      <c r="B28" s="78" t="s">
        <v>1728</v>
      </c>
      <c r="C28" s="13"/>
      <c r="D28" s="13"/>
      <c r="E28" s="13"/>
      <c r="F28" s="13"/>
      <c r="G28" s="79"/>
      <c r="H28" s="15"/>
    </row>
    <row r="29" spans="1:8" ht="15.6">
      <c r="A29" s="80"/>
      <c r="B29" s="427" t="s">
        <v>62</v>
      </c>
      <c r="C29" s="428"/>
      <c r="D29" s="428"/>
      <c r="E29" s="428"/>
      <c r="F29" s="429"/>
      <c r="G29" s="81">
        <f>G13+G15+G27</f>
        <v>15582312.713199999</v>
      </c>
      <c r="H29" s="82"/>
    </row>
    <row r="30" spans="1:8" ht="15.6">
      <c r="A30" s="80"/>
      <c r="B30" s="427" t="s">
        <v>1726</v>
      </c>
      <c r="C30" s="428"/>
      <c r="D30" s="428"/>
      <c r="E30" s="428"/>
      <c r="F30" s="429"/>
      <c r="G30" s="81">
        <f>ROUND(G29,-3)</f>
        <v>15582000</v>
      </c>
      <c r="H30" s="82"/>
    </row>
    <row r="31" spans="1:8" ht="15.6">
      <c r="A31" s="430" t="str">
        <f>[18]!uni(G30)</f>
        <v xml:space="preserve">Mười lăm triệu năm trăm tám mươi hai nghìn đồng </v>
      </c>
      <c r="B31" s="431"/>
      <c r="C31" s="431"/>
      <c r="D31" s="431"/>
      <c r="E31" s="431"/>
      <c r="F31" s="431"/>
      <c r="G31" s="431"/>
      <c r="H31" s="432"/>
    </row>
    <row r="32" spans="1:8">
      <c r="A32" s="17"/>
      <c r="B32" s="17"/>
      <c r="C32" s="97"/>
      <c r="D32" s="20"/>
      <c r="E32" s="19"/>
      <c r="F32" s="97"/>
      <c r="G32" s="19"/>
      <c r="H32" s="17"/>
    </row>
    <row r="33" spans="1:8" s="109" customFormat="1" ht="16.5" customHeight="1">
      <c r="A33" s="108"/>
      <c r="B33" s="108"/>
      <c r="C33" s="424" t="s">
        <v>1742</v>
      </c>
      <c r="D33" s="424"/>
      <c r="E33" s="424"/>
      <c r="F33" s="424"/>
      <c r="G33" s="424"/>
      <c r="H33" s="424"/>
    </row>
    <row r="34" spans="1:8" s="109" customFormat="1" ht="16.5" customHeight="1">
      <c r="A34" s="423" t="s">
        <v>63</v>
      </c>
      <c r="B34" s="423"/>
      <c r="C34" s="424" t="s">
        <v>1743</v>
      </c>
      <c r="D34" s="424"/>
      <c r="E34" s="424"/>
      <c r="F34" s="424" t="s">
        <v>1744</v>
      </c>
      <c r="G34" s="424"/>
      <c r="H34" s="424"/>
    </row>
    <row r="35" spans="1:8" s="109" customFormat="1" ht="15.6">
      <c r="A35" s="108"/>
      <c r="B35" s="108"/>
      <c r="C35" s="108"/>
      <c r="D35" s="110"/>
      <c r="E35" s="111"/>
      <c r="F35" s="112"/>
      <c r="G35" s="111"/>
      <c r="H35" s="113"/>
    </row>
    <row r="36" spans="1:8" s="109" customFormat="1" ht="15.6">
      <c r="A36" s="108"/>
      <c r="B36" s="108"/>
      <c r="C36" s="108"/>
      <c r="D36" s="110"/>
      <c r="E36" s="111"/>
      <c r="F36" s="112"/>
      <c r="G36" s="114"/>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6.5" customHeight="1">
      <c r="A40" s="108"/>
      <c r="B40" s="198" t="s">
        <v>64</v>
      </c>
      <c r="C40" s="424"/>
      <c r="D40" s="424"/>
      <c r="E40" s="424"/>
      <c r="F40" s="424" t="s">
        <v>1745</v>
      </c>
      <c r="G40" s="424"/>
      <c r="H40" s="424"/>
    </row>
    <row r="41" spans="1:8" s="109" customFormat="1" ht="15.6">
      <c r="A41" s="108"/>
      <c r="B41" s="198"/>
      <c r="C41" s="199"/>
      <c r="D41" s="199"/>
      <c r="E41" s="199"/>
      <c r="F41" s="199"/>
      <c r="G41" s="199"/>
      <c r="H41" s="199"/>
    </row>
    <row r="42" spans="1:8" s="109" customFormat="1" ht="15" customHeight="1">
      <c r="A42" s="424" t="s">
        <v>1746</v>
      </c>
      <c r="B42" s="424"/>
      <c r="C42" s="424"/>
      <c r="D42" s="424"/>
      <c r="E42" s="424" t="s">
        <v>1747</v>
      </c>
      <c r="F42" s="424"/>
      <c r="G42" s="424"/>
      <c r="H42" s="424"/>
    </row>
    <row r="43" spans="1:8" s="109" customFormat="1" ht="33.6" customHeight="1">
      <c r="A43" s="424" t="s">
        <v>1748</v>
      </c>
      <c r="B43" s="424"/>
      <c r="C43" s="424"/>
      <c r="D43" s="424"/>
      <c r="E43" s="424" t="s">
        <v>65</v>
      </c>
      <c r="F43" s="424"/>
      <c r="G43" s="424"/>
      <c r="H43" s="424"/>
    </row>
    <row r="44" spans="1:8" s="109" customFormat="1" ht="15.6">
      <c r="A44" s="108"/>
      <c r="B44" s="108"/>
      <c r="C44" s="108"/>
      <c r="D44" s="110"/>
      <c r="E44" s="111"/>
      <c r="F44" s="112"/>
      <c r="G44" s="111"/>
      <c r="H44" s="113"/>
    </row>
    <row r="45" spans="1:8" s="109" customFormat="1" ht="15.6">
      <c r="A45" s="108"/>
      <c r="B45" s="108"/>
      <c r="C45" s="108"/>
      <c r="D45" s="110"/>
      <c r="E45" s="111"/>
      <c r="F45" s="112"/>
      <c r="G45" s="111"/>
      <c r="H45" s="113"/>
    </row>
    <row r="46" spans="1:8" s="109" customFormat="1" ht="15.6">
      <c r="A46" s="108"/>
      <c r="B46" s="108"/>
      <c r="C46" s="108"/>
      <c r="D46" s="110"/>
      <c r="E46" s="111"/>
      <c r="F46" s="112"/>
      <c r="G46" s="111"/>
      <c r="H46" s="113"/>
    </row>
    <row r="47" spans="1:8" s="109" customFormat="1" ht="15.6">
      <c r="A47" s="108"/>
      <c r="B47" s="108"/>
      <c r="C47" s="108"/>
      <c r="D47" s="110"/>
      <c r="E47" s="111"/>
      <c r="F47" s="112"/>
      <c r="G47" s="111"/>
      <c r="H47" s="113"/>
    </row>
    <row r="48" spans="1:8" s="109" customFormat="1" ht="15.6">
      <c r="A48" s="108"/>
      <c r="B48" s="108"/>
      <c r="C48" s="108"/>
      <c r="D48" s="110"/>
      <c r="E48" s="111"/>
      <c r="F48" s="112"/>
      <c r="G48" s="111"/>
      <c r="H48" s="113"/>
    </row>
    <row r="49" spans="1:8" s="109" customFormat="1" ht="15.6" customHeight="1">
      <c r="A49" s="108"/>
      <c r="B49" s="108"/>
      <c r="C49" s="108"/>
      <c r="D49" s="115"/>
      <c r="E49" s="439" t="s">
        <v>1749</v>
      </c>
      <c r="F49" s="439"/>
      <c r="G49" s="439"/>
      <c r="H49" s="439"/>
    </row>
    <row r="50" spans="1:8" s="109" customFormat="1" ht="16.5" customHeight="1">
      <c r="A50" s="424" t="s">
        <v>1751</v>
      </c>
      <c r="B50" s="424"/>
      <c r="C50" s="424"/>
      <c r="D50" s="424"/>
      <c r="E50" s="424" t="s">
        <v>1750</v>
      </c>
      <c r="F50" s="424"/>
      <c r="G50" s="424"/>
      <c r="H50" s="424"/>
    </row>
    <row r="51" spans="1:8" s="118" customFormat="1" ht="16.2" customHeight="1">
      <c r="A51" s="436"/>
      <c r="B51" s="436"/>
      <c r="C51" s="273"/>
      <c r="D51" s="274"/>
      <c r="E51" s="436"/>
      <c r="F51" s="436"/>
      <c r="G51" s="436"/>
      <c r="H51" s="436"/>
    </row>
    <row r="52" spans="1:8" s="118" customFormat="1" ht="15.75" customHeight="1">
      <c r="A52" s="436"/>
      <c r="B52" s="436"/>
      <c r="C52" s="436"/>
      <c r="D52" s="436"/>
      <c r="E52" s="436"/>
      <c r="F52" s="436"/>
      <c r="G52" s="436"/>
      <c r="H52" s="436"/>
    </row>
    <row r="53" spans="1:8" s="98" customFormat="1" ht="16.2" customHeight="1">
      <c r="A53" s="436"/>
      <c r="B53" s="436"/>
      <c r="C53" s="436"/>
      <c r="D53" s="436"/>
      <c r="E53" s="119"/>
      <c r="F53" s="120"/>
      <c r="G53" s="119"/>
      <c r="H53" s="121"/>
    </row>
    <row r="54" spans="1:8" s="98" customFormat="1" ht="16.2" customHeight="1">
      <c r="A54" s="436"/>
      <c r="B54" s="436"/>
      <c r="C54" s="436"/>
      <c r="D54" s="436"/>
      <c r="E54" s="119"/>
      <c r="F54" s="120"/>
      <c r="G54" s="119"/>
      <c r="H54" s="121"/>
    </row>
    <row r="55" spans="1:8" s="98" customFormat="1" ht="16.2" customHeight="1">
      <c r="A55" s="121"/>
      <c r="B55" s="121"/>
      <c r="C55" s="121"/>
      <c r="D55" s="122"/>
      <c r="E55" s="119"/>
      <c r="F55" s="120"/>
      <c r="G55" s="119"/>
      <c r="H55" s="121"/>
    </row>
    <row r="56" spans="1:8" ht="16.2" customHeight="1">
      <c r="A56" s="83"/>
      <c r="B56" s="83"/>
      <c r="C56" s="83"/>
      <c r="D56" s="84"/>
      <c r="E56" s="85"/>
      <c r="F56" s="86"/>
      <c r="G56" s="85"/>
      <c r="H56" s="83"/>
    </row>
    <row r="57" spans="1:8" ht="16.2" customHeight="1">
      <c r="A57" s="83"/>
      <c r="B57" s="83"/>
      <c r="C57" s="83"/>
      <c r="D57" s="84"/>
      <c r="E57" s="85"/>
      <c r="F57" s="86"/>
      <c r="G57" s="85"/>
      <c r="H57" s="83"/>
    </row>
    <row r="58" spans="1:8" ht="16.2" customHeight="1">
      <c r="A58" s="83"/>
      <c r="B58" s="83"/>
      <c r="C58" s="83"/>
      <c r="D58" s="84"/>
      <c r="E58" s="85"/>
      <c r="F58" s="86"/>
      <c r="G58" s="85"/>
      <c r="H58" s="83"/>
    </row>
    <row r="59" spans="1:8" ht="16.2" customHeight="1">
      <c r="A59" s="83"/>
      <c r="B59" s="83"/>
      <c r="C59" s="83"/>
      <c r="D59" s="84"/>
      <c r="E59" s="437"/>
      <c r="F59" s="437"/>
      <c r="G59" s="437"/>
      <c r="H59" s="437"/>
    </row>
    <row r="60" spans="1:8" ht="20.25" customHeight="1">
      <c r="A60" s="438"/>
      <c r="B60" s="438"/>
      <c r="C60" s="438"/>
      <c r="D60" s="438"/>
      <c r="E60" s="438"/>
      <c r="F60" s="438"/>
      <c r="G60" s="438"/>
      <c r="H60" s="438"/>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D73" s="18"/>
      <c r="E73" s="19"/>
      <c r="F73" s="97"/>
      <c r="G73" s="19"/>
    </row>
    <row r="74" spans="3:7" s="17" customFormat="1" ht="16.2" customHeight="1">
      <c r="D74" s="18"/>
      <c r="E74" s="19"/>
      <c r="F74" s="97"/>
      <c r="G74" s="19"/>
    </row>
    <row r="75" spans="3:7" s="17" customFormat="1" ht="16.2" customHeight="1">
      <c r="D75" s="18"/>
      <c r="E75" s="19"/>
      <c r="F75" s="97"/>
      <c r="G75" s="19"/>
    </row>
    <row r="76" spans="3:7" s="17" customFormat="1" ht="16.2" customHeight="1">
      <c r="D76" s="18"/>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s="17" customFormat="1" ht="16.2" customHeight="1">
      <c r="C87" s="97"/>
      <c r="D87" s="20"/>
      <c r="E87" s="19"/>
      <c r="F87" s="97"/>
      <c r="G87" s="19"/>
    </row>
    <row r="88" spans="3:7" s="17" customFormat="1" ht="16.2" customHeight="1">
      <c r="C88" s="97"/>
      <c r="D88" s="20"/>
      <c r="E88" s="19"/>
      <c r="F88" s="97"/>
      <c r="G88" s="19"/>
    </row>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ht="16.2" customHeight="1"/>
    <row r="235"/>
    <row r="236"/>
    <row r="237"/>
    <row r="238"/>
    <row r="239"/>
    <row r="240"/>
    <row r="241"/>
    <row r="242"/>
    <row r="243"/>
    <row r="244"/>
    <row r="245"/>
    <row r="246"/>
    <row r="247"/>
    <row r="248"/>
    <row r="249"/>
    <row r="250"/>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sheetData>
  <mergeCells count="40">
    <mergeCell ref="A4:B4"/>
    <mergeCell ref="C4:H4"/>
    <mergeCell ref="A1:B1"/>
    <mergeCell ref="C1:H1"/>
    <mergeCell ref="A2:B2"/>
    <mergeCell ref="C2:H2"/>
    <mergeCell ref="A3:B3"/>
    <mergeCell ref="A31:H31"/>
    <mergeCell ref="A6:H6"/>
    <mergeCell ref="A7:H7"/>
    <mergeCell ref="A8:H8"/>
    <mergeCell ref="A9:H9"/>
    <mergeCell ref="A10:H10"/>
    <mergeCell ref="A11:H11"/>
    <mergeCell ref="B13:F13"/>
    <mergeCell ref="B15:F15"/>
    <mergeCell ref="B27:F27"/>
    <mergeCell ref="B29:F29"/>
    <mergeCell ref="B30:F30"/>
    <mergeCell ref="A50:D50"/>
    <mergeCell ref="E50:H50"/>
    <mergeCell ref="C33:H33"/>
    <mergeCell ref="A34:B34"/>
    <mergeCell ref="C34:E34"/>
    <mergeCell ref="F34:H34"/>
    <mergeCell ref="C40:E40"/>
    <mergeCell ref="F40:H40"/>
    <mergeCell ref="A42:D42"/>
    <mergeCell ref="E42:H42"/>
    <mergeCell ref="A43:D43"/>
    <mergeCell ref="E43:H43"/>
    <mergeCell ref="E49:H49"/>
    <mergeCell ref="E59:H59"/>
    <mergeCell ref="A60:H60"/>
    <mergeCell ref="A51:B51"/>
    <mergeCell ref="E51:H51"/>
    <mergeCell ref="A52:D52"/>
    <mergeCell ref="E52:H52"/>
    <mergeCell ref="A53:D53"/>
    <mergeCell ref="A54:D54"/>
  </mergeCells>
  <dataValidations count="1">
    <dataValidation type="list" allowBlank="1" showInputMessage="1" showErrorMessage="1" sqref="WVJ983052:WVJ983069 B983052:B983069 IX983052:IX983069 ST983052:ST983069 ACP983052:ACP983069 AML983052:AML983069 AWH983052:AWH983069 BGD983052:BGD983069 BPZ983052:BPZ983069 BZV983052:BZV983069 CJR983052:CJR983069 CTN983052:CTN983069 DDJ983052:DDJ983069 DNF983052:DNF983069 DXB983052:DXB983069 EGX983052:EGX983069 EQT983052:EQT983069 FAP983052:FAP983069 FKL983052:FKL983069 FUH983052:FUH983069 GED983052:GED983069 GNZ983052:GNZ983069 GXV983052:GXV983069 HHR983052:HHR983069 HRN983052:HRN983069 IBJ983052:IBJ983069 ILF983052:ILF983069 IVB983052:IVB983069 JEX983052:JEX983069 JOT983052:JOT983069 JYP983052:JYP983069 KIL983052:KIL983069 KSH983052:KSH983069 LCD983052:LCD983069 LLZ983052:LLZ983069 LVV983052:LVV983069 MFR983052:MFR983069 MPN983052:MPN983069 MZJ983052:MZJ983069 NJF983052:NJF983069 NTB983052:NTB983069 OCX983052:OCX983069 OMT983052:OMT983069 OWP983052:OWP983069 PGL983052:PGL983069 PQH983052:PQH983069 QAD983052:QAD983069 QJZ983052:QJZ983069 QTV983052:QTV983069 RDR983052:RDR983069 RNN983052:RNN983069 RXJ983052:RXJ983069 SHF983052:SHF983069 SRB983052:SRB983069 TAX983052:TAX983069 TKT983052:TKT983069 TUP983052:TUP983069 UEL983052:UEL983069 UOH983052:UOH983069 UYD983052:UYD983069 VHZ983052:VHZ983069 VRV983052:VRV983069 WBR983052:WBR983069 WLN983052:WLN983069 B65548:B65565 IX65548:IX65565 ST65548:ST65565 ACP65548:ACP65565 AML65548:AML65565 AWH65548:AWH65565 BGD65548:BGD65565 BPZ65548:BPZ65565 BZV65548:BZV65565 CJR65548:CJR65565 CTN65548:CTN65565 DDJ65548:DDJ65565 DNF65548:DNF65565 DXB65548:DXB65565 EGX65548:EGX65565 EQT65548:EQT65565 FAP65548:FAP65565 FKL65548:FKL65565 FUH65548:FUH65565 GED65548:GED65565 GNZ65548:GNZ65565 GXV65548:GXV65565 HHR65548:HHR65565 HRN65548:HRN65565 IBJ65548:IBJ65565 ILF65548:ILF65565 IVB65548:IVB65565 JEX65548:JEX65565 JOT65548:JOT65565 JYP65548:JYP65565 KIL65548:KIL65565 KSH65548:KSH65565 LCD65548:LCD65565 LLZ65548:LLZ65565 LVV65548:LVV65565 MFR65548:MFR65565 MPN65548:MPN65565 MZJ65548:MZJ65565 NJF65548:NJF65565 NTB65548:NTB65565 OCX65548:OCX65565 OMT65548:OMT65565 OWP65548:OWP65565 PGL65548:PGL65565 PQH65548:PQH65565 QAD65548:QAD65565 QJZ65548:QJZ65565 QTV65548:QTV65565 RDR65548:RDR65565 RNN65548:RNN65565 RXJ65548:RXJ65565 SHF65548:SHF65565 SRB65548:SRB65565 TAX65548:TAX65565 TKT65548:TKT65565 TUP65548:TUP65565 UEL65548:UEL65565 UOH65548:UOH65565 UYD65548:UYD65565 VHZ65548:VHZ65565 VRV65548:VRV65565 WBR65548:WBR65565 WLN65548:WLN65565 WVJ65548:WVJ65565 B131084:B131101 IX131084:IX131101 ST131084:ST131101 ACP131084:ACP131101 AML131084:AML131101 AWH131084:AWH131101 BGD131084:BGD131101 BPZ131084:BPZ131101 BZV131084:BZV131101 CJR131084:CJR131101 CTN131084:CTN131101 DDJ131084:DDJ131101 DNF131084:DNF131101 DXB131084:DXB131101 EGX131084:EGX131101 EQT131084:EQT131101 FAP131084:FAP131101 FKL131084:FKL131101 FUH131084:FUH131101 GED131084:GED131101 GNZ131084:GNZ131101 GXV131084:GXV131101 HHR131084:HHR131101 HRN131084:HRN131101 IBJ131084:IBJ131101 ILF131084:ILF131101 IVB131084:IVB131101 JEX131084:JEX131101 JOT131084:JOT131101 JYP131084:JYP131101 KIL131084:KIL131101 KSH131084:KSH131101 LCD131084:LCD131101 LLZ131084:LLZ131101 LVV131084:LVV131101 MFR131084:MFR131101 MPN131084:MPN131101 MZJ131084:MZJ131101 NJF131084:NJF131101 NTB131084:NTB131101 OCX131084:OCX131101 OMT131084:OMT131101 OWP131084:OWP131101 PGL131084:PGL131101 PQH131084:PQH131101 QAD131084:QAD131101 QJZ131084:QJZ131101 QTV131084:QTV131101 RDR131084:RDR131101 RNN131084:RNN131101 RXJ131084:RXJ131101 SHF131084:SHF131101 SRB131084:SRB131101 TAX131084:TAX131101 TKT131084:TKT131101 TUP131084:TUP131101 UEL131084:UEL131101 UOH131084:UOH131101 UYD131084:UYD131101 VHZ131084:VHZ131101 VRV131084:VRV131101 WBR131084:WBR131101 WLN131084:WLN131101 WVJ131084:WVJ131101 B196620:B196637 IX196620:IX196637 ST196620:ST196637 ACP196620:ACP196637 AML196620:AML196637 AWH196620:AWH196637 BGD196620:BGD196637 BPZ196620:BPZ196637 BZV196620:BZV196637 CJR196620:CJR196637 CTN196620:CTN196637 DDJ196620:DDJ196637 DNF196620:DNF196637 DXB196620:DXB196637 EGX196620:EGX196637 EQT196620:EQT196637 FAP196620:FAP196637 FKL196620:FKL196637 FUH196620:FUH196637 GED196620:GED196637 GNZ196620:GNZ196637 GXV196620:GXV196637 HHR196620:HHR196637 HRN196620:HRN196637 IBJ196620:IBJ196637 ILF196620:ILF196637 IVB196620:IVB196637 JEX196620:JEX196637 JOT196620:JOT196637 JYP196620:JYP196637 KIL196620:KIL196637 KSH196620:KSH196637 LCD196620:LCD196637 LLZ196620:LLZ196637 LVV196620:LVV196637 MFR196620:MFR196637 MPN196620:MPN196637 MZJ196620:MZJ196637 NJF196620:NJF196637 NTB196620:NTB196637 OCX196620:OCX196637 OMT196620:OMT196637 OWP196620:OWP196637 PGL196620:PGL196637 PQH196620:PQH196637 QAD196620:QAD196637 QJZ196620:QJZ196637 QTV196620:QTV196637 RDR196620:RDR196637 RNN196620:RNN196637 RXJ196620:RXJ196637 SHF196620:SHF196637 SRB196620:SRB196637 TAX196620:TAX196637 TKT196620:TKT196637 TUP196620:TUP196637 UEL196620:UEL196637 UOH196620:UOH196637 UYD196620:UYD196637 VHZ196620:VHZ196637 VRV196620:VRV196637 WBR196620:WBR196637 WLN196620:WLN196637 WVJ196620:WVJ196637 B262156:B262173 IX262156:IX262173 ST262156:ST262173 ACP262156:ACP262173 AML262156:AML262173 AWH262156:AWH262173 BGD262156:BGD262173 BPZ262156:BPZ262173 BZV262156:BZV262173 CJR262156:CJR262173 CTN262156:CTN262173 DDJ262156:DDJ262173 DNF262156:DNF262173 DXB262156:DXB262173 EGX262156:EGX262173 EQT262156:EQT262173 FAP262156:FAP262173 FKL262156:FKL262173 FUH262156:FUH262173 GED262156:GED262173 GNZ262156:GNZ262173 GXV262156:GXV262173 HHR262156:HHR262173 HRN262156:HRN262173 IBJ262156:IBJ262173 ILF262156:ILF262173 IVB262156:IVB262173 JEX262156:JEX262173 JOT262156:JOT262173 JYP262156:JYP262173 KIL262156:KIL262173 KSH262156:KSH262173 LCD262156:LCD262173 LLZ262156:LLZ262173 LVV262156:LVV262173 MFR262156:MFR262173 MPN262156:MPN262173 MZJ262156:MZJ262173 NJF262156:NJF262173 NTB262156:NTB262173 OCX262156:OCX262173 OMT262156:OMT262173 OWP262156:OWP262173 PGL262156:PGL262173 PQH262156:PQH262173 QAD262156:QAD262173 QJZ262156:QJZ262173 QTV262156:QTV262173 RDR262156:RDR262173 RNN262156:RNN262173 RXJ262156:RXJ262173 SHF262156:SHF262173 SRB262156:SRB262173 TAX262156:TAX262173 TKT262156:TKT262173 TUP262156:TUP262173 UEL262156:UEL262173 UOH262156:UOH262173 UYD262156:UYD262173 VHZ262156:VHZ262173 VRV262156:VRV262173 WBR262156:WBR262173 WLN262156:WLN262173 WVJ262156:WVJ262173 B327692:B327709 IX327692:IX327709 ST327692:ST327709 ACP327692:ACP327709 AML327692:AML327709 AWH327692:AWH327709 BGD327692:BGD327709 BPZ327692:BPZ327709 BZV327692:BZV327709 CJR327692:CJR327709 CTN327692:CTN327709 DDJ327692:DDJ327709 DNF327692:DNF327709 DXB327692:DXB327709 EGX327692:EGX327709 EQT327692:EQT327709 FAP327692:FAP327709 FKL327692:FKL327709 FUH327692:FUH327709 GED327692:GED327709 GNZ327692:GNZ327709 GXV327692:GXV327709 HHR327692:HHR327709 HRN327692:HRN327709 IBJ327692:IBJ327709 ILF327692:ILF327709 IVB327692:IVB327709 JEX327692:JEX327709 JOT327692:JOT327709 JYP327692:JYP327709 KIL327692:KIL327709 KSH327692:KSH327709 LCD327692:LCD327709 LLZ327692:LLZ327709 LVV327692:LVV327709 MFR327692:MFR327709 MPN327692:MPN327709 MZJ327692:MZJ327709 NJF327692:NJF327709 NTB327692:NTB327709 OCX327692:OCX327709 OMT327692:OMT327709 OWP327692:OWP327709 PGL327692:PGL327709 PQH327692:PQH327709 QAD327692:QAD327709 QJZ327692:QJZ327709 QTV327692:QTV327709 RDR327692:RDR327709 RNN327692:RNN327709 RXJ327692:RXJ327709 SHF327692:SHF327709 SRB327692:SRB327709 TAX327692:TAX327709 TKT327692:TKT327709 TUP327692:TUP327709 UEL327692:UEL327709 UOH327692:UOH327709 UYD327692:UYD327709 VHZ327692:VHZ327709 VRV327692:VRV327709 WBR327692:WBR327709 WLN327692:WLN327709 WVJ327692:WVJ327709 B393228:B393245 IX393228:IX393245 ST393228:ST393245 ACP393228:ACP393245 AML393228:AML393245 AWH393228:AWH393245 BGD393228:BGD393245 BPZ393228:BPZ393245 BZV393228:BZV393245 CJR393228:CJR393245 CTN393228:CTN393245 DDJ393228:DDJ393245 DNF393228:DNF393245 DXB393228:DXB393245 EGX393228:EGX393245 EQT393228:EQT393245 FAP393228:FAP393245 FKL393228:FKL393245 FUH393228:FUH393245 GED393228:GED393245 GNZ393228:GNZ393245 GXV393228:GXV393245 HHR393228:HHR393245 HRN393228:HRN393245 IBJ393228:IBJ393245 ILF393228:ILF393245 IVB393228:IVB393245 JEX393228:JEX393245 JOT393228:JOT393245 JYP393228:JYP393245 KIL393228:KIL393245 KSH393228:KSH393245 LCD393228:LCD393245 LLZ393228:LLZ393245 LVV393228:LVV393245 MFR393228:MFR393245 MPN393228:MPN393245 MZJ393228:MZJ393245 NJF393228:NJF393245 NTB393228:NTB393245 OCX393228:OCX393245 OMT393228:OMT393245 OWP393228:OWP393245 PGL393228:PGL393245 PQH393228:PQH393245 QAD393228:QAD393245 QJZ393228:QJZ393245 QTV393228:QTV393245 RDR393228:RDR393245 RNN393228:RNN393245 RXJ393228:RXJ393245 SHF393228:SHF393245 SRB393228:SRB393245 TAX393228:TAX393245 TKT393228:TKT393245 TUP393228:TUP393245 UEL393228:UEL393245 UOH393228:UOH393245 UYD393228:UYD393245 VHZ393228:VHZ393245 VRV393228:VRV393245 WBR393228:WBR393245 WLN393228:WLN393245 WVJ393228:WVJ393245 B458764:B458781 IX458764:IX458781 ST458764:ST458781 ACP458764:ACP458781 AML458764:AML458781 AWH458764:AWH458781 BGD458764:BGD458781 BPZ458764:BPZ458781 BZV458764:BZV458781 CJR458764:CJR458781 CTN458764:CTN458781 DDJ458764:DDJ458781 DNF458764:DNF458781 DXB458764:DXB458781 EGX458764:EGX458781 EQT458764:EQT458781 FAP458764:FAP458781 FKL458764:FKL458781 FUH458764:FUH458781 GED458764:GED458781 GNZ458764:GNZ458781 GXV458764:GXV458781 HHR458764:HHR458781 HRN458764:HRN458781 IBJ458764:IBJ458781 ILF458764:ILF458781 IVB458764:IVB458781 JEX458764:JEX458781 JOT458764:JOT458781 JYP458764:JYP458781 KIL458764:KIL458781 KSH458764:KSH458781 LCD458764:LCD458781 LLZ458764:LLZ458781 LVV458764:LVV458781 MFR458764:MFR458781 MPN458764:MPN458781 MZJ458764:MZJ458781 NJF458764:NJF458781 NTB458764:NTB458781 OCX458764:OCX458781 OMT458764:OMT458781 OWP458764:OWP458781 PGL458764:PGL458781 PQH458764:PQH458781 QAD458764:QAD458781 QJZ458764:QJZ458781 QTV458764:QTV458781 RDR458764:RDR458781 RNN458764:RNN458781 RXJ458764:RXJ458781 SHF458764:SHF458781 SRB458764:SRB458781 TAX458764:TAX458781 TKT458764:TKT458781 TUP458764:TUP458781 UEL458764:UEL458781 UOH458764:UOH458781 UYD458764:UYD458781 VHZ458764:VHZ458781 VRV458764:VRV458781 WBR458764:WBR458781 WLN458764:WLN458781 WVJ458764:WVJ458781 B524300:B524317 IX524300:IX524317 ST524300:ST524317 ACP524300:ACP524317 AML524300:AML524317 AWH524300:AWH524317 BGD524300:BGD524317 BPZ524300:BPZ524317 BZV524300:BZV524317 CJR524300:CJR524317 CTN524300:CTN524317 DDJ524300:DDJ524317 DNF524300:DNF524317 DXB524300:DXB524317 EGX524300:EGX524317 EQT524300:EQT524317 FAP524300:FAP524317 FKL524300:FKL524317 FUH524300:FUH524317 GED524300:GED524317 GNZ524300:GNZ524317 GXV524300:GXV524317 HHR524300:HHR524317 HRN524300:HRN524317 IBJ524300:IBJ524317 ILF524300:ILF524317 IVB524300:IVB524317 JEX524300:JEX524317 JOT524300:JOT524317 JYP524300:JYP524317 KIL524300:KIL524317 KSH524300:KSH524317 LCD524300:LCD524317 LLZ524300:LLZ524317 LVV524300:LVV524317 MFR524300:MFR524317 MPN524300:MPN524317 MZJ524300:MZJ524317 NJF524300:NJF524317 NTB524300:NTB524317 OCX524300:OCX524317 OMT524300:OMT524317 OWP524300:OWP524317 PGL524300:PGL524317 PQH524300:PQH524317 QAD524300:QAD524317 QJZ524300:QJZ524317 QTV524300:QTV524317 RDR524300:RDR524317 RNN524300:RNN524317 RXJ524300:RXJ524317 SHF524300:SHF524317 SRB524300:SRB524317 TAX524300:TAX524317 TKT524300:TKT524317 TUP524300:TUP524317 UEL524300:UEL524317 UOH524300:UOH524317 UYD524300:UYD524317 VHZ524300:VHZ524317 VRV524300:VRV524317 WBR524300:WBR524317 WLN524300:WLN524317 WVJ524300:WVJ524317 B589836:B589853 IX589836:IX589853 ST589836:ST589853 ACP589836:ACP589853 AML589836:AML589853 AWH589836:AWH589853 BGD589836:BGD589853 BPZ589836:BPZ589853 BZV589836:BZV589853 CJR589836:CJR589853 CTN589836:CTN589853 DDJ589836:DDJ589853 DNF589836:DNF589853 DXB589836:DXB589853 EGX589836:EGX589853 EQT589836:EQT589853 FAP589836:FAP589853 FKL589836:FKL589853 FUH589836:FUH589853 GED589836:GED589853 GNZ589836:GNZ589853 GXV589836:GXV589853 HHR589836:HHR589853 HRN589836:HRN589853 IBJ589836:IBJ589853 ILF589836:ILF589853 IVB589836:IVB589853 JEX589836:JEX589853 JOT589836:JOT589853 JYP589836:JYP589853 KIL589836:KIL589853 KSH589836:KSH589853 LCD589836:LCD589853 LLZ589836:LLZ589853 LVV589836:LVV589853 MFR589836:MFR589853 MPN589836:MPN589853 MZJ589836:MZJ589853 NJF589836:NJF589853 NTB589836:NTB589853 OCX589836:OCX589853 OMT589836:OMT589853 OWP589836:OWP589853 PGL589836:PGL589853 PQH589836:PQH589853 QAD589836:QAD589853 QJZ589836:QJZ589853 QTV589836:QTV589853 RDR589836:RDR589853 RNN589836:RNN589853 RXJ589836:RXJ589853 SHF589836:SHF589853 SRB589836:SRB589853 TAX589836:TAX589853 TKT589836:TKT589853 TUP589836:TUP589853 UEL589836:UEL589853 UOH589836:UOH589853 UYD589836:UYD589853 VHZ589836:VHZ589853 VRV589836:VRV589853 WBR589836:WBR589853 WLN589836:WLN589853 WVJ589836:WVJ589853 B655372:B655389 IX655372:IX655389 ST655372:ST655389 ACP655372:ACP655389 AML655372:AML655389 AWH655372:AWH655389 BGD655372:BGD655389 BPZ655372:BPZ655389 BZV655372:BZV655389 CJR655372:CJR655389 CTN655372:CTN655389 DDJ655372:DDJ655389 DNF655372:DNF655389 DXB655372:DXB655389 EGX655372:EGX655389 EQT655372:EQT655389 FAP655372:FAP655389 FKL655372:FKL655389 FUH655372:FUH655389 GED655372:GED655389 GNZ655372:GNZ655389 GXV655372:GXV655389 HHR655372:HHR655389 HRN655372:HRN655389 IBJ655372:IBJ655389 ILF655372:ILF655389 IVB655372:IVB655389 JEX655372:JEX655389 JOT655372:JOT655389 JYP655372:JYP655389 KIL655372:KIL655389 KSH655372:KSH655389 LCD655372:LCD655389 LLZ655372:LLZ655389 LVV655372:LVV655389 MFR655372:MFR655389 MPN655372:MPN655389 MZJ655372:MZJ655389 NJF655372:NJF655389 NTB655372:NTB655389 OCX655372:OCX655389 OMT655372:OMT655389 OWP655372:OWP655389 PGL655372:PGL655389 PQH655372:PQH655389 QAD655372:QAD655389 QJZ655372:QJZ655389 QTV655372:QTV655389 RDR655372:RDR655389 RNN655372:RNN655389 RXJ655372:RXJ655389 SHF655372:SHF655389 SRB655372:SRB655389 TAX655372:TAX655389 TKT655372:TKT655389 TUP655372:TUP655389 UEL655372:UEL655389 UOH655372:UOH655389 UYD655372:UYD655389 VHZ655372:VHZ655389 VRV655372:VRV655389 WBR655372:WBR655389 WLN655372:WLN655389 WVJ655372:WVJ655389 B720908:B720925 IX720908:IX720925 ST720908:ST720925 ACP720908:ACP720925 AML720908:AML720925 AWH720908:AWH720925 BGD720908:BGD720925 BPZ720908:BPZ720925 BZV720908:BZV720925 CJR720908:CJR720925 CTN720908:CTN720925 DDJ720908:DDJ720925 DNF720908:DNF720925 DXB720908:DXB720925 EGX720908:EGX720925 EQT720908:EQT720925 FAP720908:FAP720925 FKL720908:FKL720925 FUH720908:FUH720925 GED720908:GED720925 GNZ720908:GNZ720925 GXV720908:GXV720925 HHR720908:HHR720925 HRN720908:HRN720925 IBJ720908:IBJ720925 ILF720908:ILF720925 IVB720908:IVB720925 JEX720908:JEX720925 JOT720908:JOT720925 JYP720908:JYP720925 KIL720908:KIL720925 KSH720908:KSH720925 LCD720908:LCD720925 LLZ720908:LLZ720925 LVV720908:LVV720925 MFR720908:MFR720925 MPN720908:MPN720925 MZJ720908:MZJ720925 NJF720908:NJF720925 NTB720908:NTB720925 OCX720908:OCX720925 OMT720908:OMT720925 OWP720908:OWP720925 PGL720908:PGL720925 PQH720908:PQH720925 QAD720908:QAD720925 QJZ720908:QJZ720925 QTV720908:QTV720925 RDR720908:RDR720925 RNN720908:RNN720925 RXJ720908:RXJ720925 SHF720908:SHF720925 SRB720908:SRB720925 TAX720908:TAX720925 TKT720908:TKT720925 TUP720908:TUP720925 UEL720908:UEL720925 UOH720908:UOH720925 UYD720908:UYD720925 VHZ720908:VHZ720925 VRV720908:VRV720925 WBR720908:WBR720925 WLN720908:WLN720925 WVJ720908:WVJ720925 B786444:B786461 IX786444:IX786461 ST786444:ST786461 ACP786444:ACP786461 AML786444:AML786461 AWH786444:AWH786461 BGD786444:BGD786461 BPZ786444:BPZ786461 BZV786444:BZV786461 CJR786444:CJR786461 CTN786444:CTN786461 DDJ786444:DDJ786461 DNF786444:DNF786461 DXB786444:DXB786461 EGX786444:EGX786461 EQT786444:EQT786461 FAP786444:FAP786461 FKL786444:FKL786461 FUH786444:FUH786461 GED786444:GED786461 GNZ786444:GNZ786461 GXV786444:GXV786461 HHR786444:HHR786461 HRN786444:HRN786461 IBJ786444:IBJ786461 ILF786444:ILF786461 IVB786444:IVB786461 JEX786444:JEX786461 JOT786444:JOT786461 JYP786444:JYP786461 KIL786444:KIL786461 KSH786444:KSH786461 LCD786444:LCD786461 LLZ786444:LLZ786461 LVV786444:LVV786461 MFR786444:MFR786461 MPN786444:MPN786461 MZJ786444:MZJ786461 NJF786444:NJF786461 NTB786444:NTB786461 OCX786444:OCX786461 OMT786444:OMT786461 OWP786444:OWP786461 PGL786444:PGL786461 PQH786444:PQH786461 QAD786444:QAD786461 QJZ786444:QJZ786461 QTV786444:QTV786461 RDR786444:RDR786461 RNN786444:RNN786461 RXJ786444:RXJ786461 SHF786444:SHF786461 SRB786444:SRB786461 TAX786444:TAX786461 TKT786444:TKT786461 TUP786444:TUP786461 UEL786444:UEL786461 UOH786444:UOH786461 UYD786444:UYD786461 VHZ786444:VHZ786461 VRV786444:VRV786461 WBR786444:WBR786461 WLN786444:WLN786461 WVJ786444:WVJ786461 B851980:B851997 IX851980:IX851997 ST851980:ST851997 ACP851980:ACP851997 AML851980:AML851997 AWH851980:AWH851997 BGD851980:BGD851997 BPZ851980:BPZ851997 BZV851980:BZV851997 CJR851980:CJR851997 CTN851980:CTN851997 DDJ851980:DDJ851997 DNF851980:DNF851997 DXB851980:DXB851997 EGX851980:EGX851997 EQT851980:EQT851997 FAP851980:FAP851997 FKL851980:FKL851997 FUH851980:FUH851997 GED851980:GED851997 GNZ851980:GNZ851997 GXV851980:GXV851997 HHR851980:HHR851997 HRN851980:HRN851997 IBJ851980:IBJ851997 ILF851980:ILF851997 IVB851980:IVB851997 JEX851980:JEX851997 JOT851980:JOT851997 JYP851980:JYP851997 KIL851980:KIL851997 KSH851980:KSH851997 LCD851980:LCD851997 LLZ851980:LLZ851997 LVV851980:LVV851997 MFR851980:MFR851997 MPN851980:MPN851997 MZJ851980:MZJ851997 NJF851980:NJF851997 NTB851980:NTB851997 OCX851980:OCX851997 OMT851980:OMT851997 OWP851980:OWP851997 PGL851980:PGL851997 PQH851980:PQH851997 QAD851980:QAD851997 QJZ851980:QJZ851997 QTV851980:QTV851997 RDR851980:RDR851997 RNN851980:RNN851997 RXJ851980:RXJ851997 SHF851980:SHF851997 SRB851980:SRB851997 TAX851980:TAX851997 TKT851980:TKT851997 TUP851980:TUP851997 UEL851980:UEL851997 UOH851980:UOH851997 UYD851980:UYD851997 VHZ851980:VHZ851997 VRV851980:VRV851997 WBR851980:WBR851997 WLN851980:WLN851997 WVJ851980:WVJ851997 B917516:B917533 IX917516:IX917533 ST917516:ST917533 ACP917516:ACP917533 AML917516:AML917533 AWH917516:AWH917533 BGD917516:BGD917533 BPZ917516:BPZ917533 BZV917516:BZV917533 CJR917516:CJR917533 CTN917516:CTN917533 DDJ917516:DDJ917533 DNF917516:DNF917533 DXB917516:DXB917533 EGX917516:EGX917533 EQT917516:EQT917533 FAP917516:FAP917533 FKL917516:FKL917533 FUH917516:FUH917533 GED917516:GED917533 GNZ917516:GNZ917533 GXV917516:GXV917533 HHR917516:HHR917533 HRN917516:HRN917533 IBJ917516:IBJ917533 ILF917516:ILF917533 IVB917516:IVB917533 JEX917516:JEX917533 JOT917516:JOT917533 JYP917516:JYP917533 KIL917516:KIL917533 KSH917516:KSH917533 LCD917516:LCD917533 LLZ917516:LLZ917533 LVV917516:LVV917533 MFR917516:MFR917533 MPN917516:MPN917533 MZJ917516:MZJ917533 NJF917516:NJF917533 NTB917516:NTB917533 OCX917516:OCX917533 OMT917516:OMT917533 OWP917516:OWP917533 PGL917516:PGL917533 PQH917516:PQH917533 QAD917516:QAD917533 QJZ917516:QJZ917533 QTV917516:QTV917533 RDR917516:RDR917533 RNN917516:RNN917533 RXJ917516:RXJ917533 SHF917516:SHF917533 SRB917516:SRB917533 TAX917516:TAX917533 TKT917516:TKT917533 TUP917516:TUP917533 UEL917516:UEL917533 UOH917516:UOH917533 UYD917516:UYD917533 VHZ917516:VHZ917533 VRV917516:VRV917533 WBR917516:WBR917533 WLN917516:WLN917533 WVJ917516:WVJ917533" xr:uid="{00000000-0002-0000-3900-000000000000}">
      <formula1>trung</formula1>
    </dataValidation>
  </dataValidation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H380"/>
  <sheetViews>
    <sheetView topLeftCell="A17" workbookViewId="0">
      <selection activeCell="C35" sqref="C35"/>
    </sheetView>
  </sheetViews>
  <sheetFormatPr defaultColWidth="36.09765625" defaultRowHeight="15" customHeight="1" zeroHeight="1"/>
  <cols>
    <col min="1" max="1" width="3.59765625" style="16" customWidth="1"/>
    <col min="2" max="2" width="22.8984375" style="16" customWidth="1"/>
    <col min="3" max="3" width="7.09765625" style="87" customWidth="1"/>
    <col min="4" max="4" width="7.8984375" style="88" customWidth="1"/>
    <col min="5" max="5" width="10.5" style="89" customWidth="1"/>
    <col min="6" max="6" width="7.5" style="87" customWidth="1"/>
    <col min="7" max="7" width="10.59765625" style="89" customWidth="1"/>
    <col min="8" max="8" width="9.5" style="16" customWidth="1"/>
    <col min="9" max="248" width="0" style="16" hidden="1" customWidth="1"/>
    <col min="249" max="249" width="8.09765625" style="16" customWidth="1"/>
    <col min="250" max="250" width="3" style="16" customWidth="1"/>
    <col min="251" max="251" width="5.5" style="16" customWidth="1"/>
    <col min="252" max="252" width="3.5" style="16" customWidth="1"/>
    <col min="253" max="253" width="7.5" style="16" customWidth="1"/>
    <col min="254" max="254" width="9.765625E-2" style="16" customWidth="1"/>
    <col min="255" max="255" width="0.5" style="16" customWidth="1"/>
    <col min="256" max="256" width="36.09765625" style="16"/>
    <col min="257" max="257" width="3.59765625" style="16" customWidth="1"/>
    <col min="258" max="258" width="22.8984375" style="16" customWidth="1"/>
    <col min="259" max="259" width="4.5" style="16" customWidth="1"/>
    <col min="260" max="260" width="5.5" style="16" customWidth="1"/>
    <col min="261" max="261" width="9.5" style="16" customWidth="1"/>
    <col min="262" max="262" width="5.19921875" style="16" customWidth="1"/>
    <col min="263" max="263" width="10.59765625" style="16" customWidth="1"/>
    <col min="264" max="264" width="7.59765625" style="16" customWidth="1"/>
    <col min="265" max="504" width="0" style="16" hidden="1" customWidth="1"/>
    <col min="505" max="505" width="8.09765625" style="16" customWidth="1"/>
    <col min="506" max="506" width="3" style="16" customWidth="1"/>
    <col min="507" max="507" width="5.5" style="16" customWidth="1"/>
    <col min="508" max="508" width="3.5" style="16" customWidth="1"/>
    <col min="509" max="509" width="7.5" style="16" customWidth="1"/>
    <col min="510" max="510" width="9.765625E-2" style="16" customWidth="1"/>
    <col min="511" max="511" width="0.5" style="16" customWidth="1"/>
    <col min="512" max="512" width="36.09765625" style="16"/>
    <col min="513" max="513" width="3.59765625" style="16" customWidth="1"/>
    <col min="514" max="514" width="22.8984375" style="16" customWidth="1"/>
    <col min="515" max="515" width="4.5" style="16" customWidth="1"/>
    <col min="516" max="516" width="5.5" style="16" customWidth="1"/>
    <col min="517" max="517" width="9.5" style="16" customWidth="1"/>
    <col min="518" max="518" width="5.19921875" style="16" customWidth="1"/>
    <col min="519" max="519" width="10.59765625" style="16" customWidth="1"/>
    <col min="520" max="520" width="7.59765625" style="16" customWidth="1"/>
    <col min="521" max="760" width="0" style="16" hidden="1" customWidth="1"/>
    <col min="761" max="761" width="8.09765625" style="16" customWidth="1"/>
    <col min="762" max="762" width="3" style="16" customWidth="1"/>
    <col min="763" max="763" width="5.5" style="16" customWidth="1"/>
    <col min="764" max="764" width="3.5" style="16" customWidth="1"/>
    <col min="765" max="765" width="7.5" style="16" customWidth="1"/>
    <col min="766" max="766" width="9.765625E-2" style="16" customWidth="1"/>
    <col min="767" max="767" width="0.5" style="16" customWidth="1"/>
    <col min="768" max="768" width="36.09765625" style="16"/>
    <col min="769" max="769" width="3.59765625" style="16" customWidth="1"/>
    <col min="770" max="770" width="22.8984375" style="16" customWidth="1"/>
    <col min="771" max="771" width="4.5" style="16" customWidth="1"/>
    <col min="772" max="772" width="5.5" style="16" customWidth="1"/>
    <col min="773" max="773" width="9.5" style="16" customWidth="1"/>
    <col min="774" max="774" width="5.19921875" style="16" customWidth="1"/>
    <col min="775" max="775" width="10.59765625" style="16" customWidth="1"/>
    <col min="776" max="776" width="7.59765625" style="16" customWidth="1"/>
    <col min="777" max="1016" width="0" style="16" hidden="1" customWidth="1"/>
    <col min="1017" max="1017" width="8.09765625" style="16" customWidth="1"/>
    <col min="1018" max="1018" width="3" style="16" customWidth="1"/>
    <col min="1019" max="1019" width="5.5" style="16" customWidth="1"/>
    <col min="1020" max="1020" width="3.5" style="16" customWidth="1"/>
    <col min="1021" max="1021" width="7.5" style="16" customWidth="1"/>
    <col min="1022" max="1022" width="9.765625E-2" style="16" customWidth="1"/>
    <col min="1023" max="1023" width="0.5" style="16" customWidth="1"/>
    <col min="1024" max="1024" width="36.09765625" style="16"/>
    <col min="1025" max="1025" width="3.59765625" style="16" customWidth="1"/>
    <col min="1026" max="1026" width="22.8984375" style="16" customWidth="1"/>
    <col min="1027" max="1027" width="4.5" style="16" customWidth="1"/>
    <col min="1028" max="1028" width="5.5" style="16" customWidth="1"/>
    <col min="1029" max="1029" width="9.5" style="16" customWidth="1"/>
    <col min="1030" max="1030" width="5.19921875" style="16" customWidth="1"/>
    <col min="1031" max="1031" width="10.59765625" style="16" customWidth="1"/>
    <col min="1032" max="1032" width="7.59765625" style="16" customWidth="1"/>
    <col min="1033" max="1272" width="0" style="16" hidden="1" customWidth="1"/>
    <col min="1273" max="1273" width="8.09765625" style="16" customWidth="1"/>
    <col min="1274" max="1274" width="3" style="16" customWidth="1"/>
    <col min="1275" max="1275" width="5.5" style="16" customWidth="1"/>
    <col min="1276" max="1276" width="3.5" style="16" customWidth="1"/>
    <col min="1277" max="1277" width="7.5" style="16" customWidth="1"/>
    <col min="1278" max="1278" width="9.765625E-2" style="16" customWidth="1"/>
    <col min="1279" max="1279" width="0.5" style="16" customWidth="1"/>
    <col min="1280" max="1280" width="36.09765625" style="16"/>
    <col min="1281" max="1281" width="3.59765625" style="16" customWidth="1"/>
    <col min="1282" max="1282" width="22.8984375" style="16" customWidth="1"/>
    <col min="1283" max="1283" width="4.5" style="16" customWidth="1"/>
    <col min="1284" max="1284" width="5.5" style="16" customWidth="1"/>
    <col min="1285" max="1285" width="9.5" style="16" customWidth="1"/>
    <col min="1286" max="1286" width="5.19921875" style="16" customWidth="1"/>
    <col min="1287" max="1287" width="10.59765625" style="16" customWidth="1"/>
    <col min="1288" max="1288" width="7.59765625" style="16" customWidth="1"/>
    <col min="1289" max="1528" width="0" style="16" hidden="1" customWidth="1"/>
    <col min="1529" max="1529" width="8.09765625" style="16" customWidth="1"/>
    <col min="1530" max="1530" width="3" style="16" customWidth="1"/>
    <col min="1531" max="1531" width="5.5" style="16" customWidth="1"/>
    <col min="1532" max="1532" width="3.5" style="16" customWidth="1"/>
    <col min="1533" max="1533" width="7.5" style="16" customWidth="1"/>
    <col min="1534" max="1534" width="9.765625E-2" style="16" customWidth="1"/>
    <col min="1535" max="1535" width="0.5" style="16" customWidth="1"/>
    <col min="1536" max="1536" width="36.09765625" style="16"/>
    <col min="1537" max="1537" width="3.59765625" style="16" customWidth="1"/>
    <col min="1538" max="1538" width="22.8984375" style="16" customWidth="1"/>
    <col min="1539" max="1539" width="4.5" style="16" customWidth="1"/>
    <col min="1540" max="1540" width="5.5" style="16" customWidth="1"/>
    <col min="1541" max="1541" width="9.5" style="16" customWidth="1"/>
    <col min="1542" max="1542" width="5.19921875" style="16" customWidth="1"/>
    <col min="1543" max="1543" width="10.59765625" style="16" customWidth="1"/>
    <col min="1544" max="1544" width="7.59765625" style="16" customWidth="1"/>
    <col min="1545" max="1784" width="0" style="16" hidden="1" customWidth="1"/>
    <col min="1785" max="1785" width="8.09765625" style="16" customWidth="1"/>
    <col min="1786" max="1786" width="3" style="16" customWidth="1"/>
    <col min="1787" max="1787" width="5.5" style="16" customWidth="1"/>
    <col min="1788" max="1788" width="3.5" style="16" customWidth="1"/>
    <col min="1789" max="1789" width="7.5" style="16" customWidth="1"/>
    <col min="1790" max="1790" width="9.765625E-2" style="16" customWidth="1"/>
    <col min="1791" max="1791" width="0.5" style="16" customWidth="1"/>
    <col min="1792" max="1792" width="36.09765625" style="16"/>
    <col min="1793" max="1793" width="3.59765625" style="16" customWidth="1"/>
    <col min="1794" max="1794" width="22.8984375" style="16" customWidth="1"/>
    <col min="1795" max="1795" width="4.5" style="16" customWidth="1"/>
    <col min="1796" max="1796" width="5.5" style="16" customWidth="1"/>
    <col min="1797" max="1797" width="9.5" style="16" customWidth="1"/>
    <col min="1798" max="1798" width="5.19921875" style="16" customWidth="1"/>
    <col min="1799" max="1799" width="10.59765625" style="16" customWidth="1"/>
    <col min="1800" max="1800" width="7.59765625" style="16" customWidth="1"/>
    <col min="1801" max="2040" width="0" style="16" hidden="1" customWidth="1"/>
    <col min="2041" max="2041" width="8.09765625" style="16" customWidth="1"/>
    <col min="2042" max="2042" width="3" style="16" customWidth="1"/>
    <col min="2043" max="2043" width="5.5" style="16" customWidth="1"/>
    <col min="2044" max="2044" width="3.5" style="16" customWidth="1"/>
    <col min="2045" max="2045" width="7.5" style="16" customWidth="1"/>
    <col min="2046" max="2046" width="9.765625E-2" style="16" customWidth="1"/>
    <col min="2047" max="2047" width="0.5" style="16" customWidth="1"/>
    <col min="2048" max="2048" width="36.09765625" style="16"/>
    <col min="2049" max="2049" width="3.59765625" style="16" customWidth="1"/>
    <col min="2050" max="2050" width="22.8984375" style="16" customWidth="1"/>
    <col min="2051" max="2051" width="4.5" style="16" customWidth="1"/>
    <col min="2052" max="2052" width="5.5" style="16" customWidth="1"/>
    <col min="2053" max="2053" width="9.5" style="16" customWidth="1"/>
    <col min="2054" max="2054" width="5.19921875" style="16" customWidth="1"/>
    <col min="2055" max="2055" width="10.59765625" style="16" customWidth="1"/>
    <col min="2056" max="2056" width="7.59765625" style="16" customWidth="1"/>
    <col min="2057" max="2296" width="0" style="16" hidden="1" customWidth="1"/>
    <col min="2297" max="2297" width="8.09765625" style="16" customWidth="1"/>
    <col min="2298" max="2298" width="3" style="16" customWidth="1"/>
    <col min="2299" max="2299" width="5.5" style="16" customWidth="1"/>
    <col min="2300" max="2300" width="3.5" style="16" customWidth="1"/>
    <col min="2301" max="2301" width="7.5" style="16" customWidth="1"/>
    <col min="2302" max="2302" width="9.765625E-2" style="16" customWidth="1"/>
    <col min="2303" max="2303" width="0.5" style="16" customWidth="1"/>
    <col min="2304" max="2304" width="36.09765625" style="16"/>
    <col min="2305" max="2305" width="3.59765625" style="16" customWidth="1"/>
    <col min="2306" max="2306" width="22.8984375" style="16" customWidth="1"/>
    <col min="2307" max="2307" width="4.5" style="16" customWidth="1"/>
    <col min="2308" max="2308" width="5.5" style="16" customWidth="1"/>
    <col min="2309" max="2309" width="9.5" style="16" customWidth="1"/>
    <col min="2310" max="2310" width="5.19921875" style="16" customWidth="1"/>
    <col min="2311" max="2311" width="10.59765625" style="16" customWidth="1"/>
    <col min="2312" max="2312" width="7.59765625" style="16" customWidth="1"/>
    <col min="2313" max="2552" width="0" style="16" hidden="1" customWidth="1"/>
    <col min="2553" max="2553" width="8.09765625" style="16" customWidth="1"/>
    <col min="2554" max="2554" width="3" style="16" customWidth="1"/>
    <col min="2555" max="2555" width="5.5" style="16" customWidth="1"/>
    <col min="2556" max="2556" width="3.5" style="16" customWidth="1"/>
    <col min="2557" max="2557" width="7.5" style="16" customWidth="1"/>
    <col min="2558" max="2558" width="9.765625E-2" style="16" customWidth="1"/>
    <col min="2559" max="2559" width="0.5" style="16" customWidth="1"/>
    <col min="2560" max="2560" width="36.09765625" style="16"/>
    <col min="2561" max="2561" width="3.59765625" style="16" customWidth="1"/>
    <col min="2562" max="2562" width="22.8984375" style="16" customWidth="1"/>
    <col min="2563" max="2563" width="4.5" style="16" customWidth="1"/>
    <col min="2564" max="2564" width="5.5" style="16" customWidth="1"/>
    <col min="2565" max="2565" width="9.5" style="16" customWidth="1"/>
    <col min="2566" max="2566" width="5.19921875" style="16" customWidth="1"/>
    <col min="2567" max="2567" width="10.59765625" style="16" customWidth="1"/>
    <col min="2568" max="2568" width="7.59765625" style="16" customWidth="1"/>
    <col min="2569" max="2808" width="0" style="16" hidden="1" customWidth="1"/>
    <col min="2809" max="2809" width="8.09765625" style="16" customWidth="1"/>
    <col min="2810" max="2810" width="3" style="16" customWidth="1"/>
    <col min="2811" max="2811" width="5.5" style="16" customWidth="1"/>
    <col min="2812" max="2812" width="3.5" style="16" customWidth="1"/>
    <col min="2813" max="2813" width="7.5" style="16" customWidth="1"/>
    <col min="2814" max="2814" width="9.765625E-2" style="16" customWidth="1"/>
    <col min="2815" max="2815" width="0.5" style="16" customWidth="1"/>
    <col min="2816" max="2816" width="36.09765625" style="16"/>
    <col min="2817" max="2817" width="3.59765625" style="16" customWidth="1"/>
    <col min="2818" max="2818" width="22.8984375" style="16" customWidth="1"/>
    <col min="2819" max="2819" width="4.5" style="16" customWidth="1"/>
    <col min="2820" max="2820" width="5.5" style="16" customWidth="1"/>
    <col min="2821" max="2821" width="9.5" style="16" customWidth="1"/>
    <col min="2822" max="2822" width="5.19921875" style="16" customWidth="1"/>
    <col min="2823" max="2823" width="10.59765625" style="16" customWidth="1"/>
    <col min="2824" max="2824" width="7.59765625" style="16" customWidth="1"/>
    <col min="2825" max="3064" width="0" style="16" hidden="1" customWidth="1"/>
    <col min="3065" max="3065" width="8.09765625" style="16" customWidth="1"/>
    <col min="3066" max="3066" width="3" style="16" customWidth="1"/>
    <col min="3067" max="3067" width="5.5" style="16" customWidth="1"/>
    <col min="3068" max="3068" width="3.5" style="16" customWidth="1"/>
    <col min="3069" max="3069" width="7.5" style="16" customWidth="1"/>
    <col min="3070" max="3070" width="9.765625E-2" style="16" customWidth="1"/>
    <col min="3071" max="3071" width="0.5" style="16" customWidth="1"/>
    <col min="3072" max="3072" width="36.09765625" style="16"/>
    <col min="3073" max="3073" width="3.59765625" style="16" customWidth="1"/>
    <col min="3074" max="3074" width="22.8984375" style="16" customWidth="1"/>
    <col min="3075" max="3075" width="4.5" style="16" customWidth="1"/>
    <col min="3076" max="3076" width="5.5" style="16" customWidth="1"/>
    <col min="3077" max="3077" width="9.5" style="16" customWidth="1"/>
    <col min="3078" max="3078" width="5.19921875" style="16" customWidth="1"/>
    <col min="3079" max="3079" width="10.59765625" style="16" customWidth="1"/>
    <col min="3080" max="3080" width="7.59765625" style="16" customWidth="1"/>
    <col min="3081" max="3320" width="0" style="16" hidden="1" customWidth="1"/>
    <col min="3321" max="3321" width="8.09765625" style="16" customWidth="1"/>
    <col min="3322" max="3322" width="3" style="16" customWidth="1"/>
    <col min="3323" max="3323" width="5.5" style="16" customWidth="1"/>
    <col min="3324" max="3324" width="3.5" style="16" customWidth="1"/>
    <col min="3325" max="3325" width="7.5" style="16" customWidth="1"/>
    <col min="3326" max="3326" width="9.765625E-2" style="16" customWidth="1"/>
    <col min="3327" max="3327" width="0.5" style="16" customWidth="1"/>
    <col min="3328" max="3328" width="36.09765625" style="16"/>
    <col min="3329" max="3329" width="3.59765625" style="16" customWidth="1"/>
    <col min="3330" max="3330" width="22.8984375" style="16" customWidth="1"/>
    <col min="3331" max="3331" width="4.5" style="16" customWidth="1"/>
    <col min="3332" max="3332" width="5.5" style="16" customWidth="1"/>
    <col min="3333" max="3333" width="9.5" style="16" customWidth="1"/>
    <col min="3334" max="3334" width="5.19921875" style="16" customWidth="1"/>
    <col min="3335" max="3335" width="10.59765625" style="16" customWidth="1"/>
    <col min="3336" max="3336" width="7.59765625" style="16" customWidth="1"/>
    <col min="3337" max="3576" width="0" style="16" hidden="1" customWidth="1"/>
    <col min="3577" max="3577" width="8.09765625" style="16" customWidth="1"/>
    <col min="3578" max="3578" width="3" style="16" customWidth="1"/>
    <col min="3579" max="3579" width="5.5" style="16" customWidth="1"/>
    <col min="3580" max="3580" width="3.5" style="16" customWidth="1"/>
    <col min="3581" max="3581" width="7.5" style="16" customWidth="1"/>
    <col min="3582" max="3582" width="9.765625E-2" style="16" customWidth="1"/>
    <col min="3583" max="3583" width="0.5" style="16" customWidth="1"/>
    <col min="3584" max="3584" width="36.09765625" style="16"/>
    <col min="3585" max="3585" width="3.59765625" style="16" customWidth="1"/>
    <col min="3586" max="3586" width="22.8984375" style="16" customWidth="1"/>
    <col min="3587" max="3587" width="4.5" style="16" customWidth="1"/>
    <col min="3588" max="3588" width="5.5" style="16" customWidth="1"/>
    <col min="3589" max="3589" width="9.5" style="16" customWidth="1"/>
    <col min="3590" max="3590" width="5.19921875" style="16" customWidth="1"/>
    <col min="3591" max="3591" width="10.59765625" style="16" customWidth="1"/>
    <col min="3592" max="3592" width="7.59765625" style="16" customWidth="1"/>
    <col min="3593" max="3832" width="0" style="16" hidden="1" customWidth="1"/>
    <col min="3833" max="3833" width="8.09765625" style="16" customWidth="1"/>
    <col min="3834" max="3834" width="3" style="16" customWidth="1"/>
    <col min="3835" max="3835" width="5.5" style="16" customWidth="1"/>
    <col min="3836" max="3836" width="3.5" style="16" customWidth="1"/>
    <col min="3837" max="3837" width="7.5" style="16" customWidth="1"/>
    <col min="3838" max="3838" width="9.765625E-2" style="16" customWidth="1"/>
    <col min="3839" max="3839" width="0.5" style="16" customWidth="1"/>
    <col min="3840" max="3840" width="36.09765625" style="16"/>
    <col min="3841" max="3841" width="3.59765625" style="16" customWidth="1"/>
    <col min="3842" max="3842" width="22.8984375" style="16" customWidth="1"/>
    <col min="3843" max="3843" width="4.5" style="16" customWidth="1"/>
    <col min="3844" max="3844" width="5.5" style="16" customWidth="1"/>
    <col min="3845" max="3845" width="9.5" style="16" customWidth="1"/>
    <col min="3846" max="3846" width="5.19921875" style="16" customWidth="1"/>
    <col min="3847" max="3847" width="10.59765625" style="16" customWidth="1"/>
    <col min="3848" max="3848" width="7.59765625" style="16" customWidth="1"/>
    <col min="3849" max="4088" width="0" style="16" hidden="1" customWidth="1"/>
    <col min="4089" max="4089" width="8.09765625" style="16" customWidth="1"/>
    <col min="4090" max="4090" width="3" style="16" customWidth="1"/>
    <col min="4091" max="4091" width="5.5" style="16" customWidth="1"/>
    <col min="4092" max="4092" width="3.5" style="16" customWidth="1"/>
    <col min="4093" max="4093" width="7.5" style="16" customWidth="1"/>
    <col min="4094" max="4094" width="9.765625E-2" style="16" customWidth="1"/>
    <col min="4095" max="4095" width="0.5" style="16" customWidth="1"/>
    <col min="4096" max="4096" width="36.09765625" style="16"/>
    <col min="4097" max="4097" width="3.59765625" style="16" customWidth="1"/>
    <col min="4098" max="4098" width="22.8984375" style="16" customWidth="1"/>
    <col min="4099" max="4099" width="4.5" style="16" customWidth="1"/>
    <col min="4100" max="4100" width="5.5" style="16" customWidth="1"/>
    <col min="4101" max="4101" width="9.5" style="16" customWidth="1"/>
    <col min="4102" max="4102" width="5.19921875" style="16" customWidth="1"/>
    <col min="4103" max="4103" width="10.59765625" style="16" customWidth="1"/>
    <col min="4104" max="4104" width="7.59765625" style="16" customWidth="1"/>
    <col min="4105" max="4344" width="0" style="16" hidden="1" customWidth="1"/>
    <col min="4345" max="4345" width="8.09765625" style="16" customWidth="1"/>
    <col min="4346" max="4346" width="3" style="16" customWidth="1"/>
    <col min="4347" max="4347" width="5.5" style="16" customWidth="1"/>
    <col min="4348" max="4348" width="3.5" style="16" customWidth="1"/>
    <col min="4349" max="4349" width="7.5" style="16" customWidth="1"/>
    <col min="4350" max="4350" width="9.765625E-2" style="16" customWidth="1"/>
    <col min="4351" max="4351" width="0.5" style="16" customWidth="1"/>
    <col min="4352" max="4352" width="36.09765625" style="16"/>
    <col min="4353" max="4353" width="3.59765625" style="16" customWidth="1"/>
    <col min="4354" max="4354" width="22.8984375" style="16" customWidth="1"/>
    <col min="4355" max="4355" width="4.5" style="16" customWidth="1"/>
    <col min="4356" max="4356" width="5.5" style="16" customWidth="1"/>
    <col min="4357" max="4357" width="9.5" style="16" customWidth="1"/>
    <col min="4358" max="4358" width="5.19921875" style="16" customWidth="1"/>
    <col min="4359" max="4359" width="10.59765625" style="16" customWidth="1"/>
    <col min="4360" max="4360" width="7.59765625" style="16" customWidth="1"/>
    <col min="4361" max="4600" width="0" style="16" hidden="1" customWidth="1"/>
    <col min="4601" max="4601" width="8.09765625" style="16" customWidth="1"/>
    <col min="4602" max="4602" width="3" style="16" customWidth="1"/>
    <col min="4603" max="4603" width="5.5" style="16" customWidth="1"/>
    <col min="4604" max="4604" width="3.5" style="16" customWidth="1"/>
    <col min="4605" max="4605" width="7.5" style="16" customWidth="1"/>
    <col min="4606" max="4606" width="9.765625E-2" style="16" customWidth="1"/>
    <col min="4607" max="4607" width="0.5" style="16" customWidth="1"/>
    <col min="4608" max="4608" width="36.09765625" style="16"/>
    <col min="4609" max="4609" width="3.59765625" style="16" customWidth="1"/>
    <col min="4610" max="4610" width="22.8984375" style="16" customWidth="1"/>
    <col min="4611" max="4611" width="4.5" style="16" customWidth="1"/>
    <col min="4612" max="4612" width="5.5" style="16" customWidth="1"/>
    <col min="4613" max="4613" width="9.5" style="16" customWidth="1"/>
    <col min="4614" max="4614" width="5.19921875" style="16" customWidth="1"/>
    <col min="4615" max="4615" width="10.59765625" style="16" customWidth="1"/>
    <col min="4616" max="4616" width="7.59765625" style="16" customWidth="1"/>
    <col min="4617" max="4856" width="0" style="16" hidden="1" customWidth="1"/>
    <col min="4857" max="4857" width="8.09765625" style="16" customWidth="1"/>
    <col min="4858" max="4858" width="3" style="16" customWidth="1"/>
    <col min="4859" max="4859" width="5.5" style="16" customWidth="1"/>
    <col min="4860" max="4860" width="3.5" style="16" customWidth="1"/>
    <col min="4861" max="4861" width="7.5" style="16" customWidth="1"/>
    <col min="4862" max="4862" width="9.765625E-2" style="16" customWidth="1"/>
    <col min="4863" max="4863" width="0.5" style="16" customWidth="1"/>
    <col min="4864" max="4864" width="36.09765625" style="16"/>
    <col min="4865" max="4865" width="3.59765625" style="16" customWidth="1"/>
    <col min="4866" max="4866" width="22.8984375" style="16" customWidth="1"/>
    <col min="4867" max="4867" width="4.5" style="16" customWidth="1"/>
    <col min="4868" max="4868" width="5.5" style="16" customWidth="1"/>
    <col min="4869" max="4869" width="9.5" style="16" customWidth="1"/>
    <col min="4870" max="4870" width="5.19921875" style="16" customWidth="1"/>
    <col min="4871" max="4871" width="10.59765625" style="16" customWidth="1"/>
    <col min="4872" max="4872" width="7.59765625" style="16" customWidth="1"/>
    <col min="4873" max="5112" width="0" style="16" hidden="1" customWidth="1"/>
    <col min="5113" max="5113" width="8.09765625" style="16" customWidth="1"/>
    <col min="5114" max="5114" width="3" style="16" customWidth="1"/>
    <col min="5115" max="5115" width="5.5" style="16" customWidth="1"/>
    <col min="5116" max="5116" width="3.5" style="16" customWidth="1"/>
    <col min="5117" max="5117" width="7.5" style="16" customWidth="1"/>
    <col min="5118" max="5118" width="9.765625E-2" style="16" customWidth="1"/>
    <col min="5119" max="5119" width="0.5" style="16" customWidth="1"/>
    <col min="5120" max="5120" width="36.09765625" style="16"/>
    <col min="5121" max="5121" width="3.59765625" style="16" customWidth="1"/>
    <col min="5122" max="5122" width="22.8984375" style="16" customWidth="1"/>
    <col min="5123" max="5123" width="4.5" style="16" customWidth="1"/>
    <col min="5124" max="5124" width="5.5" style="16" customWidth="1"/>
    <col min="5125" max="5125" width="9.5" style="16" customWidth="1"/>
    <col min="5126" max="5126" width="5.19921875" style="16" customWidth="1"/>
    <col min="5127" max="5127" width="10.59765625" style="16" customWidth="1"/>
    <col min="5128" max="5128" width="7.59765625" style="16" customWidth="1"/>
    <col min="5129" max="5368" width="0" style="16" hidden="1" customWidth="1"/>
    <col min="5369" max="5369" width="8.09765625" style="16" customWidth="1"/>
    <col min="5370" max="5370" width="3" style="16" customWidth="1"/>
    <col min="5371" max="5371" width="5.5" style="16" customWidth="1"/>
    <col min="5372" max="5372" width="3.5" style="16" customWidth="1"/>
    <col min="5373" max="5373" width="7.5" style="16" customWidth="1"/>
    <col min="5374" max="5374" width="9.765625E-2" style="16" customWidth="1"/>
    <col min="5375" max="5375" width="0.5" style="16" customWidth="1"/>
    <col min="5376" max="5376" width="36.09765625" style="16"/>
    <col min="5377" max="5377" width="3.59765625" style="16" customWidth="1"/>
    <col min="5378" max="5378" width="22.8984375" style="16" customWidth="1"/>
    <col min="5379" max="5379" width="4.5" style="16" customWidth="1"/>
    <col min="5380" max="5380" width="5.5" style="16" customWidth="1"/>
    <col min="5381" max="5381" width="9.5" style="16" customWidth="1"/>
    <col min="5382" max="5382" width="5.19921875" style="16" customWidth="1"/>
    <col min="5383" max="5383" width="10.59765625" style="16" customWidth="1"/>
    <col min="5384" max="5384" width="7.59765625" style="16" customWidth="1"/>
    <col min="5385" max="5624" width="0" style="16" hidden="1" customWidth="1"/>
    <col min="5625" max="5625" width="8.09765625" style="16" customWidth="1"/>
    <col min="5626" max="5626" width="3" style="16" customWidth="1"/>
    <col min="5627" max="5627" width="5.5" style="16" customWidth="1"/>
    <col min="5628" max="5628" width="3.5" style="16" customWidth="1"/>
    <col min="5629" max="5629" width="7.5" style="16" customWidth="1"/>
    <col min="5630" max="5630" width="9.765625E-2" style="16" customWidth="1"/>
    <col min="5631" max="5631" width="0.5" style="16" customWidth="1"/>
    <col min="5632" max="5632" width="36.09765625" style="16"/>
    <col min="5633" max="5633" width="3.59765625" style="16" customWidth="1"/>
    <col min="5634" max="5634" width="22.8984375" style="16" customWidth="1"/>
    <col min="5635" max="5635" width="4.5" style="16" customWidth="1"/>
    <col min="5636" max="5636" width="5.5" style="16" customWidth="1"/>
    <col min="5637" max="5637" width="9.5" style="16" customWidth="1"/>
    <col min="5638" max="5638" width="5.19921875" style="16" customWidth="1"/>
    <col min="5639" max="5639" width="10.59765625" style="16" customWidth="1"/>
    <col min="5640" max="5640" width="7.59765625" style="16" customWidth="1"/>
    <col min="5641" max="5880" width="0" style="16" hidden="1" customWidth="1"/>
    <col min="5881" max="5881" width="8.09765625" style="16" customWidth="1"/>
    <col min="5882" max="5882" width="3" style="16" customWidth="1"/>
    <col min="5883" max="5883" width="5.5" style="16" customWidth="1"/>
    <col min="5884" max="5884" width="3.5" style="16" customWidth="1"/>
    <col min="5885" max="5885" width="7.5" style="16" customWidth="1"/>
    <col min="5886" max="5886" width="9.765625E-2" style="16" customWidth="1"/>
    <col min="5887" max="5887" width="0.5" style="16" customWidth="1"/>
    <col min="5888" max="5888" width="36.09765625" style="16"/>
    <col min="5889" max="5889" width="3.59765625" style="16" customWidth="1"/>
    <col min="5890" max="5890" width="22.8984375" style="16" customWidth="1"/>
    <col min="5891" max="5891" width="4.5" style="16" customWidth="1"/>
    <col min="5892" max="5892" width="5.5" style="16" customWidth="1"/>
    <col min="5893" max="5893" width="9.5" style="16" customWidth="1"/>
    <col min="5894" max="5894" width="5.19921875" style="16" customWidth="1"/>
    <col min="5895" max="5895" width="10.59765625" style="16" customWidth="1"/>
    <col min="5896" max="5896" width="7.59765625" style="16" customWidth="1"/>
    <col min="5897" max="6136" width="0" style="16" hidden="1" customWidth="1"/>
    <col min="6137" max="6137" width="8.09765625" style="16" customWidth="1"/>
    <col min="6138" max="6138" width="3" style="16" customWidth="1"/>
    <col min="6139" max="6139" width="5.5" style="16" customWidth="1"/>
    <col min="6140" max="6140" width="3.5" style="16" customWidth="1"/>
    <col min="6141" max="6141" width="7.5" style="16" customWidth="1"/>
    <col min="6142" max="6142" width="9.765625E-2" style="16" customWidth="1"/>
    <col min="6143" max="6143" width="0.5" style="16" customWidth="1"/>
    <col min="6144" max="6144" width="36.09765625" style="16"/>
    <col min="6145" max="6145" width="3.59765625" style="16" customWidth="1"/>
    <col min="6146" max="6146" width="22.8984375" style="16" customWidth="1"/>
    <col min="6147" max="6147" width="4.5" style="16" customWidth="1"/>
    <col min="6148" max="6148" width="5.5" style="16" customWidth="1"/>
    <col min="6149" max="6149" width="9.5" style="16" customWidth="1"/>
    <col min="6150" max="6150" width="5.19921875" style="16" customWidth="1"/>
    <col min="6151" max="6151" width="10.59765625" style="16" customWidth="1"/>
    <col min="6152" max="6152" width="7.59765625" style="16" customWidth="1"/>
    <col min="6153" max="6392" width="0" style="16" hidden="1" customWidth="1"/>
    <col min="6393" max="6393" width="8.09765625" style="16" customWidth="1"/>
    <col min="6394" max="6394" width="3" style="16" customWidth="1"/>
    <col min="6395" max="6395" width="5.5" style="16" customWidth="1"/>
    <col min="6396" max="6396" width="3.5" style="16" customWidth="1"/>
    <col min="6397" max="6397" width="7.5" style="16" customWidth="1"/>
    <col min="6398" max="6398" width="9.765625E-2" style="16" customWidth="1"/>
    <col min="6399" max="6399" width="0.5" style="16" customWidth="1"/>
    <col min="6400" max="6400" width="36.09765625" style="16"/>
    <col min="6401" max="6401" width="3.59765625" style="16" customWidth="1"/>
    <col min="6402" max="6402" width="22.8984375" style="16" customWidth="1"/>
    <col min="6403" max="6403" width="4.5" style="16" customWidth="1"/>
    <col min="6404" max="6404" width="5.5" style="16" customWidth="1"/>
    <col min="6405" max="6405" width="9.5" style="16" customWidth="1"/>
    <col min="6406" max="6406" width="5.19921875" style="16" customWidth="1"/>
    <col min="6407" max="6407" width="10.59765625" style="16" customWidth="1"/>
    <col min="6408" max="6408" width="7.59765625" style="16" customWidth="1"/>
    <col min="6409" max="6648" width="0" style="16" hidden="1" customWidth="1"/>
    <col min="6649" max="6649" width="8.09765625" style="16" customWidth="1"/>
    <col min="6650" max="6650" width="3" style="16" customWidth="1"/>
    <col min="6651" max="6651" width="5.5" style="16" customWidth="1"/>
    <col min="6652" max="6652" width="3.5" style="16" customWidth="1"/>
    <col min="6653" max="6653" width="7.5" style="16" customWidth="1"/>
    <col min="6654" max="6654" width="9.765625E-2" style="16" customWidth="1"/>
    <col min="6655" max="6655" width="0.5" style="16" customWidth="1"/>
    <col min="6656" max="6656" width="36.09765625" style="16"/>
    <col min="6657" max="6657" width="3.59765625" style="16" customWidth="1"/>
    <col min="6658" max="6658" width="22.8984375" style="16" customWidth="1"/>
    <col min="6659" max="6659" width="4.5" style="16" customWidth="1"/>
    <col min="6660" max="6660" width="5.5" style="16" customWidth="1"/>
    <col min="6661" max="6661" width="9.5" style="16" customWidth="1"/>
    <col min="6662" max="6662" width="5.19921875" style="16" customWidth="1"/>
    <col min="6663" max="6663" width="10.59765625" style="16" customWidth="1"/>
    <col min="6664" max="6664" width="7.59765625" style="16" customWidth="1"/>
    <col min="6665" max="6904" width="0" style="16" hidden="1" customWidth="1"/>
    <col min="6905" max="6905" width="8.09765625" style="16" customWidth="1"/>
    <col min="6906" max="6906" width="3" style="16" customWidth="1"/>
    <col min="6907" max="6907" width="5.5" style="16" customWidth="1"/>
    <col min="6908" max="6908" width="3.5" style="16" customWidth="1"/>
    <col min="6909" max="6909" width="7.5" style="16" customWidth="1"/>
    <col min="6910" max="6910" width="9.765625E-2" style="16" customWidth="1"/>
    <col min="6911" max="6911" width="0.5" style="16" customWidth="1"/>
    <col min="6912" max="6912" width="36.09765625" style="16"/>
    <col min="6913" max="6913" width="3.59765625" style="16" customWidth="1"/>
    <col min="6914" max="6914" width="22.8984375" style="16" customWidth="1"/>
    <col min="6915" max="6915" width="4.5" style="16" customWidth="1"/>
    <col min="6916" max="6916" width="5.5" style="16" customWidth="1"/>
    <col min="6917" max="6917" width="9.5" style="16" customWidth="1"/>
    <col min="6918" max="6918" width="5.19921875" style="16" customWidth="1"/>
    <col min="6919" max="6919" width="10.59765625" style="16" customWidth="1"/>
    <col min="6920" max="6920" width="7.59765625" style="16" customWidth="1"/>
    <col min="6921" max="7160" width="0" style="16" hidden="1" customWidth="1"/>
    <col min="7161" max="7161" width="8.09765625" style="16" customWidth="1"/>
    <col min="7162" max="7162" width="3" style="16" customWidth="1"/>
    <col min="7163" max="7163" width="5.5" style="16" customWidth="1"/>
    <col min="7164" max="7164" width="3.5" style="16" customWidth="1"/>
    <col min="7165" max="7165" width="7.5" style="16" customWidth="1"/>
    <col min="7166" max="7166" width="9.765625E-2" style="16" customWidth="1"/>
    <col min="7167" max="7167" width="0.5" style="16" customWidth="1"/>
    <col min="7168" max="7168" width="36.09765625" style="16"/>
    <col min="7169" max="7169" width="3.59765625" style="16" customWidth="1"/>
    <col min="7170" max="7170" width="22.8984375" style="16" customWidth="1"/>
    <col min="7171" max="7171" width="4.5" style="16" customWidth="1"/>
    <col min="7172" max="7172" width="5.5" style="16" customWidth="1"/>
    <col min="7173" max="7173" width="9.5" style="16" customWidth="1"/>
    <col min="7174" max="7174" width="5.19921875" style="16" customWidth="1"/>
    <col min="7175" max="7175" width="10.59765625" style="16" customWidth="1"/>
    <col min="7176" max="7176" width="7.59765625" style="16" customWidth="1"/>
    <col min="7177" max="7416" width="0" style="16" hidden="1" customWidth="1"/>
    <col min="7417" max="7417" width="8.09765625" style="16" customWidth="1"/>
    <col min="7418" max="7418" width="3" style="16" customWidth="1"/>
    <col min="7419" max="7419" width="5.5" style="16" customWidth="1"/>
    <col min="7420" max="7420" width="3.5" style="16" customWidth="1"/>
    <col min="7421" max="7421" width="7.5" style="16" customWidth="1"/>
    <col min="7422" max="7422" width="9.765625E-2" style="16" customWidth="1"/>
    <col min="7423" max="7423" width="0.5" style="16" customWidth="1"/>
    <col min="7424" max="7424" width="36.09765625" style="16"/>
    <col min="7425" max="7425" width="3.59765625" style="16" customWidth="1"/>
    <col min="7426" max="7426" width="22.8984375" style="16" customWidth="1"/>
    <col min="7427" max="7427" width="4.5" style="16" customWidth="1"/>
    <col min="7428" max="7428" width="5.5" style="16" customWidth="1"/>
    <col min="7429" max="7429" width="9.5" style="16" customWidth="1"/>
    <col min="7430" max="7430" width="5.19921875" style="16" customWidth="1"/>
    <col min="7431" max="7431" width="10.59765625" style="16" customWidth="1"/>
    <col min="7432" max="7432" width="7.59765625" style="16" customWidth="1"/>
    <col min="7433" max="7672" width="0" style="16" hidden="1" customWidth="1"/>
    <col min="7673" max="7673" width="8.09765625" style="16" customWidth="1"/>
    <col min="7674" max="7674" width="3" style="16" customWidth="1"/>
    <col min="7675" max="7675" width="5.5" style="16" customWidth="1"/>
    <col min="7676" max="7676" width="3.5" style="16" customWidth="1"/>
    <col min="7677" max="7677" width="7.5" style="16" customWidth="1"/>
    <col min="7678" max="7678" width="9.765625E-2" style="16" customWidth="1"/>
    <col min="7679" max="7679" width="0.5" style="16" customWidth="1"/>
    <col min="7680" max="7680" width="36.09765625" style="16"/>
    <col min="7681" max="7681" width="3.59765625" style="16" customWidth="1"/>
    <col min="7682" max="7682" width="22.8984375" style="16" customWidth="1"/>
    <col min="7683" max="7683" width="4.5" style="16" customWidth="1"/>
    <col min="7684" max="7684" width="5.5" style="16" customWidth="1"/>
    <col min="7685" max="7685" width="9.5" style="16" customWidth="1"/>
    <col min="7686" max="7686" width="5.19921875" style="16" customWidth="1"/>
    <col min="7687" max="7687" width="10.59765625" style="16" customWidth="1"/>
    <col min="7688" max="7688" width="7.59765625" style="16" customWidth="1"/>
    <col min="7689" max="7928" width="0" style="16" hidden="1" customWidth="1"/>
    <col min="7929" max="7929" width="8.09765625" style="16" customWidth="1"/>
    <col min="7930" max="7930" width="3" style="16" customWidth="1"/>
    <col min="7931" max="7931" width="5.5" style="16" customWidth="1"/>
    <col min="7932" max="7932" width="3.5" style="16" customWidth="1"/>
    <col min="7933" max="7933" width="7.5" style="16" customWidth="1"/>
    <col min="7934" max="7934" width="9.765625E-2" style="16" customWidth="1"/>
    <col min="7935" max="7935" width="0.5" style="16" customWidth="1"/>
    <col min="7936" max="7936" width="36.09765625" style="16"/>
    <col min="7937" max="7937" width="3.59765625" style="16" customWidth="1"/>
    <col min="7938" max="7938" width="22.8984375" style="16" customWidth="1"/>
    <col min="7939" max="7939" width="4.5" style="16" customWidth="1"/>
    <col min="7940" max="7940" width="5.5" style="16" customWidth="1"/>
    <col min="7941" max="7941" width="9.5" style="16" customWidth="1"/>
    <col min="7942" max="7942" width="5.19921875" style="16" customWidth="1"/>
    <col min="7943" max="7943" width="10.59765625" style="16" customWidth="1"/>
    <col min="7944" max="7944" width="7.59765625" style="16" customWidth="1"/>
    <col min="7945" max="8184" width="0" style="16" hidden="1" customWidth="1"/>
    <col min="8185" max="8185" width="8.09765625" style="16" customWidth="1"/>
    <col min="8186" max="8186" width="3" style="16" customWidth="1"/>
    <col min="8187" max="8187" width="5.5" style="16" customWidth="1"/>
    <col min="8188" max="8188" width="3.5" style="16" customWidth="1"/>
    <col min="8189" max="8189" width="7.5" style="16" customWidth="1"/>
    <col min="8190" max="8190" width="9.765625E-2" style="16" customWidth="1"/>
    <col min="8191" max="8191" width="0.5" style="16" customWidth="1"/>
    <col min="8192" max="8192" width="36.09765625" style="16"/>
    <col min="8193" max="8193" width="3.59765625" style="16" customWidth="1"/>
    <col min="8194" max="8194" width="22.8984375" style="16" customWidth="1"/>
    <col min="8195" max="8195" width="4.5" style="16" customWidth="1"/>
    <col min="8196" max="8196" width="5.5" style="16" customWidth="1"/>
    <col min="8197" max="8197" width="9.5" style="16" customWidth="1"/>
    <col min="8198" max="8198" width="5.19921875" style="16" customWidth="1"/>
    <col min="8199" max="8199" width="10.59765625" style="16" customWidth="1"/>
    <col min="8200" max="8200" width="7.59765625" style="16" customWidth="1"/>
    <col min="8201" max="8440" width="0" style="16" hidden="1" customWidth="1"/>
    <col min="8441" max="8441" width="8.09765625" style="16" customWidth="1"/>
    <col min="8442" max="8442" width="3" style="16" customWidth="1"/>
    <col min="8443" max="8443" width="5.5" style="16" customWidth="1"/>
    <col min="8444" max="8444" width="3.5" style="16" customWidth="1"/>
    <col min="8445" max="8445" width="7.5" style="16" customWidth="1"/>
    <col min="8446" max="8446" width="9.765625E-2" style="16" customWidth="1"/>
    <col min="8447" max="8447" width="0.5" style="16" customWidth="1"/>
    <col min="8448" max="8448" width="36.09765625" style="16"/>
    <col min="8449" max="8449" width="3.59765625" style="16" customWidth="1"/>
    <col min="8450" max="8450" width="22.8984375" style="16" customWidth="1"/>
    <col min="8451" max="8451" width="4.5" style="16" customWidth="1"/>
    <col min="8452" max="8452" width="5.5" style="16" customWidth="1"/>
    <col min="8453" max="8453" width="9.5" style="16" customWidth="1"/>
    <col min="8454" max="8454" width="5.19921875" style="16" customWidth="1"/>
    <col min="8455" max="8455" width="10.59765625" style="16" customWidth="1"/>
    <col min="8456" max="8456" width="7.59765625" style="16" customWidth="1"/>
    <col min="8457" max="8696" width="0" style="16" hidden="1" customWidth="1"/>
    <col min="8697" max="8697" width="8.09765625" style="16" customWidth="1"/>
    <col min="8698" max="8698" width="3" style="16" customWidth="1"/>
    <col min="8699" max="8699" width="5.5" style="16" customWidth="1"/>
    <col min="8700" max="8700" width="3.5" style="16" customWidth="1"/>
    <col min="8701" max="8701" width="7.5" style="16" customWidth="1"/>
    <col min="8702" max="8702" width="9.765625E-2" style="16" customWidth="1"/>
    <col min="8703" max="8703" width="0.5" style="16" customWidth="1"/>
    <col min="8704" max="8704" width="36.09765625" style="16"/>
    <col min="8705" max="8705" width="3.59765625" style="16" customWidth="1"/>
    <col min="8706" max="8706" width="22.8984375" style="16" customWidth="1"/>
    <col min="8707" max="8707" width="4.5" style="16" customWidth="1"/>
    <col min="8708" max="8708" width="5.5" style="16" customWidth="1"/>
    <col min="8709" max="8709" width="9.5" style="16" customWidth="1"/>
    <col min="8710" max="8710" width="5.19921875" style="16" customWidth="1"/>
    <col min="8711" max="8711" width="10.59765625" style="16" customWidth="1"/>
    <col min="8712" max="8712" width="7.59765625" style="16" customWidth="1"/>
    <col min="8713" max="8952" width="0" style="16" hidden="1" customWidth="1"/>
    <col min="8953" max="8953" width="8.09765625" style="16" customWidth="1"/>
    <col min="8954" max="8954" width="3" style="16" customWidth="1"/>
    <col min="8955" max="8955" width="5.5" style="16" customWidth="1"/>
    <col min="8956" max="8956" width="3.5" style="16" customWidth="1"/>
    <col min="8957" max="8957" width="7.5" style="16" customWidth="1"/>
    <col min="8958" max="8958" width="9.765625E-2" style="16" customWidth="1"/>
    <col min="8959" max="8959" width="0.5" style="16" customWidth="1"/>
    <col min="8960" max="8960" width="36.09765625" style="16"/>
    <col min="8961" max="8961" width="3.59765625" style="16" customWidth="1"/>
    <col min="8962" max="8962" width="22.8984375" style="16" customWidth="1"/>
    <col min="8963" max="8963" width="4.5" style="16" customWidth="1"/>
    <col min="8964" max="8964" width="5.5" style="16" customWidth="1"/>
    <col min="8965" max="8965" width="9.5" style="16" customWidth="1"/>
    <col min="8966" max="8966" width="5.19921875" style="16" customWidth="1"/>
    <col min="8967" max="8967" width="10.59765625" style="16" customWidth="1"/>
    <col min="8968" max="8968" width="7.59765625" style="16" customWidth="1"/>
    <col min="8969" max="9208" width="0" style="16" hidden="1" customWidth="1"/>
    <col min="9209" max="9209" width="8.09765625" style="16" customWidth="1"/>
    <col min="9210" max="9210" width="3" style="16" customWidth="1"/>
    <col min="9211" max="9211" width="5.5" style="16" customWidth="1"/>
    <col min="9212" max="9212" width="3.5" style="16" customWidth="1"/>
    <col min="9213" max="9213" width="7.5" style="16" customWidth="1"/>
    <col min="9214" max="9214" width="9.765625E-2" style="16" customWidth="1"/>
    <col min="9215" max="9215" width="0.5" style="16" customWidth="1"/>
    <col min="9216" max="9216" width="36.09765625" style="16"/>
    <col min="9217" max="9217" width="3.59765625" style="16" customWidth="1"/>
    <col min="9218" max="9218" width="22.8984375" style="16" customWidth="1"/>
    <col min="9219" max="9219" width="4.5" style="16" customWidth="1"/>
    <col min="9220" max="9220" width="5.5" style="16" customWidth="1"/>
    <col min="9221" max="9221" width="9.5" style="16" customWidth="1"/>
    <col min="9222" max="9222" width="5.19921875" style="16" customWidth="1"/>
    <col min="9223" max="9223" width="10.59765625" style="16" customWidth="1"/>
    <col min="9224" max="9224" width="7.59765625" style="16" customWidth="1"/>
    <col min="9225" max="9464" width="0" style="16" hidden="1" customWidth="1"/>
    <col min="9465" max="9465" width="8.09765625" style="16" customWidth="1"/>
    <col min="9466" max="9466" width="3" style="16" customWidth="1"/>
    <col min="9467" max="9467" width="5.5" style="16" customWidth="1"/>
    <col min="9468" max="9468" width="3.5" style="16" customWidth="1"/>
    <col min="9469" max="9469" width="7.5" style="16" customWidth="1"/>
    <col min="9470" max="9470" width="9.765625E-2" style="16" customWidth="1"/>
    <col min="9471" max="9471" width="0.5" style="16" customWidth="1"/>
    <col min="9472" max="9472" width="36.09765625" style="16"/>
    <col min="9473" max="9473" width="3.59765625" style="16" customWidth="1"/>
    <col min="9474" max="9474" width="22.8984375" style="16" customWidth="1"/>
    <col min="9475" max="9475" width="4.5" style="16" customWidth="1"/>
    <col min="9476" max="9476" width="5.5" style="16" customWidth="1"/>
    <col min="9477" max="9477" width="9.5" style="16" customWidth="1"/>
    <col min="9478" max="9478" width="5.19921875" style="16" customWidth="1"/>
    <col min="9479" max="9479" width="10.59765625" style="16" customWidth="1"/>
    <col min="9480" max="9480" width="7.59765625" style="16" customWidth="1"/>
    <col min="9481" max="9720" width="0" style="16" hidden="1" customWidth="1"/>
    <col min="9721" max="9721" width="8.09765625" style="16" customWidth="1"/>
    <col min="9722" max="9722" width="3" style="16" customWidth="1"/>
    <col min="9723" max="9723" width="5.5" style="16" customWidth="1"/>
    <col min="9724" max="9724" width="3.5" style="16" customWidth="1"/>
    <col min="9725" max="9725" width="7.5" style="16" customWidth="1"/>
    <col min="9726" max="9726" width="9.765625E-2" style="16" customWidth="1"/>
    <col min="9727" max="9727" width="0.5" style="16" customWidth="1"/>
    <col min="9728" max="9728" width="36.09765625" style="16"/>
    <col min="9729" max="9729" width="3.59765625" style="16" customWidth="1"/>
    <col min="9730" max="9730" width="22.8984375" style="16" customWidth="1"/>
    <col min="9731" max="9731" width="4.5" style="16" customWidth="1"/>
    <col min="9732" max="9732" width="5.5" style="16" customWidth="1"/>
    <col min="9733" max="9733" width="9.5" style="16" customWidth="1"/>
    <col min="9734" max="9734" width="5.19921875" style="16" customWidth="1"/>
    <col min="9735" max="9735" width="10.59765625" style="16" customWidth="1"/>
    <col min="9736" max="9736" width="7.59765625" style="16" customWidth="1"/>
    <col min="9737" max="9976" width="0" style="16" hidden="1" customWidth="1"/>
    <col min="9977" max="9977" width="8.09765625" style="16" customWidth="1"/>
    <col min="9978" max="9978" width="3" style="16" customWidth="1"/>
    <col min="9979" max="9979" width="5.5" style="16" customWidth="1"/>
    <col min="9980" max="9980" width="3.5" style="16" customWidth="1"/>
    <col min="9981" max="9981" width="7.5" style="16" customWidth="1"/>
    <col min="9982" max="9982" width="9.765625E-2" style="16" customWidth="1"/>
    <col min="9983" max="9983" width="0.5" style="16" customWidth="1"/>
    <col min="9984" max="9984" width="36.09765625" style="16"/>
    <col min="9985" max="9985" width="3.59765625" style="16" customWidth="1"/>
    <col min="9986" max="9986" width="22.8984375" style="16" customWidth="1"/>
    <col min="9987" max="9987" width="4.5" style="16" customWidth="1"/>
    <col min="9988" max="9988" width="5.5" style="16" customWidth="1"/>
    <col min="9989" max="9989" width="9.5" style="16" customWidth="1"/>
    <col min="9990" max="9990" width="5.19921875" style="16" customWidth="1"/>
    <col min="9991" max="9991" width="10.59765625" style="16" customWidth="1"/>
    <col min="9992" max="9992" width="7.59765625" style="16" customWidth="1"/>
    <col min="9993" max="10232" width="0" style="16" hidden="1" customWidth="1"/>
    <col min="10233" max="10233" width="8.09765625" style="16" customWidth="1"/>
    <col min="10234" max="10234" width="3" style="16" customWidth="1"/>
    <col min="10235" max="10235" width="5.5" style="16" customWidth="1"/>
    <col min="10236" max="10236" width="3.5" style="16" customWidth="1"/>
    <col min="10237" max="10237" width="7.5" style="16" customWidth="1"/>
    <col min="10238" max="10238" width="9.765625E-2" style="16" customWidth="1"/>
    <col min="10239" max="10239" width="0.5" style="16" customWidth="1"/>
    <col min="10240" max="10240" width="36.09765625" style="16"/>
    <col min="10241" max="10241" width="3.59765625" style="16" customWidth="1"/>
    <col min="10242" max="10242" width="22.8984375" style="16" customWidth="1"/>
    <col min="10243" max="10243" width="4.5" style="16" customWidth="1"/>
    <col min="10244" max="10244" width="5.5" style="16" customWidth="1"/>
    <col min="10245" max="10245" width="9.5" style="16" customWidth="1"/>
    <col min="10246" max="10246" width="5.19921875" style="16" customWidth="1"/>
    <col min="10247" max="10247" width="10.59765625" style="16" customWidth="1"/>
    <col min="10248" max="10248" width="7.59765625" style="16" customWidth="1"/>
    <col min="10249" max="10488" width="0" style="16" hidden="1" customWidth="1"/>
    <col min="10489" max="10489" width="8.09765625" style="16" customWidth="1"/>
    <col min="10490" max="10490" width="3" style="16" customWidth="1"/>
    <col min="10491" max="10491" width="5.5" style="16" customWidth="1"/>
    <col min="10492" max="10492" width="3.5" style="16" customWidth="1"/>
    <col min="10493" max="10493" width="7.5" style="16" customWidth="1"/>
    <col min="10494" max="10494" width="9.765625E-2" style="16" customWidth="1"/>
    <col min="10495" max="10495" width="0.5" style="16" customWidth="1"/>
    <col min="10496" max="10496" width="36.09765625" style="16"/>
    <col min="10497" max="10497" width="3.59765625" style="16" customWidth="1"/>
    <col min="10498" max="10498" width="22.8984375" style="16" customWidth="1"/>
    <col min="10499" max="10499" width="4.5" style="16" customWidth="1"/>
    <col min="10500" max="10500" width="5.5" style="16" customWidth="1"/>
    <col min="10501" max="10501" width="9.5" style="16" customWidth="1"/>
    <col min="10502" max="10502" width="5.19921875" style="16" customWidth="1"/>
    <col min="10503" max="10503" width="10.59765625" style="16" customWidth="1"/>
    <col min="10504" max="10504" width="7.59765625" style="16" customWidth="1"/>
    <col min="10505" max="10744" width="0" style="16" hidden="1" customWidth="1"/>
    <col min="10745" max="10745" width="8.09765625" style="16" customWidth="1"/>
    <col min="10746" max="10746" width="3" style="16" customWidth="1"/>
    <col min="10747" max="10747" width="5.5" style="16" customWidth="1"/>
    <col min="10748" max="10748" width="3.5" style="16" customWidth="1"/>
    <col min="10749" max="10749" width="7.5" style="16" customWidth="1"/>
    <col min="10750" max="10750" width="9.765625E-2" style="16" customWidth="1"/>
    <col min="10751" max="10751" width="0.5" style="16" customWidth="1"/>
    <col min="10752" max="10752" width="36.09765625" style="16"/>
    <col min="10753" max="10753" width="3.59765625" style="16" customWidth="1"/>
    <col min="10754" max="10754" width="22.8984375" style="16" customWidth="1"/>
    <col min="10755" max="10755" width="4.5" style="16" customWidth="1"/>
    <col min="10756" max="10756" width="5.5" style="16" customWidth="1"/>
    <col min="10757" max="10757" width="9.5" style="16" customWidth="1"/>
    <col min="10758" max="10758" width="5.19921875" style="16" customWidth="1"/>
    <col min="10759" max="10759" width="10.59765625" style="16" customWidth="1"/>
    <col min="10760" max="10760" width="7.59765625" style="16" customWidth="1"/>
    <col min="10761" max="11000" width="0" style="16" hidden="1" customWidth="1"/>
    <col min="11001" max="11001" width="8.09765625" style="16" customWidth="1"/>
    <col min="11002" max="11002" width="3" style="16" customWidth="1"/>
    <col min="11003" max="11003" width="5.5" style="16" customWidth="1"/>
    <col min="11004" max="11004" width="3.5" style="16" customWidth="1"/>
    <col min="11005" max="11005" width="7.5" style="16" customWidth="1"/>
    <col min="11006" max="11006" width="9.765625E-2" style="16" customWidth="1"/>
    <col min="11007" max="11007" width="0.5" style="16" customWidth="1"/>
    <col min="11008" max="11008" width="36.09765625" style="16"/>
    <col min="11009" max="11009" width="3.59765625" style="16" customWidth="1"/>
    <col min="11010" max="11010" width="22.8984375" style="16" customWidth="1"/>
    <col min="11011" max="11011" width="4.5" style="16" customWidth="1"/>
    <col min="11012" max="11012" width="5.5" style="16" customWidth="1"/>
    <col min="11013" max="11013" width="9.5" style="16" customWidth="1"/>
    <col min="11014" max="11014" width="5.19921875" style="16" customWidth="1"/>
    <col min="11015" max="11015" width="10.59765625" style="16" customWidth="1"/>
    <col min="11016" max="11016" width="7.59765625" style="16" customWidth="1"/>
    <col min="11017" max="11256" width="0" style="16" hidden="1" customWidth="1"/>
    <col min="11257" max="11257" width="8.09765625" style="16" customWidth="1"/>
    <col min="11258" max="11258" width="3" style="16" customWidth="1"/>
    <col min="11259" max="11259" width="5.5" style="16" customWidth="1"/>
    <col min="11260" max="11260" width="3.5" style="16" customWidth="1"/>
    <col min="11261" max="11261" width="7.5" style="16" customWidth="1"/>
    <col min="11262" max="11262" width="9.765625E-2" style="16" customWidth="1"/>
    <col min="11263" max="11263" width="0.5" style="16" customWidth="1"/>
    <col min="11264" max="11264" width="36.09765625" style="16"/>
    <col min="11265" max="11265" width="3.59765625" style="16" customWidth="1"/>
    <col min="11266" max="11266" width="22.8984375" style="16" customWidth="1"/>
    <col min="11267" max="11267" width="4.5" style="16" customWidth="1"/>
    <col min="11268" max="11268" width="5.5" style="16" customWidth="1"/>
    <col min="11269" max="11269" width="9.5" style="16" customWidth="1"/>
    <col min="11270" max="11270" width="5.19921875" style="16" customWidth="1"/>
    <col min="11271" max="11271" width="10.59765625" style="16" customWidth="1"/>
    <col min="11272" max="11272" width="7.59765625" style="16" customWidth="1"/>
    <col min="11273" max="11512" width="0" style="16" hidden="1" customWidth="1"/>
    <col min="11513" max="11513" width="8.09765625" style="16" customWidth="1"/>
    <col min="11514" max="11514" width="3" style="16" customWidth="1"/>
    <col min="11515" max="11515" width="5.5" style="16" customWidth="1"/>
    <col min="11516" max="11516" width="3.5" style="16" customWidth="1"/>
    <col min="11517" max="11517" width="7.5" style="16" customWidth="1"/>
    <col min="11518" max="11518" width="9.765625E-2" style="16" customWidth="1"/>
    <col min="11519" max="11519" width="0.5" style="16" customWidth="1"/>
    <col min="11520" max="11520" width="36.09765625" style="16"/>
    <col min="11521" max="11521" width="3.59765625" style="16" customWidth="1"/>
    <col min="11522" max="11522" width="22.8984375" style="16" customWidth="1"/>
    <col min="11523" max="11523" width="4.5" style="16" customWidth="1"/>
    <col min="11524" max="11524" width="5.5" style="16" customWidth="1"/>
    <col min="11525" max="11525" width="9.5" style="16" customWidth="1"/>
    <col min="11526" max="11526" width="5.19921875" style="16" customWidth="1"/>
    <col min="11527" max="11527" width="10.59765625" style="16" customWidth="1"/>
    <col min="11528" max="11528" width="7.59765625" style="16" customWidth="1"/>
    <col min="11529" max="11768" width="0" style="16" hidden="1" customWidth="1"/>
    <col min="11769" max="11769" width="8.09765625" style="16" customWidth="1"/>
    <col min="11770" max="11770" width="3" style="16" customWidth="1"/>
    <col min="11771" max="11771" width="5.5" style="16" customWidth="1"/>
    <col min="11772" max="11772" width="3.5" style="16" customWidth="1"/>
    <col min="11773" max="11773" width="7.5" style="16" customWidth="1"/>
    <col min="11774" max="11774" width="9.765625E-2" style="16" customWidth="1"/>
    <col min="11775" max="11775" width="0.5" style="16" customWidth="1"/>
    <col min="11776" max="11776" width="36.09765625" style="16"/>
    <col min="11777" max="11777" width="3.59765625" style="16" customWidth="1"/>
    <col min="11778" max="11778" width="22.8984375" style="16" customWidth="1"/>
    <col min="11779" max="11779" width="4.5" style="16" customWidth="1"/>
    <col min="11780" max="11780" width="5.5" style="16" customWidth="1"/>
    <col min="11781" max="11781" width="9.5" style="16" customWidth="1"/>
    <col min="11782" max="11782" width="5.19921875" style="16" customWidth="1"/>
    <col min="11783" max="11783" width="10.59765625" style="16" customWidth="1"/>
    <col min="11784" max="11784" width="7.59765625" style="16" customWidth="1"/>
    <col min="11785" max="12024" width="0" style="16" hidden="1" customWidth="1"/>
    <col min="12025" max="12025" width="8.09765625" style="16" customWidth="1"/>
    <col min="12026" max="12026" width="3" style="16" customWidth="1"/>
    <col min="12027" max="12027" width="5.5" style="16" customWidth="1"/>
    <col min="12028" max="12028" width="3.5" style="16" customWidth="1"/>
    <col min="12029" max="12029" width="7.5" style="16" customWidth="1"/>
    <col min="12030" max="12030" width="9.765625E-2" style="16" customWidth="1"/>
    <col min="12031" max="12031" width="0.5" style="16" customWidth="1"/>
    <col min="12032" max="12032" width="36.09765625" style="16"/>
    <col min="12033" max="12033" width="3.59765625" style="16" customWidth="1"/>
    <col min="12034" max="12034" width="22.8984375" style="16" customWidth="1"/>
    <col min="12035" max="12035" width="4.5" style="16" customWidth="1"/>
    <col min="12036" max="12036" width="5.5" style="16" customWidth="1"/>
    <col min="12037" max="12037" width="9.5" style="16" customWidth="1"/>
    <col min="12038" max="12038" width="5.19921875" style="16" customWidth="1"/>
    <col min="12039" max="12039" width="10.59765625" style="16" customWidth="1"/>
    <col min="12040" max="12040" width="7.59765625" style="16" customWidth="1"/>
    <col min="12041" max="12280" width="0" style="16" hidden="1" customWidth="1"/>
    <col min="12281" max="12281" width="8.09765625" style="16" customWidth="1"/>
    <col min="12282" max="12282" width="3" style="16" customWidth="1"/>
    <col min="12283" max="12283" width="5.5" style="16" customWidth="1"/>
    <col min="12284" max="12284" width="3.5" style="16" customWidth="1"/>
    <col min="12285" max="12285" width="7.5" style="16" customWidth="1"/>
    <col min="12286" max="12286" width="9.765625E-2" style="16" customWidth="1"/>
    <col min="12287" max="12287" width="0.5" style="16" customWidth="1"/>
    <col min="12288" max="12288" width="36.09765625" style="16"/>
    <col min="12289" max="12289" width="3.59765625" style="16" customWidth="1"/>
    <col min="12290" max="12290" width="22.8984375" style="16" customWidth="1"/>
    <col min="12291" max="12291" width="4.5" style="16" customWidth="1"/>
    <col min="12292" max="12292" width="5.5" style="16" customWidth="1"/>
    <col min="12293" max="12293" width="9.5" style="16" customWidth="1"/>
    <col min="12294" max="12294" width="5.19921875" style="16" customWidth="1"/>
    <col min="12295" max="12295" width="10.59765625" style="16" customWidth="1"/>
    <col min="12296" max="12296" width="7.59765625" style="16" customWidth="1"/>
    <col min="12297" max="12536" width="0" style="16" hidden="1" customWidth="1"/>
    <col min="12537" max="12537" width="8.09765625" style="16" customWidth="1"/>
    <col min="12538" max="12538" width="3" style="16" customWidth="1"/>
    <col min="12539" max="12539" width="5.5" style="16" customWidth="1"/>
    <col min="12540" max="12540" width="3.5" style="16" customWidth="1"/>
    <col min="12541" max="12541" width="7.5" style="16" customWidth="1"/>
    <col min="12542" max="12542" width="9.765625E-2" style="16" customWidth="1"/>
    <col min="12543" max="12543" width="0.5" style="16" customWidth="1"/>
    <col min="12544" max="12544" width="36.09765625" style="16"/>
    <col min="12545" max="12545" width="3.59765625" style="16" customWidth="1"/>
    <col min="12546" max="12546" width="22.8984375" style="16" customWidth="1"/>
    <col min="12547" max="12547" width="4.5" style="16" customWidth="1"/>
    <col min="12548" max="12548" width="5.5" style="16" customWidth="1"/>
    <col min="12549" max="12549" width="9.5" style="16" customWidth="1"/>
    <col min="12550" max="12550" width="5.19921875" style="16" customWidth="1"/>
    <col min="12551" max="12551" width="10.59765625" style="16" customWidth="1"/>
    <col min="12552" max="12552" width="7.59765625" style="16" customWidth="1"/>
    <col min="12553" max="12792" width="0" style="16" hidden="1" customWidth="1"/>
    <col min="12793" max="12793" width="8.09765625" style="16" customWidth="1"/>
    <col min="12794" max="12794" width="3" style="16" customWidth="1"/>
    <col min="12795" max="12795" width="5.5" style="16" customWidth="1"/>
    <col min="12796" max="12796" width="3.5" style="16" customWidth="1"/>
    <col min="12797" max="12797" width="7.5" style="16" customWidth="1"/>
    <col min="12798" max="12798" width="9.765625E-2" style="16" customWidth="1"/>
    <col min="12799" max="12799" width="0.5" style="16" customWidth="1"/>
    <col min="12800" max="12800" width="36.09765625" style="16"/>
    <col min="12801" max="12801" width="3.59765625" style="16" customWidth="1"/>
    <col min="12802" max="12802" width="22.8984375" style="16" customWidth="1"/>
    <col min="12803" max="12803" width="4.5" style="16" customWidth="1"/>
    <col min="12804" max="12804" width="5.5" style="16" customWidth="1"/>
    <col min="12805" max="12805" width="9.5" style="16" customWidth="1"/>
    <col min="12806" max="12806" width="5.19921875" style="16" customWidth="1"/>
    <col min="12807" max="12807" width="10.59765625" style="16" customWidth="1"/>
    <col min="12808" max="12808" width="7.59765625" style="16" customWidth="1"/>
    <col min="12809" max="13048" width="0" style="16" hidden="1" customWidth="1"/>
    <col min="13049" max="13049" width="8.09765625" style="16" customWidth="1"/>
    <col min="13050" max="13050" width="3" style="16" customWidth="1"/>
    <col min="13051" max="13051" width="5.5" style="16" customWidth="1"/>
    <col min="13052" max="13052" width="3.5" style="16" customWidth="1"/>
    <col min="13053" max="13053" width="7.5" style="16" customWidth="1"/>
    <col min="13054" max="13054" width="9.765625E-2" style="16" customWidth="1"/>
    <col min="13055" max="13055" width="0.5" style="16" customWidth="1"/>
    <col min="13056" max="13056" width="36.09765625" style="16"/>
    <col min="13057" max="13057" width="3.59765625" style="16" customWidth="1"/>
    <col min="13058" max="13058" width="22.8984375" style="16" customWidth="1"/>
    <col min="13059" max="13059" width="4.5" style="16" customWidth="1"/>
    <col min="13060" max="13060" width="5.5" style="16" customWidth="1"/>
    <col min="13061" max="13061" width="9.5" style="16" customWidth="1"/>
    <col min="13062" max="13062" width="5.19921875" style="16" customWidth="1"/>
    <col min="13063" max="13063" width="10.59765625" style="16" customWidth="1"/>
    <col min="13064" max="13064" width="7.59765625" style="16" customWidth="1"/>
    <col min="13065" max="13304" width="0" style="16" hidden="1" customWidth="1"/>
    <col min="13305" max="13305" width="8.09765625" style="16" customWidth="1"/>
    <col min="13306" max="13306" width="3" style="16" customWidth="1"/>
    <col min="13307" max="13307" width="5.5" style="16" customWidth="1"/>
    <col min="13308" max="13308" width="3.5" style="16" customWidth="1"/>
    <col min="13309" max="13309" width="7.5" style="16" customWidth="1"/>
    <col min="13310" max="13310" width="9.765625E-2" style="16" customWidth="1"/>
    <col min="13311" max="13311" width="0.5" style="16" customWidth="1"/>
    <col min="13312" max="13312" width="36.09765625" style="16"/>
    <col min="13313" max="13313" width="3.59765625" style="16" customWidth="1"/>
    <col min="13314" max="13314" width="22.8984375" style="16" customWidth="1"/>
    <col min="13315" max="13315" width="4.5" style="16" customWidth="1"/>
    <col min="13316" max="13316" width="5.5" style="16" customWidth="1"/>
    <col min="13317" max="13317" width="9.5" style="16" customWidth="1"/>
    <col min="13318" max="13318" width="5.19921875" style="16" customWidth="1"/>
    <col min="13319" max="13319" width="10.59765625" style="16" customWidth="1"/>
    <col min="13320" max="13320" width="7.59765625" style="16" customWidth="1"/>
    <col min="13321" max="13560" width="0" style="16" hidden="1" customWidth="1"/>
    <col min="13561" max="13561" width="8.09765625" style="16" customWidth="1"/>
    <col min="13562" max="13562" width="3" style="16" customWidth="1"/>
    <col min="13563" max="13563" width="5.5" style="16" customWidth="1"/>
    <col min="13564" max="13564" width="3.5" style="16" customWidth="1"/>
    <col min="13565" max="13565" width="7.5" style="16" customWidth="1"/>
    <col min="13566" max="13566" width="9.765625E-2" style="16" customWidth="1"/>
    <col min="13567" max="13567" width="0.5" style="16" customWidth="1"/>
    <col min="13568" max="13568" width="36.09765625" style="16"/>
    <col min="13569" max="13569" width="3.59765625" style="16" customWidth="1"/>
    <col min="13570" max="13570" width="22.8984375" style="16" customWidth="1"/>
    <col min="13571" max="13571" width="4.5" style="16" customWidth="1"/>
    <col min="13572" max="13572" width="5.5" style="16" customWidth="1"/>
    <col min="13573" max="13573" width="9.5" style="16" customWidth="1"/>
    <col min="13574" max="13574" width="5.19921875" style="16" customWidth="1"/>
    <col min="13575" max="13575" width="10.59765625" style="16" customWidth="1"/>
    <col min="13576" max="13576" width="7.59765625" style="16" customWidth="1"/>
    <col min="13577" max="13816" width="0" style="16" hidden="1" customWidth="1"/>
    <col min="13817" max="13817" width="8.09765625" style="16" customWidth="1"/>
    <col min="13818" max="13818" width="3" style="16" customWidth="1"/>
    <col min="13819" max="13819" width="5.5" style="16" customWidth="1"/>
    <col min="13820" max="13820" width="3.5" style="16" customWidth="1"/>
    <col min="13821" max="13821" width="7.5" style="16" customWidth="1"/>
    <col min="13822" max="13822" width="9.765625E-2" style="16" customWidth="1"/>
    <col min="13823" max="13823" width="0.5" style="16" customWidth="1"/>
    <col min="13824" max="13824" width="36.09765625" style="16"/>
    <col min="13825" max="13825" width="3.59765625" style="16" customWidth="1"/>
    <col min="13826" max="13826" width="22.8984375" style="16" customWidth="1"/>
    <col min="13827" max="13827" width="4.5" style="16" customWidth="1"/>
    <col min="13828" max="13828" width="5.5" style="16" customWidth="1"/>
    <col min="13829" max="13829" width="9.5" style="16" customWidth="1"/>
    <col min="13830" max="13830" width="5.19921875" style="16" customWidth="1"/>
    <col min="13831" max="13831" width="10.59765625" style="16" customWidth="1"/>
    <col min="13832" max="13832" width="7.59765625" style="16" customWidth="1"/>
    <col min="13833" max="14072" width="0" style="16" hidden="1" customWidth="1"/>
    <col min="14073" max="14073" width="8.09765625" style="16" customWidth="1"/>
    <col min="14074" max="14074" width="3" style="16" customWidth="1"/>
    <col min="14075" max="14075" width="5.5" style="16" customWidth="1"/>
    <col min="14076" max="14076" width="3.5" style="16" customWidth="1"/>
    <col min="14077" max="14077" width="7.5" style="16" customWidth="1"/>
    <col min="14078" max="14078" width="9.765625E-2" style="16" customWidth="1"/>
    <col min="14079" max="14079" width="0.5" style="16" customWidth="1"/>
    <col min="14080" max="14080" width="36.09765625" style="16"/>
    <col min="14081" max="14081" width="3.59765625" style="16" customWidth="1"/>
    <col min="14082" max="14082" width="22.8984375" style="16" customWidth="1"/>
    <col min="14083" max="14083" width="4.5" style="16" customWidth="1"/>
    <col min="14084" max="14084" width="5.5" style="16" customWidth="1"/>
    <col min="14085" max="14085" width="9.5" style="16" customWidth="1"/>
    <col min="14086" max="14086" width="5.19921875" style="16" customWidth="1"/>
    <col min="14087" max="14087" width="10.59765625" style="16" customWidth="1"/>
    <col min="14088" max="14088" width="7.59765625" style="16" customWidth="1"/>
    <col min="14089" max="14328" width="0" style="16" hidden="1" customWidth="1"/>
    <col min="14329" max="14329" width="8.09765625" style="16" customWidth="1"/>
    <col min="14330" max="14330" width="3" style="16" customWidth="1"/>
    <col min="14331" max="14331" width="5.5" style="16" customWidth="1"/>
    <col min="14332" max="14332" width="3.5" style="16" customWidth="1"/>
    <col min="14333" max="14333" width="7.5" style="16" customWidth="1"/>
    <col min="14334" max="14334" width="9.765625E-2" style="16" customWidth="1"/>
    <col min="14335" max="14335" width="0.5" style="16" customWidth="1"/>
    <col min="14336" max="14336" width="36.09765625" style="16"/>
    <col min="14337" max="14337" width="3.59765625" style="16" customWidth="1"/>
    <col min="14338" max="14338" width="22.8984375" style="16" customWidth="1"/>
    <col min="14339" max="14339" width="4.5" style="16" customWidth="1"/>
    <col min="14340" max="14340" width="5.5" style="16" customWidth="1"/>
    <col min="14341" max="14341" width="9.5" style="16" customWidth="1"/>
    <col min="14342" max="14342" width="5.19921875" style="16" customWidth="1"/>
    <col min="14343" max="14343" width="10.59765625" style="16" customWidth="1"/>
    <col min="14344" max="14344" width="7.59765625" style="16" customWidth="1"/>
    <col min="14345" max="14584" width="0" style="16" hidden="1" customWidth="1"/>
    <col min="14585" max="14585" width="8.09765625" style="16" customWidth="1"/>
    <col min="14586" max="14586" width="3" style="16" customWidth="1"/>
    <col min="14587" max="14587" width="5.5" style="16" customWidth="1"/>
    <col min="14588" max="14588" width="3.5" style="16" customWidth="1"/>
    <col min="14589" max="14589" width="7.5" style="16" customWidth="1"/>
    <col min="14590" max="14590" width="9.765625E-2" style="16" customWidth="1"/>
    <col min="14591" max="14591" width="0.5" style="16" customWidth="1"/>
    <col min="14592" max="14592" width="36.09765625" style="16"/>
    <col min="14593" max="14593" width="3.59765625" style="16" customWidth="1"/>
    <col min="14594" max="14594" width="22.8984375" style="16" customWidth="1"/>
    <col min="14595" max="14595" width="4.5" style="16" customWidth="1"/>
    <col min="14596" max="14596" width="5.5" style="16" customWidth="1"/>
    <col min="14597" max="14597" width="9.5" style="16" customWidth="1"/>
    <col min="14598" max="14598" width="5.19921875" style="16" customWidth="1"/>
    <col min="14599" max="14599" width="10.59765625" style="16" customWidth="1"/>
    <col min="14600" max="14600" width="7.59765625" style="16" customWidth="1"/>
    <col min="14601" max="14840" width="0" style="16" hidden="1" customWidth="1"/>
    <col min="14841" max="14841" width="8.09765625" style="16" customWidth="1"/>
    <col min="14842" max="14842" width="3" style="16" customWidth="1"/>
    <col min="14843" max="14843" width="5.5" style="16" customWidth="1"/>
    <col min="14844" max="14844" width="3.5" style="16" customWidth="1"/>
    <col min="14845" max="14845" width="7.5" style="16" customWidth="1"/>
    <col min="14846" max="14846" width="9.765625E-2" style="16" customWidth="1"/>
    <col min="14847" max="14847" width="0.5" style="16" customWidth="1"/>
    <col min="14848" max="14848" width="36.09765625" style="16"/>
    <col min="14849" max="14849" width="3.59765625" style="16" customWidth="1"/>
    <col min="14850" max="14850" width="22.8984375" style="16" customWidth="1"/>
    <col min="14851" max="14851" width="4.5" style="16" customWidth="1"/>
    <col min="14852" max="14852" width="5.5" style="16" customWidth="1"/>
    <col min="14853" max="14853" width="9.5" style="16" customWidth="1"/>
    <col min="14854" max="14854" width="5.19921875" style="16" customWidth="1"/>
    <col min="14855" max="14855" width="10.59765625" style="16" customWidth="1"/>
    <col min="14856" max="14856" width="7.59765625" style="16" customWidth="1"/>
    <col min="14857" max="15096" width="0" style="16" hidden="1" customWidth="1"/>
    <col min="15097" max="15097" width="8.09765625" style="16" customWidth="1"/>
    <col min="15098" max="15098" width="3" style="16" customWidth="1"/>
    <col min="15099" max="15099" width="5.5" style="16" customWidth="1"/>
    <col min="15100" max="15100" width="3.5" style="16" customWidth="1"/>
    <col min="15101" max="15101" width="7.5" style="16" customWidth="1"/>
    <col min="15102" max="15102" width="9.765625E-2" style="16" customWidth="1"/>
    <col min="15103" max="15103" width="0.5" style="16" customWidth="1"/>
    <col min="15104" max="15104" width="36.09765625" style="16"/>
    <col min="15105" max="15105" width="3.59765625" style="16" customWidth="1"/>
    <col min="15106" max="15106" width="22.8984375" style="16" customWidth="1"/>
    <col min="15107" max="15107" width="4.5" style="16" customWidth="1"/>
    <col min="15108" max="15108" width="5.5" style="16" customWidth="1"/>
    <col min="15109" max="15109" width="9.5" style="16" customWidth="1"/>
    <col min="15110" max="15110" width="5.19921875" style="16" customWidth="1"/>
    <col min="15111" max="15111" width="10.59765625" style="16" customWidth="1"/>
    <col min="15112" max="15112" width="7.59765625" style="16" customWidth="1"/>
    <col min="15113" max="15352" width="0" style="16" hidden="1" customWidth="1"/>
    <col min="15353" max="15353" width="8.09765625" style="16" customWidth="1"/>
    <col min="15354" max="15354" width="3" style="16" customWidth="1"/>
    <col min="15355" max="15355" width="5.5" style="16" customWidth="1"/>
    <col min="15356" max="15356" width="3.5" style="16" customWidth="1"/>
    <col min="15357" max="15357" width="7.5" style="16" customWidth="1"/>
    <col min="15358" max="15358" width="9.765625E-2" style="16" customWidth="1"/>
    <col min="15359" max="15359" width="0.5" style="16" customWidth="1"/>
    <col min="15360" max="15360" width="36.09765625" style="16"/>
    <col min="15361" max="15361" width="3.59765625" style="16" customWidth="1"/>
    <col min="15362" max="15362" width="22.8984375" style="16" customWidth="1"/>
    <col min="15363" max="15363" width="4.5" style="16" customWidth="1"/>
    <col min="15364" max="15364" width="5.5" style="16" customWidth="1"/>
    <col min="15365" max="15365" width="9.5" style="16" customWidth="1"/>
    <col min="15366" max="15366" width="5.19921875" style="16" customWidth="1"/>
    <col min="15367" max="15367" width="10.59765625" style="16" customWidth="1"/>
    <col min="15368" max="15368" width="7.59765625" style="16" customWidth="1"/>
    <col min="15369" max="15608" width="0" style="16" hidden="1" customWidth="1"/>
    <col min="15609" max="15609" width="8.09765625" style="16" customWidth="1"/>
    <col min="15610" max="15610" width="3" style="16" customWidth="1"/>
    <col min="15611" max="15611" width="5.5" style="16" customWidth="1"/>
    <col min="15612" max="15612" width="3.5" style="16" customWidth="1"/>
    <col min="15613" max="15613" width="7.5" style="16" customWidth="1"/>
    <col min="15614" max="15614" width="9.765625E-2" style="16" customWidth="1"/>
    <col min="15615" max="15615" width="0.5" style="16" customWidth="1"/>
    <col min="15616" max="15616" width="36.09765625" style="16"/>
    <col min="15617" max="15617" width="3.59765625" style="16" customWidth="1"/>
    <col min="15618" max="15618" width="22.8984375" style="16" customWidth="1"/>
    <col min="15619" max="15619" width="4.5" style="16" customWidth="1"/>
    <col min="15620" max="15620" width="5.5" style="16" customWidth="1"/>
    <col min="15621" max="15621" width="9.5" style="16" customWidth="1"/>
    <col min="15622" max="15622" width="5.19921875" style="16" customWidth="1"/>
    <col min="15623" max="15623" width="10.59765625" style="16" customWidth="1"/>
    <col min="15624" max="15624" width="7.59765625" style="16" customWidth="1"/>
    <col min="15625" max="15864" width="0" style="16" hidden="1" customWidth="1"/>
    <col min="15865" max="15865" width="8.09765625" style="16" customWidth="1"/>
    <col min="15866" max="15866" width="3" style="16" customWidth="1"/>
    <col min="15867" max="15867" width="5.5" style="16" customWidth="1"/>
    <col min="15868" max="15868" width="3.5" style="16" customWidth="1"/>
    <col min="15869" max="15869" width="7.5" style="16" customWidth="1"/>
    <col min="15870" max="15870" width="9.765625E-2" style="16" customWidth="1"/>
    <col min="15871" max="15871" width="0.5" style="16" customWidth="1"/>
    <col min="15872" max="15872" width="36.09765625" style="16"/>
    <col min="15873" max="15873" width="3.59765625" style="16" customWidth="1"/>
    <col min="15874" max="15874" width="22.8984375" style="16" customWidth="1"/>
    <col min="15875" max="15875" width="4.5" style="16" customWidth="1"/>
    <col min="15876" max="15876" width="5.5" style="16" customWidth="1"/>
    <col min="15877" max="15877" width="9.5" style="16" customWidth="1"/>
    <col min="15878" max="15878" width="5.19921875" style="16" customWidth="1"/>
    <col min="15879" max="15879" width="10.59765625" style="16" customWidth="1"/>
    <col min="15880" max="15880" width="7.59765625" style="16" customWidth="1"/>
    <col min="15881" max="16120" width="0" style="16" hidden="1" customWidth="1"/>
    <col min="16121" max="16121" width="8.09765625" style="16" customWidth="1"/>
    <col min="16122" max="16122" width="3" style="16" customWidth="1"/>
    <col min="16123" max="16123" width="5.5" style="16" customWidth="1"/>
    <col min="16124" max="16124" width="3.5" style="16" customWidth="1"/>
    <col min="16125" max="16125" width="7.5" style="16" customWidth="1"/>
    <col min="16126" max="16126" width="9.765625E-2" style="16" customWidth="1"/>
    <col min="16127" max="16127" width="0.5" style="16" customWidth="1"/>
    <col min="16128" max="16128" width="36.09765625" style="16"/>
    <col min="16129" max="16129" width="3.59765625" style="16" customWidth="1"/>
    <col min="16130" max="16130" width="22.8984375" style="16" customWidth="1"/>
    <col min="16131" max="16131" width="4.5" style="16" customWidth="1"/>
    <col min="16132" max="16132" width="5.5" style="16" customWidth="1"/>
    <col min="16133" max="16133" width="9.5" style="16" customWidth="1"/>
    <col min="16134" max="16134" width="5.19921875" style="16" customWidth="1"/>
    <col min="16135" max="16135" width="10.59765625" style="16" customWidth="1"/>
    <col min="16136" max="16136" width="7.59765625" style="16" customWidth="1"/>
    <col min="16137" max="16376" width="0" style="16" hidden="1" customWidth="1"/>
    <col min="16377" max="16377" width="8.09765625" style="16" customWidth="1"/>
    <col min="16378" max="16378" width="3" style="16" customWidth="1"/>
    <col min="16379" max="16379" width="5.5" style="16" customWidth="1"/>
    <col min="16380" max="16380" width="3.5" style="16" customWidth="1"/>
    <col min="16381" max="16381" width="7.5" style="16" customWidth="1"/>
    <col min="16382" max="16382" width="9.765625E-2" style="16" customWidth="1"/>
    <col min="16383" max="16383" width="0.5" style="16" customWidth="1"/>
    <col min="16384" max="16384" width="36.0976562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2317</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2318</v>
      </c>
      <c r="C13" s="425"/>
      <c r="D13" s="425"/>
      <c r="E13" s="425"/>
      <c r="F13" s="425"/>
      <c r="G13" s="73">
        <f>G14</f>
        <v>7788000</v>
      </c>
      <c r="H13" s="74"/>
    </row>
    <row r="14" spans="1:8" s="131" customFormat="1" ht="156">
      <c r="A14" s="123"/>
      <c r="B14" s="124" t="s">
        <v>2059</v>
      </c>
      <c r="C14" s="125" t="s">
        <v>1753</v>
      </c>
      <c r="D14" s="126">
        <v>3.3</v>
      </c>
      <c r="E14" s="127">
        <v>11800000</v>
      </c>
      <c r="F14" s="188">
        <v>0.2</v>
      </c>
      <c r="G14" s="129">
        <f>D14*E14*F14</f>
        <v>7788000</v>
      </c>
      <c r="H14" s="130"/>
    </row>
    <row r="15" spans="1:8" ht="27" customHeight="1">
      <c r="A15" s="75" t="s">
        <v>18</v>
      </c>
      <c r="B15" s="426" t="s">
        <v>1725</v>
      </c>
      <c r="C15" s="426"/>
      <c r="D15" s="426"/>
      <c r="E15" s="426"/>
      <c r="F15" s="426"/>
      <c r="G15" s="76">
        <f>SUM(G16:G22)</f>
        <v>6779140.6198400017</v>
      </c>
      <c r="H15" s="11"/>
    </row>
    <row r="16" spans="1:8" ht="15.6">
      <c r="A16" s="77">
        <v>1</v>
      </c>
      <c r="B16" s="78" t="s">
        <v>2319</v>
      </c>
      <c r="C16" s="14" t="s">
        <v>66</v>
      </c>
      <c r="D16" s="132">
        <f>1.5*4.8</f>
        <v>7.1999999999999993</v>
      </c>
      <c r="E16" s="15">
        <v>379477</v>
      </c>
      <c r="F16" s="187">
        <v>0.2</v>
      </c>
      <c r="G16" s="79">
        <f>D16*E16*F16</f>
        <v>546446.88</v>
      </c>
      <c r="H16" s="15"/>
    </row>
    <row r="17" spans="1:8" ht="31.2">
      <c r="A17" s="77">
        <v>2</v>
      </c>
      <c r="B17" s="78" t="s">
        <v>2320</v>
      </c>
      <c r="C17" s="14" t="s">
        <v>1754</v>
      </c>
      <c r="D17" s="132">
        <f>2*3.4*0.11</f>
        <v>0.748</v>
      </c>
      <c r="E17" s="15">
        <v>2126713</v>
      </c>
      <c r="F17" s="187">
        <v>0.2</v>
      </c>
      <c r="G17" s="79">
        <f>D17*E17*F17</f>
        <v>318156.2648</v>
      </c>
      <c r="H17" s="15"/>
    </row>
    <row r="18" spans="1:8" s="179" customFormat="1" ht="15.6">
      <c r="A18" s="77"/>
      <c r="B18" s="78" t="s">
        <v>2321</v>
      </c>
      <c r="C18" s="14" t="s">
        <v>66</v>
      </c>
      <c r="D18" s="132">
        <f>2*3.4*2</f>
        <v>13.6</v>
      </c>
      <c r="E18" s="15">
        <v>141099</v>
      </c>
      <c r="F18" s="187">
        <v>0.2</v>
      </c>
      <c r="G18" s="79">
        <f t="shared" ref="G18:G20" si="0">D18*E18*F18</f>
        <v>383789.28</v>
      </c>
      <c r="H18" s="15"/>
    </row>
    <row r="19" spans="1:8" ht="31.2">
      <c r="A19" s="77">
        <v>3</v>
      </c>
      <c r="B19" s="78" t="s">
        <v>2322</v>
      </c>
      <c r="C19" s="14" t="s">
        <v>1754</v>
      </c>
      <c r="D19" s="132">
        <f>1.8*3.4*0.22</f>
        <v>1.3464</v>
      </c>
      <c r="E19" s="15">
        <v>1919493</v>
      </c>
      <c r="F19" s="187">
        <v>0.2</v>
      </c>
      <c r="G19" s="79">
        <f t="shared" si="0"/>
        <v>516881.07504000003</v>
      </c>
      <c r="H19" s="15"/>
    </row>
    <row r="20" spans="1:8" s="179" customFormat="1" ht="15.6">
      <c r="A20" s="77"/>
      <c r="B20" s="78" t="s">
        <v>2323</v>
      </c>
      <c r="C20" s="14" t="s">
        <v>66</v>
      </c>
      <c r="D20" s="132">
        <f>1.8*3.4*2</f>
        <v>12.24</v>
      </c>
      <c r="E20" s="15">
        <v>141099</v>
      </c>
      <c r="F20" s="187">
        <v>0.2</v>
      </c>
      <c r="G20" s="79">
        <f t="shared" si="0"/>
        <v>345410.35200000001</v>
      </c>
      <c r="H20" s="15"/>
    </row>
    <row r="21" spans="1:8" ht="15.6">
      <c r="A21" s="77">
        <v>4</v>
      </c>
      <c r="B21" s="78" t="s">
        <v>2324</v>
      </c>
      <c r="C21" s="14" t="s">
        <v>1754</v>
      </c>
      <c r="D21" s="132">
        <f>1*4.8*0.1</f>
        <v>0.48</v>
      </c>
      <c r="E21" s="15">
        <v>1629758</v>
      </c>
      <c r="F21" s="187">
        <v>0.2</v>
      </c>
      <c r="G21" s="79">
        <f>D21*E21*F21</f>
        <v>156456.76800000001</v>
      </c>
      <c r="H21" s="15"/>
    </row>
    <row r="22" spans="1:8" s="17" customFormat="1" ht="15.6">
      <c r="A22" s="77">
        <v>5</v>
      </c>
      <c r="B22" s="78" t="s">
        <v>2325</v>
      </c>
      <c r="C22" s="14" t="s">
        <v>66</v>
      </c>
      <c r="D22" s="132">
        <f>3.2*3</f>
        <v>9.6000000000000014</v>
      </c>
      <c r="E22" s="15">
        <v>2350000</v>
      </c>
      <c r="F22" s="187">
        <v>0.2</v>
      </c>
      <c r="G22" s="79">
        <f>D22*E22*F22</f>
        <v>4512000.0000000009</v>
      </c>
      <c r="H22" s="15"/>
    </row>
    <row r="23" spans="1:8" ht="24" customHeight="1">
      <c r="A23" s="75" t="s">
        <v>19</v>
      </c>
      <c r="B23" s="426" t="s">
        <v>1727</v>
      </c>
      <c r="C23" s="426"/>
      <c r="D23" s="426"/>
      <c r="E23" s="426"/>
      <c r="F23" s="426"/>
      <c r="G23" s="76">
        <f>SUM(G24:G24)</f>
        <v>0</v>
      </c>
      <c r="H23" s="11"/>
    </row>
    <row r="24" spans="1:8" ht="30.6" customHeight="1">
      <c r="A24" s="77"/>
      <c r="B24" s="78" t="s">
        <v>1728</v>
      </c>
      <c r="C24" s="13"/>
      <c r="D24" s="13"/>
      <c r="E24" s="13"/>
      <c r="F24" s="13"/>
      <c r="G24" s="79"/>
      <c r="H24" s="15"/>
    </row>
    <row r="25" spans="1:8" ht="15.6">
      <c r="A25" s="80"/>
      <c r="B25" s="427" t="s">
        <v>62</v>
      </c>
      <c r="C25" s="428"/>
      <c r="D25" s="428"/>
      <c r="E25" s="428"/>
      <c r="F25" s="429"/>
      <c r="G25" s="81">
        <f>G13+G15+G23</f>
        <v>14567140.619840002</v>
      </c>
      <c r="H25" s="82"/>
    </row>
    <row r="26" spans="1:8" ht="15.6">
      <c r="A26" s="80"/>
      <c r="B26" s="427" t="s">
        <v>1726</v>
      </c>
      <c r="C26" s="428"/>
      <c r="D26" s="428"/>
      <c r="E26" s="428"/>
      <c r="F26" s="429"/>
      <c r="G26" s="81">
        <f>ROUND(G25,-3)</f>
        <v>14567000</v>
      </c>
      <c r="H26" s="82"/>
    </row>
    <row r="27" spans="1:8" ht="15.6">
      <c r="A27" s="430" t="str">
        <f>[18]!uni(G26)</f>
        <v xml:space="preserve">Mười bốn triệu năm trăm sáu mươi bảy nghìn đồng </v>
      </c>
      <c r="B27" s="431"/>
      <c r="C27" s="431"/>
      <c r="D27" s="431"/>
      <c r="E27" s="431"/>
      <c r="F27" s="431"/>
      <c r="G27" s="431"/>
      <c r="H27" s="432"/>
    </row>
    <row r="28" spans="1:8">
      <c r="A28" s="17"/>
      <c r="B28" s="17"/>
      <c r="C28" s="97"/>
      <c r="D28" s="20"/>
      <c r="E28" s="19"/>
      <c r="F28" s="97"/>
      <c r="G28" s="19"/>
      <c r="H28" s="17"/>
    </row>
    <row r="29" spans="1:8" s="109" customFormat="1" ht="16.5" customHeight="1">
      <c r="A29" s="108"/>
      <c r="B29" s="108"/>
      <c r="C29" s="424" t="s">
        <v>1742</v>
      </c>
      <c r="D29" s="424"/>
      <c r="E29" s="424"/>
      <c r="F29" s="424"/>
      <c r="G29" s="424"/>
      <c r="H29" s="424"/>
    </row>
    <row r="30" spans="1:8" s="109" customFormat="1" ht="16.5" customHeight="1">
      <c r="A30" s="423" t="s">
        <v>63</v>
      </c>
      <c r="B30" s="423"/>
      <c r="C30" s="424" t="s">
        <v>1743</v>
      </c>
      <c r="D30" s="424"/>
      <c r="E30" s="424"/>
      <c r="F30" s="424" t="s">
        <v>1744</v>
      </c>
      <c r="G30" s="424"/>
      <c r="H30" s="424"/>
    </row>
    <row r="31" spans="1:8" s="109" customFormat="1" ht="15.6">
      <c r="A31" s="108"/>
      <c r="B31" s="108"/>
      <c r="C31" s="108"/>
      <c r="D31" s="110"/>
      <c r="E31" s="111"/>
      <c r="F31" s="112"/>
      <c r="G31" s="111"/>
      <c r="H31" s="113"/>
    </row>
    <row r="32" spans="1:8" s="109" customFormat="1" ht="15.6">
      <c r="A32" s="108"/>
      <c r="B32" s="108"/>
      <c r="C32" s="108"/>
      <c r="D32" s="110"/>
      <c r="E32" s="111"/>
      <c r="F32" s="112"/>
      <c r="G32" s="114"/>
      <c r="H32" s="113"/>
    </row>
    <row r="33" spans="1:8" s="109" customFormat="1" ht="15.6">
      <c r="A33" s="108"/>
      <c r="B33" s="108"/>
      <c r="C33" s="108"/>
      <c r="D33" s="110"/>
      <c r="E33" s="111"/>
      <c r="F33" s="112"/>
      <c r="G33" s="111"/>
      <c r="H33" s="113"/>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6.5" customHeight="1">
      <c r="A36" s="108"/>
      <c r="B36" s="198" t="s">
        <v>64</v>
      </c>
      <c r="C36" s="424"/>
      <c r="D36" s="424"/>
      <c r="E36" s="424"/>
      <c r="F36" s="424" t="s">
        <v>1745</v>
      </c>
      <c r="G36" s="424"/>
      <c r="H36" s="424"/>
    </row>
    <row r="37" spans="1:8" s="109" customFormat="1" ht="15.6">
      <c r="A37" s="108"/>
      <c r="B37" s="198"/>
      <c r="C37" s="199"/>
      <c r="D37" s="199"/>
      <c r="E37" s="199"/>
      <c r="F37" s="199"/>
      <c r="G37" s="199"/>
      <c r="H37" s="199"/>
    </row>
    <row r="38" spans="1:8" s="109" customFormat="1" ht="15" customHeight="1">
      <c r="A38" s="424" t="s">
        <v>1746</v>
      </c>
      <c r="B38" s="424"/>
      <c r="C38" s="424"/>
      <c r="D38" s="424"/>
      <c r="E38" s="424" t="s">
        <v>1747</v>
      </c>
      <c r="F38" s="424"/>
      <c r="G38" s="424"/>
      <c r="H38" s="424"/>
    </row>
    <row r="39" spans="1:8" s="109" customFormat="1" ht="33.6" customHeight="1">
      <c r="A39" s="424" t="s">
        <v>1748</v>
      </c>
      <c r="B39" s="424"/>
      <c r="C39" s="424"/>
      <c r="D39" s="424"/>
      <c r="E39" s="424" t="s">
        <v>65</v>
      </c>
      <c r="F39" s="424"/>
      <c r="G39" s="424"/>
      <c r="H39" s="424"/>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 r="A43" s="108"/>
      <c r="B43" s="108"/>
      <c r="C43" s="108"/>
      <c r="D43" s="110"/>
      <c r="E43" s="111"/>
      <c r="F43" s="112"/>
      <c r="G43" s="111"/>
      <c r="H43" s="113"/>
    </row>
    <row r="44" spans="1:8" s="109" customFormat="1" ht="15.6">
      <c r="A44" s="108"/>
      <c r="B44" s="108"/>
      <c r="C44" s="108"/>
      <c r="D44" s="110"/>
      <c r="E44" s="111"/>
      <c r="F44" s="112"/>
      <c r="G44" s="111"/>
      <c r="H44" s="113"/>
    </row>
    <row r="45" spans="1:8" s="109" customFormat="1" ht="15.6" customHeight="1">
      <c r="A45" s="108"/>
      <c r="B45" s="108"/>
      <c r="C45" s="108"/>
      <c r="D45" s="115"/>
      <c r="E45" s="439" t="s">
        <v>1749</v>
      </c>
      <c r="F45" s="439"/>
      <c r="G45" s="439"/>
      <c r="H45" s="439"/>
    </row>
    <row r="46" spans="1:8" s="109" customFormat="1" ht="16.5" customHeight="1">
      <c r="A46" s="424" t="s">
        <v>1751</v>
      </c>
      <c r="B46" s="424"/>
      <c r="C46" s="424"/>
      <c r="D46" s="424"/>
      <c r="E46" s="424" t="s">
        <v>1750</v>
      </c>
      <c r="F46" s="424"/>
      <c r="G46" s="424"/>
      <c r="H46" s="424"/>
    </row>
    <row r="47" spans="1:8" s="118" customFormat="1" ht="16.2" customHeight="1">
      <c r="A47" s="436"/>
      <c r="B47" s="436"/>
      <c r="C47" s="273"/>
      <c r="D47" s="274"/>
      <c r="E47" s="436"/>
      <c r="F47" s="436"/>
      <c r="G47" s="436"/>
      <c r="H47" s="436"/>
    </row>
    <row r="48" spans="1:8" s="118" customFormat="1" ht="15.75" customHeight="1">
      <c r="A48" s="436"/>
      <c r="B48" s="436"/>
      <c r="C48" s="436"/>
      <c r="D48" s="436"/>
      <c r="E48" s="436"/>
      <c r="F48" s="436"/>
      <c r="G48" s="436"/>
      <c r="H48" s="436"/>
    </row>
    <row r="49" spans="1:8" s="98" customFormat="1" ht="16.2" customHeight="1">
      <c r="A49" s="436"/>
      <c r="B49" s="436"/>
      <c r="C49" s="436"/>
      <c r="D49" s="436"/>
      <c r="E49" s="119"/>
      <c r="F49" s="120"/>
      <c r="G49" s="119"/>
      <c r="H49" s="121"/>
    </row>
    <row r="50" spans="1:8" s="98" customFormat="1" ht="16.2" customHeight="1">
      <c r="A50" s="436"/>
      <c r="B50" s="436"/>
      <c r="C50" s="436"/>
      <c r="D50" s="436"/>
      <c r="E50" s="119"/>
      <c r="F50" s="120"/>
      <c r="G50" s="119"/>
      <c r="H50" s="121"/>
    </row>
    <row r="51" spans="1:8" s="98" customFormat="1" ht="16.2" customHeight="1">
      <c r="A51" s="121"/>
      <c r="B51" s="121"/>
      <c r="C51" s="121"/>
      <c r="D51" s="122"/>
      <c r="E51" s="119"/>
      <c r="F51" s="120"/>
      <c r="G51" s="119"/>
      <c r="H51" s="121"/>
    </row>
    <row r="52" spans="1:8" ht="16.2" customHeight="1">
      <c r="A52" s="83"/>
      <c r="B52" s="83"/>
      <c r="C52" s="83"/>
      <c r="D52" s="84"/>
      <c r="E52" s="85"/>
      <c r="F52" s="86"/>
      <c r="G52" s="85"/>
      <c r="H52" s="83"/>
    </row>
    <row r="53" spans="1:8" ht="16.2" customHeight="1">
      <c r="A53" s="83"/>
      <c r="B53" s="83"/>
      <c r="C53" s="83"/>
      <c r="D53" s="84"/>
      <c r="E53" s="85"/>
      <c r="F53" s="86"/>
      <c r="G53" s="85"/>
      <c r="H53" s="83"/>
    </row>
    <row r="54" spans="1:8" ht="16.2" customHeight="1">
      <c r="A54" s="83"/>
      <c r="B54" s="83"/>
      <c r="C54" s="83"/>
      <c r="D54" s="84"/>
      <c r="E54" s="85"/>
      <c r="F54" s="86"/>
      <c r="G54" s="85"/>
      <c r="H54" s="83"/>
    </row>
    <row r="55" spans="1:8" ht="16.2" customHeight="1">
      <c r="A55" s="83"/>
      <c r="B55" s="83"/>
      <c r="C55" s="83"/>
      <c r="D55" s="84"/>
      <c r="E55" s="437"/>
      <c r="F55" s="437"/>
      <c r="G55" s="437"/>
      <c r="H55" s="437"/>
    </row>
    <row r="56" spans="1:8" ht="20.25" customHeight="1">
      <c r="A56" s="438"/>
      <c r="B56" s="438"/>
      <c r="C56" s="438"/>
      <c r="D56" s="438"/>
      <c r="E56" s="438"/>
      <c r="F56" s="438"/>
      <c r="G56" s="438"/>
      <c r="H56" s="438"/>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row r="232"/>
    <row r="233"/>
    <row r="234"/>
    <row r="235"/>
    <row r="236"/>
    <row r="237"/>
    <row r="238"/>
    <row r="239"/>
    <row r="240"/>
    <row r="241"/>
    <row r="242"/>
    <row r="243"/>
    <row r="244"/>
    <row r="245"/>
    <row r="246"/>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sheetData>
  <mergeCells count="40">
    <mergeCell ref="A4:B4"/>
    <mergeCell ref="C4:H4"/>
    <mergeCell ref="A1:B1"/>
    <mergeCell ref="C1:H1"/>
    <mergeCell ref="A2:B2"/>
    <mergeCell ref="C2:H2"/>
    <mergeCell ref="A3:B3"/>
    <mergeCell ref="A27:H27"/>
    <mergeCell ref="A6:H6"/>
    <mergeCell ref="A7:H7"/>
    <mergeCell ref="A8:H8"/>
    <mergeCell ref="A9:H9"/>
    <mergeCell ref="A10:H10"/>
    <mergeCell ref="A11:H11"/>
    <mergeCell ref="B13:F13"/>
    <mergeCell ref="B15:F15"/>
    <mergeCell ref="B23:F23"/>
    <mergeCell ref="B25:F25"/>
    <mergeCell ref="B26:F26"/>
    <mergeCell ref="A46:D46"/>
    <mergeCell ref="E46:H46"/>
    <mergeCell ref="C29:H29"/>
    <mergeCell ref="A30:B30"/>
    <mergeCell ref="C30:E30"/>
    <mergeCell ref="F30:H30"/>
    <mergeCell ref="C36:E36"/>
    <mergeCell ref="F36:H36"/>
    <mergeCell ref="A38:D38"/>
    <mergeCell ref="E38:H38"/>
    <mergeCell ref="A39:D39"/>
    <mergeCell ref="E39:H39"/>
    <mergeCell ref="E45:H45"/>
    <mergeCell ref="E55:H55"/>
    <mergeCell ref="A56:H56"/>
    <mergeCell ref="A47:B47"/>
    <mergeCell ref="E47:H47"/>
    <mergeCell ref="A48:D48"/>
    <mergeCell ref="E48:H48"/>
    <mergeCell ref="A49:D49"/>
    <mergeCell ref="A50:D50"/>
  </mergeCells>
  <dataValidations count="1">
    <dataValidation type="list" allowBlank="1" showInputMessage="1" showErrorMessage="1" sqref="WVJ983048:WVJ983065 B983048:B983065 IX983048:IX983065 ST983048:ST983065 ACP983048:ACP983065 AML983048:AML983065 AWH983048:AWH983065 BGD983048:BGD983065 BPZ983048:BPZ983065 BZV983048:BZV983065 CJR983048:CJR983065 CTN983048:CTN983065 DDJ983048:DDJ983065 DNF983048:DNF983065 DXB983048:DXB983065 EGX983048:EGX983065 EQT983048:EQT983065 FAP983048:FAP983065 FKL983048:FKL983065 FUH983048:FUH983065 GED983048:GED983065 GNZ983048:GNZ983065 GXV983048:GXV983065 HHR983048:HHR983065 HRN983048:HRN983065 IBJ983048:IBJ983065 ILF983048:ILF983065 IVB983048:IVB983065 JEX983048:JEX983065 JOT983048:JOT983065 JYP983048:JYP983065 KIL983048:KIL983065 KSH983048:KSH983065 LCD983048:LCD983065 LLZ983048:LLZ983065 LVV983048:LVV983065 MFR983048:MFR983065 MPN983048:MPN983065 MZJ983048:MZJ983065 NJF983048:NJF983065 NTB983048:NTB983065 OCX983048:OCX983065 OMT983048:OMT983065 OWP983048:OWP983065 PGL983048:PGL983065 PQH983048:PQH983065 QAD983048:QAD983065 QJZ983048:QJZ983065 QTV983048:QTV983065 RDR983048:RDR983065 RNN983048:RNN983065 RXJ983048:RXJ983065 SHF983048:SHF983065 SRB983048:SRB983065 TAX983048:TAX983065 TKT983048:TKT983065 TUP983048:TUP983065 UEL983048:UEL983065 UOH983048:UOH983065 UYD983048:UYD983065 VHZ983048:VHZ983065 VRV983048:VRV983065 WBR983048:WBR983065 WLN983048:WLN983065 B65544:B65561 IX65544:IX65561 ST65544:ST65561 ACP65544:ACP65561 AML65544:AML65561 AWH65544:AWH65561 BGD65544:BGD65561 BPZ65544:BPZ65561 BZV65544:BZV65561 CJR65544:CJR65561 CTN65544:CTN65561 DDJ65544:DDJ65561 DNF65544:DNF65561 DXB65544:DXB65561 EGX65544:EGX65561 EQT65544:EQT65561 FAP65544:FAP65561 FKL65544:FKL65561 FUH65544:FUH65561 GED65544:GED65561 GNZ65544:GNZ65561 GXV65544:GXV65561 HHR65544:HHR65561 HRN65544:HRN65561 IBJ65544:IBJ65561 ILF65544:ILF65561 IVB65544:IVB65561 JEX65544:JEX65561 JOT65544:JOT65561 JYP65544:JYP65561 KIL65544:KIL65561 KSH65544:KSH65561 LCD65544:LCD65561 LLZ65544:LLZ65561 LVV65544:LVV65561 MFR65544:MFR65561 MPN65544:MPN65561 MZJ65544:MZJ65561 NJF65544:NJF65561 NTB65544:NTB65561 OCX65544:OCX65561 OMT65544:OMT65561 OWP65544:OWP65561 PGL65544:PGL65561 PQH65544:PQH65561 QAD65544:QAD65561 QJZ65544:QJZ65561 QTV65544:QTV65561 RDR65544:RDR65561 RNN65544:RNN65561 RXJ65544:RXJ65561 SHF65544:SHF65561 SRB65544:SRB65561 TAX65544:TAX65561 TKT65544:TKT65561 TUP65544:TUP65561 UEL65544:UEL65561 UOH65544:UOH65561 UYD65544:UYD65561 VHZ65544:VHZ65561 VRV65544:VRV65561 WBR65544:WBR65561 WLN65544:WLN65561 WVJ65544:WVJ65561 B131080:B131097 IX131080:IX131097 ST131080:ST131097 ACP131080:ACP131097 AML131080:AML131097 AWH131080:AWH131097 BGD131080:BGD131097 BPZ131080:BPZ131097 BZV131080:BZV131097 CJR131080:CJR131097 CTN131080:CTN131097 DDJ131080:DDJ131097 DNF131080:DNF131097 DXB131080:DXB131097 EGX131080:EGX131097 EQT131080:EQT131097 FAP131080:FAP131097 FKL131080:FKL131097 FUH131080:FUH131097 GED131080:GED131097 GNZ131080:GNZ131097 GXV131080:GXV131097 HHR131080:HHR131097 HRN131080:HRN131097 IBJ131080:IBJ131097 ILF131080:ILF131097 IVB131080:IVB131097 JEX131080:JEX131097 JOT131080:JOT131097 JYP131080:JYP131097 KIL131080:KIL131097 KSH131080:KSH131097 LCD131080:LCD131097 LLZ131080:LLZ131097 LVV131080:LVV131097 MFR131080:MFR131097 MPN131080:MPN131097 MZJ131080:MZJ131097 NJF131080:NJF131097 NTB131080:NTB131097 OCX131080:OCX131097 OMT131080:OMT131097 OWP131080:OWP131097 PGL131080:PGL131097 PQH131080:PQH131097 QAD131080:QAD131097 QJZ131080:QJZ131097 QTV131080:QTV131097 RDR131080:RDR131097 RNN131080:RNN131097 RXJ131080:RXJ131097 SHF131080:SHF131097 SRB131080:SRB131097 TAX131080:TAX131097 TKT131080:TKT131097 TUP131080:TUP131097 UEL131080:UEL131097 UOH131080:UOH131097 UYD131080:UYD131097 VHZ131080:VHZ131097 VRV131080:VRV131097 WBR131080:WBR131097 WLN131080:WLN131097 WVJ131080:WVJ131097 B196616:B196633 IX196616:IX196633 ST196616:ST196633 ACP196616:ACP196633 AML196616:AML196633 AWH196616:AWH196633 BGD196616:BGD196633 BPZ196616:BPZ196633 BZV196616:BZV196633 CJR196616:CJR196633 CTN196616:CTN196633 DDJ196616:DDJ196633 DNF196616:DNF196633 DXB196616:DXB196633 EGX196616:EGX196633 EQT196616:EQT196633 FAP196616:FAP196633 FKL196616:FKL196633 FUH196616:FUH196633 GED196616:GED196633 GNZ196616:GNZ196633 GXV196616:GXV196633 HHR196616:HHR196633 HRN196616:HRN196633 IBJ196616:IBJ196633 ILF196616:ILF196633 IVB196616:IVB196633 JEX196616:JEX196633 JOT196616:JOT196633 JYP196616:JYP196633 KIL196616:KIL196633 KSH196616:KSH196633 LCD196616:LCD196633 LLZ196616:LLZ196633 LVV196616:LVV196633 MFR196616:MFR196633 MPN196616:MPN196633 MZJ196616:MZJ196633 NJF196616:NJF196633 NTB196616:NTB196633 OCX196616:OCX196633 OMT196616:OMT196633 OWP196616:OWP196633 PGL196616:PGL196633 PQH196616:PQH196633 QAD196616:QAD196633 QJZ196616:QJZ196633 QTV196616:QTV196633 RDR196616:RDR196633 RNN196616:RNN196633 RXJ196616:RXJ196633 SHF196616:SHF196633 SRB196616:SRB196633 TAX196616:TAX196633 TKT196616:TKT196633 TUP196616:TUP196633 UEL196616:UEL196633 UOH196616:UOH196633 UYD196616:UYD196633 VHZ196616:VHZ196633 VRV196616:VRV196633 WBR196616:WBR196633 WLN196616:WLN196633 WVJ196616:WVJ196633 B262152:B262169 IX262152:IX262169 ST262152:ST262169 ACP262152:ACP262169 AML262152:AML262169 AWH262152:AWH262169 BGD262152:BGD262169 BPZ262152:BPZ262169 BZV262152:BZV262169 CJR262152:CJR262169 CTN262152:CTN262169 DDJ262152:DDJ262169 DNF262152:DNF262169 DXB262152:DXB262169 EGX262152:EGX262169 EQT262152:EQT262169 FAP262152:FAP262169 FKL262152:FKL262169 FUH262152:FUH262169 GED262152:GED262169 GNZ262152:GNZ262169 GXV262152:GXV262169 HHR262152:HHR262169 HRN262152:HRN262169 IBJ262152:IBJ262169 ILF262152:ILF262169 IVB262152:IVB262169 JEX262152:JEX262169 JOT262152:JOT262169 JYP262152:JYP262169 KIL262152:KIL262169 KSH262152:KSH262169 LCD262152:LCD262169 LLZ262152:LLZ262169 LVV262152:LVV262169 MFR262152:MFR262169 MPN262152:MPN262169 MZJ262152:MZJ262169 NJF262152:NJF262169 NTB262152:NTB262169 OCX262152:OCX262169 OMT262152:OMT262169 OWP262152:OWP262169 PGL262152:PGL262169 PQH262152:PQH262169 QAD262152:QAD262169 QJZ262152:QJZ262169 QTV262152:QTV262169 RDR262152:RDR262169 RNN262152:RNN262169 RXJ262152:RXJ262169 SHF262152:SHF262169 SRB262152:SRB262169 TAX262152:TAX262169 TKT262152:TKT262169 TUP262152:TUP262169 UEL262152:UEL262169 UOH262152:UOH262169 UYD262152:UYD262169 VHZ262152:VHZ262169 VRV262152:VRV262169 WBR262152:WBR262169 WLN262152:WLN262169 WVJ262152:WVJ262169 B327688:B327705 IX327688:IX327705 ST327688:ST327705 ACP327688:ACP327705 AML327688:AML327705 AWH327688:AWH327705 BGD327688:BGD327705 BPZ327688:BPZ327705 BZV327688:BZV327705 CJR327688:CJR327705 CTN327688:CTN327705 DDJ327688:DDJ327705 DNF327688:DNF327705 DXB327688:DXB327705 EGX327688:EGX327705 EQT327688:EQT327705 FAP327688:FAP327705 FKL327688:FKL327705 FUH327688:FUH327705 GED327688:GED327705 GNZ327688:GNZ327705 GXV327688:GXV327705 HHR327688:HHR327705 HRN327688:HRN327705 IBJ327688:IBJ327705 ILF327688:ILF327705 IVB327688:IVB327705 JEX327688:JEX327705 JOT327688:JOT327705 JYP327688:JYP327705 KIL327688:KIL327705 KSH327688:KSH327705 LCD327688:LCD327705 LLZ327688:LLZ327705 LVV327688:LVV327705 MFR327688:MFR327705 MPN327688:MPN327705 MZJ327688:MZJ327705 NJF327688:NJF327705 NTB327688:NTB327705 OCX327688:OCX327705 OMT327688:OMT327705 OWP327688:OWP327705 PGL327688:PGL327705 PQH327688:PQH327705 QAD327688:QAD327705 QJZ327688:QJZ327705 QTV327688:QTV327705 RDR327688:RDR327705 RNN327688:RNN327705 RXJ327688:RXJ327705 SHF327688:SHF327705 SRB327688:SRB327705 TAX327688:TAX327705 TKT327688:TKT327705 TUP327688:TUP327705 UEL327688:UEL327705 UOH327688:UOH327705 UYD327688:UYD327705 VHZ327688:VHZ327705 VRV327688:VRV327705 WBR327688:WBR327705 WLN327688:WLN327705 WVJ327688:WVJ327705 B393224:B393241 IX393224:IX393241 ST393224:ST393241 ACP393224:ACP393241 AML393224:AML393241 AWH393224:AWH393241 BGD393224:BGD393241 BPZ393224:BPZ393241 BZV393224:BZV393241 CJR393224:CJR393241 CTN393224:CTN393241 DDJ393224:DDJ393241 DNF393224:DNF393241 DXB393224:DXB393241 EGX393224:EGX393241 EQT393224:EQT393241 FAP393224:FAP393241 FKL393224:FKL393241 FUH393224:FUH393241 GED393224:GED393241 GNZ393224:GNZ393241 GXV393224:GXV393241 HHR393224:HHR393241 HRN393224:HRN393241 IBJ393224:IBJ393241 ILF393224:ILF393241 IVB393224:IVB393241 JEX393224:JEX393241 JOT393224:JOT393241 JYP393224:JYP393241 KIL393224:KIL393241 KSH393224:KSH393241 LCD393224:LCD393241 LLZ393224:LLZ393241 LVV393224:LVV393241 MFR393224:MFR393241 MPN393224:MPN393241 MZJ393224:MZJ393241 NJF393224:NJF393241 NTB393224:NTB393241 OCX393224:OCX393241 OMT393224:OMT393241 OWP393224:OWP393241 PGL393224:PGL393241 PQH393224:PQH393241 QAD393224:QAD393241 QJZ393224:QJZ393241 QTV393224:QTV393241 RDR393224:RDR393241 RNN393224:RNN393241 RXJ393224:RXJ393241 SHF393224:SHF393241 SRB393224:SRB393241 TAX393224:TAX393241 TKT393224:TKT393241 TUP393224:TUP393241 UEL393224:UEL393241 UOH393224:UOH393241 UYD393224:UYD393241 VHZ393224:VHZ393241 VRV393224:VRV393241 WBR393224:WBR393241 WLN393224:WLN393241 WVJ393224:WVJ393241 B458760:B458777 IX458760:IX458777 ST458760:ST458777 ACP458760:ACP458777 AML458760:AML458777 AWH458760:AWH458777 BGD458760:BGD458777 BPZ458760:BPZ458777 BZV458760:BZV458777 CJR458760:CJR458777 CTN458760:CTN458777 DDJ458760:DDJ458777 DNF458760:DNF458777 DXB458760:DXB458777 EGX458760:EGX458777 EQT458760:EQT458777 FAP458760:FAP458777 FKL458760:FKL458777 FUH458760:FUH458777 GED458760:GED458777 GNZ458760:GNZ458777 GXV458760:GXV458777 HHR458760:HHR458777 HRN458760:HRN458777 IBJ458760:IBJ458777 ILF458760:ILF458777 IVB458760:IVB458777 JEX458760:JEX458777 JOT458760:JOT458777 JYP458760:JYP458777 KIL458760:KIL458777 KSH458760:KSH458777 LCD458760:LCD458777 LLZ458760:LLZ458777 LVV458760:LVV458777 MFR458760:MFR458777 MPN458760:MPN458777 MZJ458760:MZJ458777 NJF458760:NJF458777 NTB458760:NTB458777 OCX458760:OCX458777 OMT458760:OMT458777 OWP458760:OWP458777 PGL458760:PGL458777 PQH458760:PQH458777 QAD458760:QAD458777 QJZ458760:QJZ458777 QTV458760:QTV458777 RDR458760:RDR458777 RNN458760:RNN458777 RXJ458760:RXJ458777 SHF458760:SHF458777 SRB458760:SRB458777 TAX458760:TAX458777 TKT458760:TKT458777 TUP458760:TUP458777 UEL458760:UEL458777 UOH458760:UOH458777 UYD458760:UYD458777 VHZ458760:VHZ458777 VRV458760:VRV458777 WBR458760:WBR458777 WLN458760:WLN458777 WVJ458760:WVJ458777 B524296:B524313 IX524296:IX524313 ST524296:ST524313 ACP524296:ACP524313 AML524296:AML524313 AWH524296:AWH524313 BGD524296:BGD524313 BPZ524296:BPZ524313 BZV524296:BZV524313 CJR524296:CJR524313 CTN524296:CTN524313 DDJ524296:DDJ524313 DNF524296:DNF524313 DXB524296:DXB524313 EGX524296:EGX524313 EQT524296:EQT524313 FAP524296:FAP524313 FKL524296:FKL524313 FUH524296:FUH524313 GED524296:GED524313 GNZ524296:GNZ524313 GXV524296:GXV524313 HHR524296:HHR524313 HRN524296:HRN524313 IBJ524296:IBJ524313 ILF524296:ILF524313 IVB524296:IVB524313 JEX524296:JEX524313 JOT524296:JOT524313 JYP524296:JYP524313 KIL524296:KIL524313 KSH524296:KSH524313 LCD524296:LCD524313 LLZ524296:LLZ524313 LVV524296:LVV524313 MFR524296:MFR524313 MPN524296:MPN524313 MZJ524296:MZJ524313 NJF524296:NJF524313 NTB524296:NTB524313 OCX524296:OCX524313 OMT524296:OMT524313 OWP524296:OWP524313 PGL524296:PGL524313 PQH524296:PQH524313 QAD524296:QAD524313 QJZ524296:QJZ524313 QTV524296:QTV524313 RDR524296:RDR524313 RNN524296:RNN524313 RXJ524296:RXJ524313 SHF524296:SHF524313 SRB524296:SRB524313 TAX524296:TAX524313 TKT524296:TKT524313 TUP524296:TUP524313 UEL524296:UEL524313 UOH524296:UOH524313 UYD524296:UYD524313 VHZ524296:VHZ524313 VRV524296:VRV524313 WBR524296:WBR524313 WLN524296:WLN524313 WVJ524296:WVJ524313 B589832:B589849 IX589832:IX589849 ST589832:ST589849 ACP589832:ACP589849 AML589832:AML589849 AWH589832:AWH589849 BGD589832:BGD589849 BPZ589832:BPZ589849 BZV589832:BZV589849 CJR589832:CJR589849 CTN589832:CTN589849 DDJ589832:DDJ589849 DNF589832:DNF589849 DXB589832:DXB589849 EGX589832:EGX589849 EQT589832:EQT589849 FAP589832:FAP589849 FKL589832:FKL589849 FUH589832:FUH589849 GED589832:GED589849 GNZ589832:GNZ589849 GXV589832:GXV589849 HHR589832:HHR589849 HRN589832:HRN589849 IBJ589832:IBJ589849 ILF589832:ILF589849 IVB589832:IVB589849 JEX589832:JEX589849 JOT589832:JOT589849 JYP589832:JYP589849 KIL589832:KIL589849 KSH589832:KSH589849 LCD589832:LCD589849 LLZ589832:LLZ589849 LVV589832:LVV589849 MFR589832:MFR589849 MPN589832:MPN589849 MZJ589832:MZJ589849 NJF589832:NJF589849 NTB589832:NTB589849 OCX589832:OCX589849 OMT589832:OMT589849 OWP589832:OWP589849 PGL589832:PGL589849 PQH589832:PQH589849 QAD589832:QAD589849 QJZ589832:QJZ589849 QTV589832:QTV589849 RDR589832:RDR589849 RNN589832:RNN589849 RXJ589832:RXJ589849 SHF589832:SHF589849 SRB589832:SRB589849 TAX589832:TAX589849 TKT589832:TKT589849 TUP589832:TUP589849 UEL589832:UEL589849 UOH589832:UOH589849 UYD589832:UYD589849 VHZ589832:VHZ589849 VRV589832:VRV589849 WBR589832:WBR589849 WLN589832:WLN589849 WVJ589832:WVJ589849 B655368:B655385 IX655368:IX655385 ST655368:ST655385 ACP655368:ACP655385 AML655368:AML655385 AWH655368:AWH655385 BGD655368:BGD655385 BPZ655368:BPZ655385 BZV655368:BZV655385 CJR655368:CJR655385 CTN655368:CTN655385 DDJ655368:DDJ655385 DNF655368:DNF655385 DXB655368:DXB655385 EGX655368:EGX655385 EQT655368:EQT655385 FAP655368:FAP655385 FKL655368:FKL655385 FUH655368:FUH655385 GED655368:GED655385 GNZ655368:GNZ655385 GXV655368:GXV655385 HHR655368:HHR655385 HRN655368:HRN655385 IBJ655368:IBJ655385 ILF655368:ILF655385 IVB655368:IVB655385 JEX655368:JEX655385 JOT655368:JOT655385 JYP655368:JYP655385 KIL655368:KIL655385 KSH655368:KSH655385 LCD655368:LCD655385 LLZ655368:LLZ655385 LVV655368:LVV655385 MFR655368:MFR655385 MPN655368:MPN655385 MZJ655368:MZJ655385 NJF655368:NJF655385 NTB655368:NTB655385 OCX655368:OCX655385 OMT655368:OMT655385 OWP655368:OWP655385 PGL655368:PGL655385 PQH655368:PQH655385 QAD655368:QAD655385 QJZ655368:QJZ655385 QTV655368:QTV655385 RDR655368:RDR655385 RNN655368:RNN655385 RXJ655368:RXJ655385 SHF655368:SHF655385 SRB655368:SRB655385 TAX655368:TAX655385 TKT655368:TKT655385 TUP655368:TUP655385 UEL655368:UEL655385 UOH655368:UOH655385 UYD655368:UYD655385 VHZ655368:VHZ655385 VRV655368:VRV655385 WBR655368:WBR655385 WLN655368:WLN655385 WVJ655368:WVJ655385 B720904:B720921 IX720904:IX720921 ST720904:ST720921 ACP720904:ACP720921 AML720904:AML720921 AWH720904:AWH720921 BGD720904:BGD720921 BPZ720904:BPZ720921 BZV720904:BZV720921 CJR720904:CJR720921 CTN720904:CTN720921 DDJ720904:DDJ720921 DNF720904:DNF720921 DXB720904:DXB720921 EGX720904:EGX720921 EQT720904:EQT720921 FAP720904:FAP720921 FKL720904:FKL720921 FUH720904:FUH720921 GED720904:GED720921 GNZ720904:GNZ720921 GXV720904:GXV720921 HHR720904:HHR720921 HRN720904:HRN720921 IBJ720904:IBJ720921 ILF720904:ILF720921 IVB720904:IVB720921 JEX720904:JEX720921 JOT720904:JOT720921 JYP720904:JYP720921 KIL720904:KIL720921 KSH720904:KSH720921 LCD720904:LCD720921 LLZ720904:LLZ720921 LVV720904:LVV720921 MFR720904:MFR720921 MPN720904:MPN720921 MZJ720904:MZJ720921 NJF720904:NJF720921 NTB720904:NTB720921 OCX720904:OCX720921 OMT720904:OMT720921 OWP720904:OWP720921 PGL720904:PGL720921 PQH720904:PQH720921 QAD720904:QAD720921 QJZ720904:QJZ720921 QTV720904:QTV720921 RDR720904:RDR720921 RNN720904:RNN720921 RXJ720904:RXJ720921 SHF720904:SHF720921 SRB720904:SRB720921 TAX720904:TAX720921 TKT720904:TKT720921 TUP720904:TUP720921 UEL720904:UEL720921 UOH720904:UOH720921 UYD720904:UYD720921 VHZ720904:VHZ720921 VRV720904:VRV720921 WBR720904:WBR720921 WLN720904:WLN720921 WVJ720904:WVJ720921 B786440:B786457 IX786440:IX786457 ST786440:ST786457 ACP786440:ACP786457 AML786440:AML786457 AWH786440:AWH786457 BGD786440:BGD786457 BPZ786440:BPZ786457 BZV786440:BZV786457 CJR786440:CJR786457 CTN786440:CTN786457 DDJ786440:DDJ786457 DNF786440:DNF786457 DXB786440:DXB786457 EGX786440:EGX786457 EQT786440:EQT786457 FAP786440:FAP786457 FKL786440:FKL786457 FUH786440:FUH786457 GED786440:GED786457 GNZ786440:GNZ786457 GXV786440:GXV786457 HHR786440:HHR786457 HRN786440:HRN786457 IBJ786440:IBJ786457 ILF786440:ILF786457 IVB786440:IVB786457 JEX786440:JEX786457 JOT786440:JOT786457 JYP786440:JYP786457 KIL786440:KIL786457 KSH786440:KSH786457 LCD786440:LCD786457 LLZ786440:LLZ786457 LVV786440:LVV786457 MFR786440:MFR786457 MPN786440:MPN786457 MZJ786440:MZJ786457 NJF786440:NJF786457 NTB786440:NTB786457 OCX786440:OCX786457 OMT786440:OMT786457 OWP786440:OWP786457 PGL786440:PGL786457 PQH786440:PQH786457 QAD786440:QAD786457 QJZ786440:QJZ786457 QTV786440:QTV786457 RDR786440:RDR786457 RNN786440:RNN786457 RXJ786440:RXJ786457 SHF786440:SHF786457 SRB786440:SRB786457 TAX786440:TAX786457 TKT786440:TKT786457 TUP786440:TUP786457 UEL786440:UEL786457 UOH786440:UOH786457 UYD786440:UYD786457 VHZ786440:VHZ786457 VRV786440:VRV786457 WBR786440:WBR786457 WLN786440:WLN786457 WVJ786440:WVJ786457 B851976:B851993 IX851976:IX851993 ST851976:ST851993 ACP851976:ACP851993 AML851976:AML851993 AWH851976:AWH851993 BGD851976:BGD851993 BPZ851976:BPZ851993 BZV851976:BZV851993 CJR851976:CJR851993 CTN851976:CTN851993 DDJ851976:DDJ851993 DNF851976:DNF851993 DXB851976:DXB851993 EGX851976:EGX851993 EQT851976:EQT851993 FAP851976:FAP851993 FKL851976:FKL851993 FUH851976:FUH851993 GED851976:GED851993 GNZ851976:GNZ851993 GXV851976:GXV851993 HHR851976:HHR851993 HRN851976:HRN851993 IBJ851976:IBJ851993 ILF851976:ILF851993 IVB851976:IVB851993 JEX851976:JEX851993 JOT851976:JOT851993 JYP851976:JYP851993 KIL851976:KIL851993 KSH851976:KSH851993 LCD851976:LCD851993 LLZ851976:LLZ851993 LVV851976:LVV851993 MFR851976:MFR851993 MPN851976:MPN851993 MZJ851976:MZJ851993 NJF851976:NJF851993 NTB851976:NTB851993 OCX851976:OCX851993 OMT851976:OMT851993 OWP851976:OWP851993 PGL851976:PGL851993 PQH851976:PQH851993 QAD851976:QAD851993 QJZ851976:QJZ851993 QTV851976:QTV851993 RDR851976:RDR851993 RNN851976:RNN851993 RXJ851976:RXJ851993 SHF851976:SHF851993 SRB851976:SRB851993 TAX851976:TAX851993 TKT851976:TKT851993 TUP851976:TUP851993 UEL851976:UEL851993 UOH851976:UOH851993 UYD851976:UYD851993 VHZ851976:VHZ851993 VRV851976:VRV851993 WBR851976:WBR851993 WLN851976:WLN851993 WVJ851976:WVJ851993 B917512:B917529 IX917512:IX917529 ST917512:ST917529 ACP917512:ACP917529 AML917512:AML917529 AWH917512:AWH917529 BGD917512:BGD917529 BPZ917512:BPZ917529 BZV917512:BZV917529 CJR917512:CJR917529 CTN917512:CTN917529 DDJ917512:DDJ917529 DNF917512:DNF917529 DXB917512:DXB917529 EGX917512:EGX917529 EQT917512:EQT917529 FAP917512:FAP917529 FKL917512:FKL917529 FUH917512:FUH917529 GED917512:GED917529 GNZ917512:GNZ917529 GXV917512:GXV917529 HHR917512:HHR917529 HRN917512:HRN917529 IBJ917512:IBJ917529 ILF917512:ILF917529 IVB917512:IVB917529 JEX917512:JEX917529 JOT917512:JOT917529 JYP917512:JYP917529 KIL917512:KIL917529 KSH917512:KSH917529 LCD917512:LCD917529 LLZ917512:LLZ917529 LVV917512:LVV917529 MFR917512:MFR917529 MPN917512:MPN917529 MZJ917512:MZJ917529 NJF917512:NJF917529 NTB917512:NTB917529 OCX917512:OCX917529 OMT917512:OMT917529 OWP917512:OWP917529 PGL917512:PGL917529 PQH917512:PQH917529 QAD917512:QAD917529 QJZ917512:QJZ917529 QTV917512:QTV917529 RDR917512:RDR917529 RNN917512:RNN917529 RXJ917512:RXJ917529 SHF917512:SHF917529 SRB917512:SRB917529 TAX917512:TAX917529 TKT917512:TKT917529 TUP917512:TUP917529 UEL917512:UEL917529 UOH917512:UOH917529 UYD917512:UYD917529 VHZ917512:VHZ917529 VRV917512:VRV917529 WBR917512:WBR917529 WLN917512:WLN917529 WVJ917512:WVJ917529" xr:uid="{00000000-0002-0000-3A00-000000000000}">
      <formula1>trung</formula1>
    </dataValidation>
  </dataValidations>
  <pageMargins left="0.7" right="0.51" top="0.75" bottom="0.62"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O313"/>
  <sheetViews>
    <sheetView topLeftCell="A10" workbookViewId="0">
      <selection activeCell="IO25" sqref="IO2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17.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35"/>
      <c r="G3" s="102"/>
      <c r="H3" s="103"/>
    </row>
    <row r="4" spans="1:8" s="98" customFormat="1" ht="18" customHeight="1">
      <c r="A4" s="414"/>
      <c r="B4" s="414"/>
      <c r="C4" s="415" t="s">
        <v>1740</v>
      </c>
      <c r="D4" s="416"/>
      <c r="E4" s="416"/>
      <c r="F4" s="416"/>
      <c r="G4" s="416"/>
      <c r="H4" s="416"/>
    </row>
    <row r="5" spans="1:8" s="98" customFormat="1" ht="15.6">
      <c r="A5" s="104"/>
      <c r="B5" s="104"/>
      <c r="C5" s="134"/>
      <c r="D5" s="105"/>
      <c r="E5" s="106"/>
      <c r="F5" s="134"/>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19" t="s">
        <v>1756</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2034</v>
      </c>
      <c r="C13" s="425"/>
      <c r="D13" s="425"/>
      <c r="E13" s="425"/>
      <c r="F13" s="425"/>
      <c r="G13" s="73">
        <f>G14</f>
        <v>0</v>
      </c>
      <c r="H13" s="74"/>
    </row>
    <row r="14" spans="1:8" s="131" customFormat="1" ht="40.5" customHeight="1">
      <c r="A14" s="123"/>
      <c r="B14" s="124" t="s">
        <v>2033</v>
      </c>
      <c r="C14" s="125" t="s">
        <v>1753</v>
      </c>
      <c r="D14" s="126">
        <v>1.6</v>
      </c>
      <c r="E14" s="127"/>
      <c r="F14" s="128"/>
      <c r="G14" s="129">
        <f>D14*E14*F14</f>
        <v>0</v>
      </c>
      <c r="H14" s="130"/>
    </row>
    <row r="15" spans="1:8" ht="27" customHeight="1">
      <c r="A15" s="75" t="s">
        <v>18</v>
      </c>
      <c r="B15" s="426" t="s">
        <v>1725</v>
      </c>
      <c r="C15" s="426"/>
      <c r="D15" s="426"/>
      <c r="E15" s="426"/>
      <c r="F15" s="426"/>
      <c r="G15" s="76">
        <f>SUM(G17:G20)</f>
        <v>922623.97919999983</v>
      </c>
      <c r="H15" s="11"/>
    </row>
    <row r="16" spans="1:8" ht="37.5" customHeight="1">
      <c r="A16" s="75"/>
      <c r="B16" s="433" t="s">
        <v>2037</v>
      </c>
      <c r="C16" s="434"/>
      <c r="D16" s="434"/>
      <c r="E16" s="434"/>
      <c r="F16" s="435"/>
      <c r="G16" s="76"/>
      <c r="H16" s="11"/>
    </row>
    <row r="17" spans="1:249" ht="30.6" customHeight="1">
      <c r="A17" s="77">
        <v>1</v>
      </c>
      <c r="B17" s="78" t="s">
        <v>1758</v>
      </c>
      <c r="C17" s="14" t="s">
        <v>1754</v>
      </c>
      <c r="D17" s="132">
        <f>6*1.4*0.15</f>
        <v>1.2599999999999998</v>
      </c>
      <c r="E17" s="15">
        <v>1081965</v>
      </c>
      <c r="F17" s="187">
        <v>0.2</v>
      </c>
      <c r="G17" s="79">
        <f>D17*E17*F17</f>
        <v>272655.17999999993</v>
      </c>
      <c r="H17" s="15"/>
    </row>
    <row r="18" spans="1:249" ht="30.6" customHeight="1">
      <c r="A18" s="77"/>
      <c r="B18" s="78" t="s">
        <v>1952</v>
      </c>
      <c r="C18" s="14" t="s">
        <v>66</v>
      </c>
      <c r="D18" s="132">
        <f>6*1.4*2</f>
        <v>16.799999999999997</v>
      </c>
      <c r="E18" s="15">
        <v>141099</v>
      </c>
      <c r="F18" s="187">
        <v>0.2</v>
      </c>
      <c r="G18" s="79">
        <f t="shared" ref="G18" si="0">D18*E18*F18</f>
        <v>474092.63999999996</v>
      </c>
      <c r="H18" s="15"/>
    </row>
    <row r="19" spans="1:249" ht="30.6" customHeight="1">
      <c r="A19" s="77">
        <v>2</v>
      </c>
      <c r="B19" s="78" t="s">
        <v>1759</v>
      </c>
      <c r="C19" s="14" t="s">
        <v>66</v>
      </c>
      <c r="D19" s="132">
        <f>6*0.7</f>
        <v>4.1999999999999993</v>
      </c>
      <c r="E19" s="15">
        <v>138875</v>
      </c>
      <c r="F19" s="187">
        <v>0.2</v>
      </c>
      <c r="G19" s="79">
        <f>D19*E19*F19</f>
        <v>116654.99999999999</v>
      </c>
      <c r="H19" s="15"/>
    </row>
    <row r="20" spans="1:249" ht="30.6" customHeight="1">
      <c r="A20" s="77">
        <v>3</v>
      </c>
      <c r="B20" s="78" t="s">
        <v>1760</v>
      </c>
      <c r="C20" s="14" t="s">
        <v>1754</v>
      </c>
      <c r="D20" s="132">
        <f>0.15*0.1*0.7*4</f>
        <v>4.1999999999999996E-2</v>
      </c>
      <c r="E20" s="15">
        <v>7050138</v>
      </c>
      <c r="F20" s="187">
        <v>0.2</v>
      </c>
      <c r="G20" s="79">
        <f>D20*E20*F20</f>
        <v>59221.159199999995</v>
      </c>
      <c r="H20" s="15"/>
    </row>
    <row r="21" spans="1:249" ht="24" customHeight="1">
      <c r="A21" s="75" t="s">
        <v>19</v>
      </c>
      <c r="B21" s="426" t="s">
        <v>1727</v>
      </c>
      <c r="C21" s="426"/>
      <c r="D21" s="426"/>
      <c r="E21" s="426"/>
      <c r="F21" s="426"/>
      <c r="G21" s="76">
        <f>G22</f>
        <v>0</v>
      </c>
      <c r="H21" s="11"/>
    </row>
    <row r="22" spans="1:249" ht="30.6" customHeight="1">
      <c r="A22" s="77"/>
      <c r="B22" s="78" t="s">
        <v>1728</v>
      </c>
      <c r="C22" s="13"/>
      <c r="D22" s="13"/>
      <c r="E22" s="13"/>
      <c r="F22" s="13"/>
      <c r="G22" s="79"/>
      <c r="H22" s="15"/>
    </row>
    <row r="23" spans="1:249" ht="15.6">
      <c r="A23" s="80"/>
      <c r="B23" s="427" t="s">
        <v>62</v>
      </c>
      <c r="C23" s="428"/>
      <c r="D23" s="428"/>
      <c r="E23" s="428"/>
      <c r="F23" s="429"/>
      <c r="G23" s="81">
        <f>G13+G15+G21</f>
        <v>922623.97919999983</v>
      </c>
      <c r="H23" s="82"/>
    </row>
    <row r="24" spans="1:249" ht="15.6">
      <c r="A24" s="80"/>
      <c r="B24" s="427" t="s">
        <v>1726</v>
      </c>
      <c r="C24" s="428"/>
      <c r="D24" s="428"/>
      <c r="E24" s="428"/>
      <c r="F24" s="429"/>
      <c r="G24" s="81">
        <f>ROUND(G23,-3)</f>
        <v>923000</v>
      </c>
      <c r="H24" s="82"/>
      <c r="IO24" s="195">
        <f>+G24+'2.  Diễm Mười'!G29+'3. Truân'!G23+'4. Truân'!G20+'5. Đào'!G21+'6. Sơn Phượng'!G27+'7. Hạnh'!G27+'8. Thắm'!G31+'9. Mong'!G24+'10. Tươi'!G24+'11. Mong'!G23+'12. Hiếu'!G20+'13. Tùng'!G33+'14. Nhì'!G25+'15. Vượng'!G26+'16. Lâm'!G29+'17. Đức Nhung'!G31+'18. Đức Nhung'!G26+'19. Thuê'!G20+'20. Luyên'!G36+'21. Kiếm'!G31+'22. Việt'!G30+'23. Chức'!G21+'24. Hận'!G25+'25. Kiên'!G23+'26. Ngọc'!G22+'27. Xuân'!G20+'28. Hiển'!G20+'29. Thạch'!G31+'30. Hà'!G20+'31. Luật'!G27+'32. Thách'!G41+'33. Thắm'!G21+'34. Chính'!G24+'35. Thắng'!G23+'36. Thơi'!G97+'37. Thảnh Thảo'!G45+'38. Thại'!G26+'39. Thắng'!G25+'40. Lành'!G26+'41. Chiều'!G26+'42. Đằng'!G25+'43. Sơn'!G29+'44. Bản'!G33+'45. Huế'!G21+'46. Quang'!G20+'47. Biển'!G20+'48. Long Hồng'!G20+'49. Tính'!G22+'50. Ngọc'!G22+'51. Dung'!G20+'52. Đạt'!G21+'53. Sơn'!G30+'54. Đăng'!G26+'55. Mùi'!G28+'56. Thài'!G24+'57. Đồng'!G45+'58. Mạnh Huế'!G65+'59. Thương Sen'!G39+'60. Tiến'!G29+'61. Quý'!G36+'62. Sáng'!G30+'63. Minh'!G50+'64. Tố'!G20+'65. Quyên'!G40+'66. Năm'!G25+'67. Sơn'!G21+'68. Quang'!G32+'69. Hải'!G20+'70. Hùng Ngát'!G31+'71. Nghĩa'!G20+'72. Sơn'!G20+'73. Xuyên'!G28+'74. Dương'!G24</f>
        <v>5995381000</v>
      </c>
    </row>
    <row r="25" spans="1:249" ht="15.6">
      <c r="A25" s="430" t="str">
        <f>[18]!uni(G24)</f>
        <v xml:space="preserve">Chín trăm hai mươi ba nghìn đồng </v>
      </c>
      <c r="B25" s="431"/>
      <c r="C25" s="431"/>
      <c r="D25" s="431"/>
      <c r="E25" s="431"/>
      <c r="F25" s="431"/>
      <c r="G25" s="431"/>
      <c r="H25" s="432"/>
    </row>
    <row r="26" spans="1:249">
      <c r="A26" s="17"/>
      <c r="B26" s="17"/>
      <c r="C26" s="97"/>
      <c r="D26" s="20"/>
      <c r="E26" s="19"/>
      <c r="F26" s="97"/>
      <c r="G26" s="19"/>
      <c r="H26" s="17"/>
    </row>
    <row r="27" spans="1:249" s="109" customFormat="1" ht="16.5" customHeight="1">
      <c r="A27" s="108"/>
      <c r="B27" s="108"/>
      <c r="C27" s="424" t="s">
        <v>1742</v>
      </c>
      <c r="D27" s="424"/>
      <c r="E27" s="424"/>
      <c r="F27" s="424"/>
      <c r="G27" s="424"/>
      <c r="H27" s="424"/>
    </row>
    <row r="28" spans="1:249" s="109" customFormat="1" ht="16.5" customHeight="1">
      <c r="A28" s="423" t="s">
        <v>63</v>
      </c>
      <c r="B28" s="423"/>
      <c r="C28" s="424" t="s">
        <v>1743</v>
      </c>
      <c r="D28" s="424"/>
      <c r="E28" s="424"/>
      <c r="F28" s="424" t="s">
        <v>1744</v>
      </c>
      <c r="G28" s="424"/>
      <c r="H28" s="424"/>
    </row>
    <row r="29" spans="1:249" s="109" customFormat="1" ht="15.6">
      <c r="A29" s="108"/>
      <c r="B29" s="108"/>
      <c r="C29" s="108"/>
      <c r="D29" s="110"/>
      <c r="E29" s="111"/>
      <c r="F29" s="112"/>
      <c r="G29" s="111"/>
      <c r="H29" s="113"/>
    </row>
    <row r="30" spans="1:249" s="109" customFormat="1" ht="15.6">
      <c r="A30" s="108"/>
      <c r="B30" s="108"/>
      <c r="C30" s="108"/>
      <c r="D30" s="110"/>
      <c r="E30" s="111"/>
      <c r="F30" s="112"/>
      <c r="G30" s="114"/>
      <c r="H30" s="113"/>
    </row>
    <row r="31" spans="1:249" s="109" customFormat="1" ht="15.6">
      <c r="A31" s="108"/>
      <c r="B31" s="108"/>
      <c r="C31" s="108"/>
      <c r="D31" s="110"/>
      <c r="E31" s="111"/>
      <c r="F31" s="112"/>
      <c r="G31" s="111"/>
      <c r="H31" s="113"/>
    </row>
    <row r="32" spans="1:249" s="109" customFormat="1" ht="15.6">
      <c r="A32" s="108"/>
      <c r="B32" s="108"/>
      <c r="C32" s="108"/>
      <c r="D32" s="110"/>
      <c r="E32" s="111"/>
      <c r="F32" s="112"/>
      <c r="G32" s="111"/>
      <c r="H32" s="113"/>
    </row>
    <row r="33" spans="1:8" s="109" customFormat="1" ht="15.6">
      <c r="A33" s="108"/>
      <c r="B33" s="108"/>
      <c r="C33" s="108"/>
      <c r="D33" s="110"/>
      <c r="E33" s="111"/>
      <c r="F33" s="112"/>
      <c r="G33" s="111"/>
      <c r="H33" s="113"/>
    </row>
    <row r="34" spans="1:8" s="109" customFormat="1" ht="16.5" customHeight="1">
      <c r="A34" s="108"/>
      <c r="B34" s="136" t="s">
        <v>64</v>
      </c>
      <c r="C34" s="424"/>
      <c r="D34" s="424"/>
      <c r="E34" s="424"/>
      <c r="F34" s="424" t="s">
        <v>1745</v>
      </c>
      <c r="G34" s="424"/>
      <c r="H34" s="424"/>
    </row>
    <row r="35" spans="1:8" s="109" customFormat="1" ht="15.6">
      <c r="A35" s="108"/>
      <c r="B35" s="136"/>
      <c r="C35" s="133"/>
      <c r="D35" s="133"/>
      <c r="E35" s="133"/>
      <c r="F35" s="133"/>
      <c r="G35" s="133"/>
      <c r="H35" s="133"/>
    </row>
    <row r="36" spans="1:8" s="109" customFormat="1" ht="15" customHeight="1">
      <c r="A36" s="424" t="s">
        <v>1746</v>
      </c>
      <c r="B36" s="424"/>
      <c r="C36" s="424"/>
      <c r="D36" s="424"/>
      <c r="E36" s="424" t="s">
        <v>1747</v>
      </c>
      <c r="F36" s="424"/>
      <c r="G36" s="424"/>
      <c r="H36" s="424"/>
    </row>
    <row r="37" spans="1:8" s="109" customFormat="1" ht="33.6" customHeight="1">
      <c r="A37" s="424" t="s">
        <v>1748</v>
      </c>
      <c r="B37" s="424"/>
      <c r="C37" s="424"/>
      <c r="D37" s="424"/>
      <c r="E37" s="424" t="s">
        <v>65</v>
      </c>
      <c r="F37" s="424"/>
      <c r="G37" s="424"/>
      <c r="H37" s="424"/>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ustomHeight="1">
      <c r="A43" s="108"/>
      <c r="B43" s="108"/>
      <c r="C43" s="108"/>
      <c r="D43" s="115"/>
      <c r="E43" s="439" t="s">
        <v>1749</v>
      </c>
      <c r="F43" s="439"/>
      <c r="G43" s="439"/>
      <c r="H43" s="439"/>
    </row>
    <row r="44" spans="1:8" s="109" customFormat="1" ht="16.5" customHeight="1">
      <c r="A44" s="424" t="s">
        <v>1751</v>
      </c>
      <c r="B44" s="424"/>
      <c r="C44" s="424"/>
      <c r="D44" s="424"/>
      <c r="E44" s="424" t="s">
        <v>1750</v>
      </c>
      <c r="F44" s="424"/>
      <c r="G44" s="424"/>
      <c r="H44" s="424"/>
    </row>
    <row r="45" spans="1:8" s="118" customFormat="1" ht="16.2" customHeight="1">
      <c r="A45" s="440"/>
      <c r="B45" s="440"/>
      <c r="C45" s="116"/>
      <c r="D45" s="117"/>
      <c r="E45" s="440"/>
      <c r="F45" s="440"/>
      <c r="G45" s="440"/>
      <c r="H45" s="440"/>
    </row>
    <row r="46" spans="1:8" s="118" customFormat="1" ht="15.75" customHeight="1">
      <c r="A46" s="440"/>
      <c r="B46" s="440"/>
      <c r="C46" s="440"/>
      <c r="D46" s="440"/>
      <c r="E46" s="440"/>
      <c r="F46" s="440"/>
      <c r="G46" s="440"/>
      <c r="H46" s="440"/>
    </row>
    <row r="47" spans="1:8" s="98" customFormat="1" ht="16.2" customHeight="1">
      <c r="A47" s="436"/>
      <c r="B47" s="436"/>
      <c r="C47" s="436"/>
      <c r="D47" s="436"/>
      <c r="E47" s="119"/>
      <c r="F47" s="120"/>
      <c r="G47" s="119"/>
      <c r="H47" s="121"/>
    </row>
    <row r="48" spans="1:8" s="98" customFormat="1" ht="16.2" customHeight="1">
      <c r="A48" s="436"/>
      <c r="B48" s="436"/>
      <c r="C48" s="436"/>
      <c r="D48" s="436"/>
      <c r="E48" s="119"/>
      <c r="F48" s="120"/>
      <c r="G48" s="119"/>
      <c r="H48" s="121"/>
    </row>
    <row r="49" spans="1:8" s="98" customFormat="1" ht="16.2" customHeight="1">
      <c r="A49" s="121"/>
      <c r="B49" s="121"/>
      <c r="C49" s="121"/>
      <c r="D49" s="122"/>
      <c r="E49" s="119"/>
      <c r="F49" s="120"/>
      <c r="G49" s="119"/>
      <c r="H49" s="121"/>
    </row>
    <row r="50" spans="1:8" ht="16.2" customHeight="1">
      <c r="A50" s="83"/>
      <c r="B50" s="83"/>
      <c r="C50" s="83"/>
      <c r="D50" s="84"/>
      <c r="E50" s="85"/>
      <c r="F50" s="86"/>
      <c r="G50" s="85"/>
      <c r="H50" s="83"/>
    </row>
    <row r="51" spans="1:8" ht="16.2" customHeight="1">
      <c r="A51" s="83"/>
      <c r="B51" s="83"/>
      <c r="C51" s="83"/>
      <c r="D51" s="84"/>
      <c r="E51" s="85"/>
      <c r="F51" s="86"/>
      <c r="G51" s="85"/>
      <c r="H51" s="83"/>
    </row>
    <row r="52" spans="1:8" ht="16.2" customHeight="1">
      <c r="A52" s="83"/>
      <c r="B52" s="83"/>
      <c r="C52" s="83"/>
      <c r="D52" s="84"/>
      <c r="E52" s="85"/>
      <c r="F52" s="86"/>
      <c r="G52" s="85"/>
      <c r="H52" s="83"/>
    </row>
    <row r="53" spans="1:8" ht="16.2" customHeight="1">
      <c r="A53" s="83"/>
      <c r="B53" s="83"/>
      <c r="C53" s="83"/>
      <c r="D53" s="84"/>
      <c r="E53" s="437"/>
      <c r="F53" s="437"/>
      <c r="G53" s="437"/>
      <c r="H53" s="437"/>
    </row>
    <row r="54" spans="1:8" ht="20.25" customHeight="1">
      <c r="A54" s="438"/>
      <c r="B54" s="438"/>
      <c r="C54" s="438"/>
      <c r="D54" s="438"/>
      <c r="E54" s="438"/>
      <c r="F54" s="438"/>
      <c r="G54" s="438"/>
      <c r="H54" s="438"/>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ht="16.2" customHeight="1"/>
    <row r="84" spans="3:7" ht="16.2" customHeight="1"/>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row r="230"/>
    <row r="231"/>
    <row r="232"/>
    <row r="233"/>
    <row r="234"/>
    <row r="235"/>
    <row r="236"/>
    <row r="237"/>
    <row r="238"/>
    <row r="239"/>
    <row r="240"/>
    <row r="241"/>
    <row r="242"/>
    <row r="243"/>
    <row r="244"/>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sheetData>
  <mergeCells count="41">
    <mergeCell ref="A47:D47"/>
    <mergeCell ref="A48:D48"/>
    <mergeCell ref="E53:H53"/>
    <mergeCell ref="A54:H54"/>
    <mergeCell ref="E43:H43"/>
    <mergeCell ref="A44:D44"/>
    <mergeCell ref="E44:H44"/>
    <mergeCell ref="A45:B45"/>
    <mergeCell ref="E45:H45"/>
    <mergeCell ref="A46:D46"/>
    <mergeCell ref="E46:H46"/>
    <mergeCell ref="C34:E34"/>
    <mergeCell ref="F34:H34"/>
    <mergeCell ref="A36:D36"/>
    <mergeCell ref="E36:H36"/>
    <mergeCell ref="A37:D37"/>
    <mergeCell ref="E37:H37"/>
    <mergeCell ref="A28:B28"/>
    <mergeCell ref="C28:E28"/>
    <mergeCell ref="F28:H28"/>
    <mergeCell ref="B13:F13"/>
    <mergeCell ref="B15:F15"/>
    <mergeCell ref="B21:F21"/>
    <mergeCell ref="B23:F23"/>
    <mergeCell ref="B24:F24"/>
    <mergeCell ref="A25:H25"/>
    <mergeCell ref="C27:H27"/>
    <mergeCell ref="B16:F16"/>
    <mergeCell ref="A11:H11"/>
    <mergeCell ref="A1:B1"/>
    <mergeCell ref="C1:H1"/>
    <mergeCell ref="A2:B2"/>
    <mergeCell ref="C2:H2"/>
    <mergeCell ref="A3:B3"/>
    <mergeCell ref="A4:B4"/>
    <mergeCell ref="C4:H4"/>
    <mergeCell ref="A6:H6"/>
    <mergeCell ref="A7:H7"/>
    <mergeCell ref="A8:H8"/>
    <mergeCell ref="A9:H9"/>
    <mergeCell ref="A10:H10"/>
  </mergeCells>
  <dataValidations count="1">
    <dataValidation type="list" allowBlank="1" showInputMessage="1" showErrorMessage="1" sqref="WVJ983046:WVJ983063 B983046:B983063 IX983046:IX983063 ST983046:ST983063 ACP983046:ACP983063 AML983046:AML983063 AWH983046:AWH983063 BGD983046:BGD983063 BPZ983046:BPZ983063 BZV983046:BZV983063 CJR983046:CJR983063 CTN983046:CTN983063 DDJ983046:DDJ983063 DNF983046:DNF983063 DXB983046:DXB983063 EGX983046:EGX983063 EQT983046:EQT983063 FAP983046:FAP983063 FKL983046:FKL983063 FUH983046:FUH983063 GED983046:GED983063 GNZ983046:GNZ983063 GXV983046:GXV983063 HHR983046:HHR983063 HRN983046:HRN983063 IBJ983046:IBJ983063 ILF983046:ILF983063 IVB983046:IVB983063 JEX983046:JEX983063 JOT983046:JOT983063 JYP983046:JYP983063 KIL983046:KIL983063 KSH983046:KSH983063 LCD983046:LCD983063 LLZ983046:LLZ983063 LVV983046:LVV983063 MFR983046:MFR983063 MPN983046:MPN983063 MZJ983046:MZJ983063 NJF983046:NJF983063 NTB983046:NTB983063 OCX983046:OCX983063 OMT983046:OMT983063 OWP983046:OWP983063 PGL983046:PGL983063 PQH983046:PQH983063 QAD983046:QAD983063 QJZ983046:QJZ983063 QTV983046:QTV983063 RDR983046:RDR983063 RNN983046:RNN983063 RXJ983046:RXJ983063 SHF983046:SHF983063 SRB983046:SRB983063 TAX983046:TAX983063 TKT983046:TKT983063 TUP983046:TUP983063 UEL983046:UEL983063 UOH983046:UOH983063 UYD983046:UYD983063 VHZ983046:VHZ983063 VRV983046:VRV983063 WBR983046:WBR983063 WLN983046:WLN983063 B65542:B65559 IX65542:IX65559 ST65542:ST65559 ACP65542:ACP65559 AML65542:AML65559 AWH65542:AWH65559 BGD65542:BGD65559 BPZ65542:BPZ65559 BZV65542:BZV65559 CJR65542:CJR65559 CTN65542:CTN65559 DDJ65542:DDJ65559 DNF65542:DNF65559 DXB65542:DXB65559 EGX65542:EGX65559 EQT65542:EQT65559 FAP65542:FAP65559 FKL65542:FKL65559 FUH65542:FUH65559 GED65542:GED65559 GNZ65542:GNZ65559 GXV65542:GXV65559 HHR65542:HHR65559 HRN65542:HRN65559 IBJ65542:IBJ65559 ILF65542:ILF65559 IVB65542:IVB65559 JEX65542:JEX65559 JOT65542:JOT65559 JYP65542:JYP65559 KIL65542:KIL65559 KSH65542:KSH65559 LCD65542:LCD65559 LLZ65542:LLZ65559 LVV65542:LVV65559 MFR65542:MFR65559 MPN65542:MPN65559 MZJ65542:MZJ65559 NJF65542:NJF65559 NTB65542:NTB65559 OCX65542:OCX65559 OMT65542:OMT65559 OWP65542:OWP65559 PGL65542:PGL65559 PQH65542:PQH65559 QAD65542:QAD65559 QJZ65542:QJZ65559 QTV65542:QTV65559 RDR65542:RDR65559 RNN65542:RNN65559 RXJ65542:RXJ65559 SHF65542:SHF65559 SRB65542:SRB65559 TAX65542:TAX65559 TKT65542:TKT65559 TUP65542:TUP65559 UEL65542:UEL65559 UOH65542:UOH65559 UYD65542:UYD65559 VHZ65542:VHZ65559 VRV65542:VRV65559 WBR65542:WBR65559 WLN65542:WLN65559 WVJ65542:WVJ65559 B131078:B131095 IX131078:IX131095 ST131078:ST131095 ACP131078:ACP131095 AML131078:AML131095 AWH131078:AWH131095 BGD131078:BGD131095 BPZ131078:BPZ131095 BZV131078:BZV131095 CJR131078:CJR131095 CTN131078:CTN131095 DDJ131078:DDJ131095 DNF131078:DNF131095 DXB131078:DXB131095 EGX131078:EGX131095 EQT131078:EQT131095 FAP131078:FAP131095 FKL131078:FKL131095 FUH131078:FUH131095 GED131078:GED131095 GNZ131078:GNZ131095 GXV131078:GXV131095 HHR131078:HHR131095 HRN131078:HRN131095 IBJ131078:IBJ131095 ILF131078:ILF131095 IVB131078:IVB131095 JEX131078:JEX131095 JOT131078:JOT131095 JYP131078:JYP131095 KIL131078:KIL131095 KSH131078:KSH131095 LCD131078:LCD131095 LLZ131078:LLZ131095 LVV131078:LVV131095 MFR131078:MFR131095 MPN131078:MPN131095 MZJ131078:MZJ131095 NJF131078:NJF131095 NTB131078:NTB131095 OCX131078:OCX131095 OMT131078:OMT131095 OWP131078:OWP131095 PGL131078:PGL131095 PQH131078:PQH131095 QAD131078:QAD131095 QJZ131078:QJZ131095 QTV131078:QTV131095 RDR131078:RDR131095 RNN131078:RNN131095 RXJ131078:RXJ131095 SHF131078:SHF131095 SRB131078:SRB131095 TAX131078:TAX131095 TKT131078:TKT131095 TUP131078:TUP131095 UEL131078:UEL131095 UOH131078:UOH131095 UYD131078:UYD131095 VHZ131078:VHZ131095 VRV131078:VRV131095 WBR131078:WBR131095 WLN131078:WLN131095 WVJ131078:WVJ131095 B196614:B196631 IX196614:IX196631 ST196614:ST196631 ACP196614:ACP196631 AML196614:AML196631 AWH196614:AWH196631 BGD196614:BGD196631 BPZ196614:BPZ196631 BZV196614:BZV196631 CJR196614:CJR196631 CTN196614:CTN196631 DDJ196614:DDJ196631 DNF196614:DNF196631 DXB196614:DXB196631 EGX196614:EGX196631 EQT196614:EQT196631 FAP196614:FAP196631 FKL196614:FKL196631 FUH196614:FUH196631 GED196614:GED196631 GNZ196614:GNZ196631 GXV196614:GXV196631 HHR196614:HHR196631 HRN196614:HRN196631 IBJ196614:IBJ196631 ILF196614:ILF196631 IVB196614:IVB196631 JEX196614:JEX196631 JOT196614:JOT196631 JYP196614:JYP196631 KIL196614:KIL196631 KSH196614:KSH196631 LCD196614:LCD196631 LLZ196614:LLZ196631 LVV196614:LVV196631 MFR196614:MFR196631 MPN196614:MPN196631 MZJ196614:MZJ196631 NJF196614:NJF196631 NTB196614:NTB196631 OCX196614:OCX196631 OMT196614:OMT196631 OWP196614:OWP196631 PGL196614:PGL196631 PQH196614:PQH196631 QAD196614:QAD196631 QJZ196614:QJZ196631 QTV196614:QTV196631 RDR196614:RDR196631 RNN196614:RNN196631 RXJ196614:RXJ196631 SHF196614:SHF196631 SRB196614:SRB196631 TAX196614:TAX196631 TKT196614:TKT196631 TUP196614:TUP196631 UEL196614:UEL196631 UOH196614:UOH196631 UYD196614:UYD196631 VHZ196614:VHZ196631 VRV196614:VRV196631 WBR196614:WBR196631 WLN196614:WLN196631 WVJ196614:WVJ196631 B262150:B262167 IX262150:IX262167 ST262150:ST262167 ACP262150:ACP262167 AML262150:AML262167 AWH262150:AWH262167 BGD262150:BGD262167 BPZ262150:BPZ262167 BZV262150:BZV262167 CJR262150:CJR262167 CTN262150:CTN262167 DDJ262150:DDJ262167 DNF262150:DNF262167 DXB262150:DXB262167 EGX262150:EGX262167 EQT262150:EQT262167 FAP262150:FAP262167 FKL262150:FKL262167 FUH262150:FUH262167 GED262150:GED262167 GNZ262150:GNZ262167 GXV262150:GXV262167 HHR262150:HHR262167 HRN262150:HRN262167 IBJ262150:IBJ262167 ILF262150:ILF262167 IVB262150:IVB262167 JEX262150:JEX262167 JOT262150:JOT262167 JYP262150:JYP262167 KIL262150:KIL262167 KSH262150:KSH262167 LCD262150:LCD262167 LLZ262150:LLZ262167 LVV262150:LVV262167 MFR262150:MFR262167 MPN262150:MPN262167 MZJ262150:MZJ262167 NJF262150:NJF262167 NTB262150:NTB262167 OCX262150:OCX262167 OMT262150:OMT262167 OWP262150:OWP262167 PGL262150:PGL262167 PQH262150:PQH262167 QAD262150:QAD262167 QJZ262150:QJZ262167 QTV262150:QTV262167 RDR262150:RDR262167 RNN262150:RNN262167 RXJ262150:RXJ262167 SHF262150:SHF262167 SRB262150:SRB262167 TAX262150:TAX262167 TKT262150:TKT262167 TUP262150:TUP262167 UEL262150:UEL262167 UOH262150:UOH262167 UYD262150:UYD262167 VHZ262150:VHZ262167 VRV262150:VRV262167 WBR262150:WBR262167 WLN262150:WLN262167 WVJ262150:WVJ262167 B327686:B327703 IX327686:IX327703 ST327686:ST327703 ACP327686:ACP327703 AML327686:AML327703 AWH327686:AWH327703 BGD327686:BGD327703 BPZ327686:BPZ327703 BZV327686:BZV327703 CJR327686:CJR327703 CTN327686:CTN327703 DDJ327686:DDJ327703 DNF327686:DNF327703 DXB327686:DXB327703 EGX327686:EGX327703 EQT327686:EQT327703 FAP327686:FAP327703 FKL327686:FKL327703 FUH327686:FUH327703 GED327686:GED327703 GNZ327686:GNZ327703 GXV327686:GXV327703 HHR327686:HHR327703 HRN327686:HRN327703 IBJ327686:IBJ327703 ILF327686:ILF327703 IVB327686:IVB327703 JEX327686:JEX327703 JOT327686:JOT327703 JYP327686:JYP327703 KIL327686:KIL327703 KSH327686:KSH327703 LCD327686:LCD327703 LLZ327686:LLZ327703 LVV327686:LVV327703 MFR327686:MFR327703 MPN327686:MPN327703 MZJ327686:MZJ327703 NJF327686:NJF327703 NTB327686:NTB327703 OCX327686:OCX327703 OMT327686:OMT327703 OWP327686:OWP327703 PGL327686:PGL327703 PQH327686:PQH327703 QAD327686:QAD327703 QJZ327686:QJZ327703 QTV327686:QTV327703 RDR327686:RDR327703 RNN327686:RNN327703 RXJ327686:RXJ327703 SHF327686:SHF327703 SRB327686:SRB327703 TAX327686:TAX327703 TKT327686:TKT327703 TUP327686:TUP327703 UEL327686:UEL327703 UOH327686:UOH327703 UYD327686:UYD327703 VHZ327686:VHZ327703 VRV327686:VRV327703 WBR327686:WBR327703 WLN327686:WLN327703 WVJ327686:WVJ327703 B393222:B393239 IX393222:IX393239 ST393222:ST393239 ACP393222:ACP393239 AML393222:AML393239 AWH393222:AWH393239 BGD393222:BGD393239 BPZ393222:BPZ393239 BZV393222:BZV393239 CJR393222:CJR393239 CTN393222:CTN393239 DDJ393222:DDJ393239 DNF393222:DNF393239 DXB393222:DXB393239 EGX393222:EGX393239 EQT393222:EQT393239 FAP393222:FAP393239 FKL393222:FKL393239 FUH393222:FUH393239 GED393222:GED393239 GNZ393222:GNZ393239 GXV393222:GXV393239 HHR393222:HHR393239 HRN393222:HRN393239 IBJ393222:IBJ393239 ILF393222:ILF393239 IVB393222:IVB393239 JEX393222:JEX393239 JOT393222:JOT393239 JYP393222:JYP393239 KIL393222:KIL393239 KSH393222:KSH393239 LCD393222:LCD393239 LLZ393222:LLZ393239 LVV393222:LVV393239 MFR393222:MFR393239 MPN393222:MPN393239 MZJ393222:MZJ393239 NJF393222:NJF393239 NTB393222:NTB393239 OCX393222:OCX393239 OMT393222:OMT393239 OWP393222:OWP393239 PGL393222:PGL393239 PQH393222:PQH393239 QAD393222:QAD393239 QJZ393222:QJZ393239 QTV393222:QTV393239 RDR393222:RDR393239 RNN393222:RNN393239 RXJ393222:RXJ393239 SHF393222:SHF393239 SRB393222:SRB393239 TAX393222:TAX393239 TKT393222:TKT393239 TUP393222:TUP393239 UEL393222:UEL393239 UOH393222:UOH393239 UYD393222:UYD393239 VHZ393222:VHZ393239 VRV393222:VRV393239 WBR393222:WBR393239 WLN393222:WLN393239 WVJ393222:WVJ393239 B458758:B458775 IX458758:IX458775 ST458758:ST458775 ACP458758:ACP458775 AML458758:AML458775 AWH458758:AWH458775 BGD458758:BGD458775 BPZ458758:BPZ458775 BZV458758:BZV458775 CJR458758:CJR458775 CTN458758:CTN458775 DDJ458758:DDJ458775 DNF458758:DNF458775 DXB458758:DXB458775 EGX458758:EGX458775 EQT458758:EQT458775 FAP458758:FAP458775 FKL458758:FKL458775 FUH458758:FUH458775 GED458758:GED458775 GNZ458758:GNZ458775 GXV458758:GXV458775 HHR458758:HHR458775 HRN458758:HRN458775 IBJ458758:IBJ458775 ILF458758:ILF458775 IVB458758:IVB458775 JEX458758:JEX458775 JOT458758:JOT458775 JYP458758:JYP458775 KIL458758:KIL458775 KSH458758:KSH458775 LCD458758:LCD458775 LLZ458758:LLZ458775 LVV458758:LVV458775 MFR458758:MFR458775 MPN458758:MPN458775 MZJ458758:MZJ458775 NJF458758:NJF458775 NTB458758:NTB458775 OCX458758:OCX458775 OMT458758:OMT458775 OWP458758:OWP458775 PGL458758:PGL458775 PQH458758:PQH458775 QAD458758:QAD458775 QJZ458758:QJZ458775 QTV458758:QTV458775 RDR458758:RDR458775 RNN458758:RNN458775 RXJ458758:RXJ458775 SHF458758:SHF458775 SRB458758:SRB458775 TAX458758:TAX458775 TKT458758:TKT458775 TUP458758:TUP458775 UEL458758:UEL458775 UOH458758:UOH458775 UYD458758:UYD458775 VHZ458758:VHZ458775 VRV458758:VRV458775 WBR458758:WBR458775 WLN458758:WLN458775 WVJ458758:WVJ458775 B524294:B524311 IX524294:IX524311 ST524294:ST524311 ACP524294:ACP524311 AML524294:AML524311 AWH524294:AWH524311 BGD524294:BGD524311 BPZ524294:BPZ524311 BZV524294:BZV524311 CJR524294:CJR524311 CTN524294:CTN524311 DDJ524294:DDJ524311 DNF524294:DNF524311 DXB524294:DXB524311 EGX524294:EGX524311 EQT524294:EQT524311 FAP524294:FAP524311 FKL524294:FKL524311 FUH524294:FUH524311 GED524294:GED524311 GNZ524294:GNZ524311 GXV524294:GXV524311 HHR524294:HHR524311 HRN524294:HRN524311 IBJ524294:IBJ524311 ILF524294:ILF524311 IVB524294:IVB524311 JEX524294:JEX524311 JOT524294:JOT524311 JYP524294:JYP524311 KIL524294:KIL524311 KSH524294:KSH524311 LCD524294:LCD524311 LLZ524294:LLZ524311 LVV524294:LVV524311 MFR524294:MFR524311 MPN524294:MPN524311 MZJ524294:MZJ524311 NJF524294:NJF524311 NTB524294:NTB524311 OCX524294:OCX524311 OMT524294:OMT524311 OWP524294:OWP524311 PGL524294:PGL524311 PQH524294:PQH524311 QAD524294:QAD524311 QJZ524294:QJZ524311 QTV524294:QTV524311 RDR524294:RDR524311 RNN524294:RNN524311 RXJ524294:RXJ524311 SHF524294:SHF524311 SRB524294:SRB524311 TAX524294:TAX524311 TKT524294:TKT524311 TUP524294:TUP524311 UEL524294:UEL524311 UOH524294:UOH524311 UYD524294:UYD524311 VHZ524294:VHZ524311 VRV524294:VRV524311 WBR524294:WBR524311 WLN524294:WLN524311 WVJ524294:WVJ524311 B589830:B589847 IX589830:IX589847 ST589830:ST589847 ACP589830:ACP589847 AML589830:AML589847 AWH589830:AWH589847 BGD589830:BGD589847 BPZ589830:BPZ589847 BZV589830:BZV589847 CJR589830:CJR589847 CTN589830:CTN589847 DDJ589830:DDJ589847 DNF589830:DNF589847 DXB589830:DXB589847 EGX589830:EGX589847 EQT589830:EQT589847 FAP589830:FAP589847 FKL589830:FKL589847 FUH589830:FUH589847 GED589830:GED589847 GNZ589830:GNZ589847 GXV589830:GXV589847 HHR589830:HHR589847 HRN589830:HRN589847 IBJ589830:IBJ589847 ILF589830:ILF589847 IVB589830:IVB589847 JEX589830:JEX589847 JOT589830:JOT589847 JYP589830:JYP589847 KIL589830:KIL589847 KSH589830:KSH589847 LCD589830:LCD589847 LLZ589830:LLZ589847 LVV589830:LVV589847 MFR589830:MFR589847 MPN589830:MPN589847 MZJ589830:MZJ589847 NJF589830:NJF589847 NTB589830:NTB589847 OCX589830:OCX589847 OMT589830:OMT589847 OWP589830:OWP589847 PGL589830:PGL589847 PQH589830:PQH589847 QAD589830:QAD589847 QJZ589830:QJZ589847 QTV589830:QTV589847 RDR589830:RDR589847 RNN589830:RNN589847 RXJ589830:RXJ589847 SHF589830:SHF589847 SRB589830:SRB589847 TAX589830:TAX589847 TKT589830:TKT589847 TUP589830:TUP589847 UEL589830:UEL589847 UOH589830:UOH589847 UYD589830:UYD589847 VHZ589830:VHZ589847 VRV589830:VRV589847 WBR589830:WBR589847 WLN589830:WLN589847 WVJ589830:WVJ589847 B655366:B655383 IX655366:IX655383 ST655366:ST655383 ACP655366:ACP655383 AML655366:AML655383 AWH655366:AWH655383 BGD655366:BGD655383 BPZ655366:BPZ655383 BZV655366:BZV655383 CJR655366:CJR655383 CTN655366:CTN655383 DDJ655366:DDJ655383 DNF655366:DNF655383 DXB655366:DXB655383 EGX655366:EGX655383 EQT655366:EQT655383 FAP655366:FAP655383 FKL655366:FKL655383 FUH655366:FUH655383 GED655366:GED655383 GNZ655366:GNZ655383 GXV655366:GXV655383 HHR655366:HHR655383 HRN655366:HRN655383 IBJ655366:IBJ655383 ILF655366:ILF655383 IVB655366:IVB655383 JEX655366:JEX655383 JOT655366:JOT655383 JYP655366:JYP655383 KIL655366:KIL655383 KSH655366:KSH655383 LCD655366:LCD655383 LLZ655366:LLZ655383 LVV655366:LVV655383 MFR655366:MFR655383 MPN655366:MPN655383 MZJ655366:MZJ655383 NJF655366:NJF655383 NTB655366:NTB655383 OCX655366:OCX655383 OMT655366:OMT655383 OWP655366:OWP655383 PGL655366:PGL655383 PQH655366:PQH655383 QAD655366:QAD655383 QJZ655366:QJZ655383 QTV655366:QTV655383 RDR655366:RDR655383 RNN655366:RNN655383 RXJ655366:RXJ655383 SHF655366:SHF655383 SRB655366:SRB655383 TAX655366:TAX655383 TKT655366:TKT655383 TUP655366:TUP655383 UEL655366:UEL655383 UOH655366:UOH655383 UYD655366:UYD655383 VHZ655366:VHZ655383 VRV655366:VRV655383 WBR655366:WBR655383 WLN655366:WLN655383 WVJ655366:WVJ655383 B720902:B720919 IX720902:IX720919 ST720902:ST720919 ACP720902:ACP720919 AML720902:AML720919 AWH720902:AWH720919 BGD720902:BGD720919 BPZ720902:BPZ720919 BZV720902:BZV720919 CJR720902:CJR720919 CTN720902:CTN720919 DDJ720902:DDJ720919 DNF720902:DNF720919 DXB720902:DXB720919 EGX720902:EGX720919 EQT720902:EQT720919 FAP720902:FAP720919 FKL720902:FKL720919 FUH720902:FUH720919 GED720902:GED720919 GNZ720902:GNZ720919 GXV720902:GXV720919 HHR720902:HHR720919 HRN720902:HRN720919 IBJ720902:IBJ720919 ILF720902:ILF720919 IVB720902:IVB720919 JEX720902:JEX720919 JOT720902:JOT720919 JYP720902:JYP720919 KIL720902:KIL720919 KSH720902:KSH720919 LCD720902:LCD720919 LLZ720902:LLZ720919 LVV720902:LVV720919 MFR720902:MFR720919 MPN720902:MPN720919 MZJ720902:MZJ720919 NJF720902:NJF720919 NTB720902:NTB720919 OCX720902:OCX720919 OMT720902:OMT720919 OWP720902:OWP720919 PGL720902:PGL720919 PQH720902:PQH720919 QAD720902:QAD720919 QJZ720902:QJZ720919 QTV720902:QTV720919 RDR720902:RDR720919 RNN720902:RNN720919 RXJ720902:RXJ720919 SHF720902:SHF720919 SRB720902:SRB720919 TAX720902:TAX720919 TKT720902:TKT720919 TUP720902:TUP720919 UEL720902:UEL720919 UOH720902:UOH720919 UYD720902:UYD720919 VHZ720902:VHZ720919 VRV720902:VRV720919 WBR720902:WBR720919 WLN720902:WLN720919 WVJ720902:WVJ720919 B786438:B786455 IX786438:IX786455 ST786438:ST786455 ACP786438:ACP786455 AML786438:AML786455 AWH786438:AWH786455 BGD786438:BGD786455 BPZ786438:BPZ786455 BZV786438:BZV786455 CJR786438:CJR786455 CTN786438:CTN786455 DDJ786438:DDJ786455 DNF786438:DNF786455 DXB786438:DXB786455 EGX786438:EGX786455 EQT786438:EQT786455 FAP786438:FAP786455 FKL786438:FKL786455 FUH786438:FUH786455 GED786438:GED786455 GNZ786438:GNZ786455 GXV786438:GXV786455 HHR786438:HHR786455 HRN786438:HRN786455 IBJ786438:IBJ786455 ILF786438:ILF786455 IVB786438:IVB786455 JEX786438:JEX786455 JOT786438:JOT786455 JYP786438:JYP786455 KIL786438:KIL786455 KSH786438:KSH786455 LCD786438:LCD786455 LLZ786438:LLZ786455 LVV786438:LVV786455 MFR786438:MFR786455 MPN786438:MPN786455 MZJ786438:MZJ786455 NJF786438:NJF786455 NTB786438:NTB786455 OCX786438:OCX786455 OMT786438:OMT786455 OWP786438:OWP786455 PGL786438:PGL786455 PQH786438:PQH786455 QAD786438:QAD786455 QJZ786438:QJZ786455 QTV786438:QTV786455 RDR786438:RDR786455 RNN786438:RNN786455 RXJ786438:RXJ786455 SHF786438:SHF786455 SRB786438:SRB786455 TAX786438:TAX786455 TKT786438:TKT786455 TUP786438:TUP786455 UEL786438:UEL786455 UOH786438:UOH786455 UYD786438:UYD786455 VHZ786438:VHZ786455 VRV786438:VRV786455 WBR786438:WBR786455 WLN786438:WLN786455 WVJ786438:WVJ786455 B851974:B851991 IX851974:IX851991 ST851974:ST851991 ACP851974:ACP851991 AML851974:AML851991 AWH851974:AWH851991 BGD851974:BGD851991 BPZ851974:BPZ851991 BZV851974:BZV851991 CJR851974:CJR851991 CTN851974:CTN851991 DDJ851974:DDJ851991 DNF851974:DNF851991 DXB851974:DXB851991 EGX851974:EGX851991 EQT851974:EQT851991 FAP851974:FAP851991 FKL851974:FKL851991 FUH851974:FUH851991 GED851974:GED851991 GNZ851974:GNZ851991 GXV851974:GXV851991 HHR851974:HHR851991 HRN851974:HRN851991 IBJ851974:IBJ851991 ILF851974:ILF851991 IVB851974:IVB851991 JEX851974:JEX851991 JOT851974:JOT851991 JYP851974:JYP851991 KIL851974:KIL851991 KSH851974:KSH851991 LCD851974:LCD851991 LLZ851974:LLZ851991 LVV851974:LVV851991 MFR851974:MFR851991 MPN851974:MPN851991 MZJ851974:MZJ851991 NJF851974:NJF851991 NTB851974:NTB851991 OCX851974:OCX851991 OMT851974:OMT851991 OWP851974:OWP851991 PGL851974:PGL851991 PQH851974:PQH851991 QAD851974:QAD851991 QJZ851974:QJZ851991 QTV851974:QTV851991 RDR851974:RDR851991 RNN851974:RNN851991 RXJ851974:RXJ851991 SHF851974:SHF851991 SRB851974:SRB851991 TAX851974:TAX851991 TKT851974:TKT851991 TUP851974:TUP851991 UEL851974:UEL851991 UOH851974:UOH851991 UYD851974:UYD851991 VHZ851974:VHZ851991 VRV851974:VRV851991 WBR851974:WBR851991 WLN851974:WLN851991 WVJ851974:WVJ851991 B917510:B917527 IX917510:IX917527 ST917510:ST917527 ACP917510:ACP917527 AML917510:AML917527 AWH917510:AWH917527 BGD917510:BGD917527 BPZ917510:BPZ917527 BZV917510:BZV917527 CJR917510:CJR917527 CTN917510:CTN917527 DDJ917510:DDJ917527 DNF917510:DNF917527 DXB917510:DXB917527 EGX917510:EGX917527 EQT917510:EQT917527 FAP917510:FAP917527 FKL917510:FKL917527 FUH917510:FUH917527 GED917510:GED917527 GNZ917510:GNZ917527 GXV917510:GXV917527 HHR917510:HHR917527 HRN917510:HRN917527 IBJ917510:IBJ917527 ILF917510:ILF917527 IVB917510:IVB917527 JEX917510:JEX917527 JOT917510:JOT917527 JYP917510:JYP917527 KIL917510:KIL917527 KSH917510:KSH917527 LCD917510:LCD917527 LLZ917510:LLZ917527 LVV917510:LVV917527 MFR917510:MFR917527 MPN917510:MPN917527 MZJ917510:MZJ917527 NJF917510:NJF917527 NTB917510:NTB917527 OCX917510:OCX917527 OMT917510:OMT917527 OWP917510:OWP917527 PGL917510:PGL917527 PQH917510:PQH917527 QAD917510:QAD917527 QJZ917510:QJZ917527 QTV917510:QTV917527 RDR917510:RDR917527 RNN917510:RNN917527 RXJ917510:RXJ917527 SHF917510:SHF917527 SRB917510:SRB917527 TAX917510:TAX917527 TKT917510:TKT917527 TUP917510:TUP917527 UEL917510:UEL917527 UOH917510:UOH917527 UYD917510:UYD917527 VHZ917510:VHZ917527 VRV917510:VRV917527 WBR917510:WBR917527 WLN917510:WLN917527 WVJ917510:WVJ917527" xr:uid="{00000000-0002-0000-0500-000000000000}">
      <formula1>trung</formula1>
    </dataValidation>
  </dataValidation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H394"/>
  <sheetViews>
    <sheetView topLeftCell="A14" workbookViewId="0">
      <selection activeCell="C35" sqref="C35"/>
    </sheetView>
  </sheetViews>
  <sheetFormatPr defaultColWidth="36.09765625" defaultRowHeight="15" customHeight="1" zeroHeight="1"/>
  <cols>
    <col min="1" max="1" width="3.59765625" style="16" customWidth="1"/>
    <col min="2" max="2" width="22.8984375" style="16" customWidth="1"/>
    <col min="3" max="3" width="4.5" style="87" customWidth="1"/>
    <col min="4" max="4" width="5.5" style="88" customWidth="1"/>
    <col min="5" max="5" width="9.5" style="89" customWidth="1"/>
    <col min="6" max="6" width="5.19921875" style="87" customWidth="1"/>
    <col min="7" max="7" width="10.59765625" style="89" customWidth="1"/>
    <col min="8" max="8" width="7.59765625" style="16" customWidth="1"/>
    <col min="9" max="248" width="0" style="16" hidden="1" customWidth="1"/>
    <col min="249" max="249" width="8.09765625" style="16" customWidth="1"/>
    <col min="250" max="250" width="3" style="16" customWidth="1"/>
    <col min="251" max="251" width="5.5" style="16" customWidth="1"/>
    <col min="252" max="252" width="3.5" style="16" customWidth="1"/>
    <col min="253" max="253" width="7.5" style="16" customWidth="1"/>
    <col min="254" max="254" width="9.765625E-2" style="16" customWidth="1"/>
    <col min="255" max="255" width="0.5" style="16" customWidth="1"/>
    <col min="256" max="256" width="36.09765625" style="16"/>
    <col min="257" max="257" width="3.59765625" style="16" customWidth="1"/>
    <col min="258" max="258" width="22.8984375" style="16" customWidth="1"/>
    <col min="259" max="259" width="4.5" style="16" customWidth="1"/>
    <col min="260" max="260" width="5.5" style="16" customWidth="1"/>
    <col min="261" max="261" width="9.5" style="16" customWidth="1"/>
    <col min="262" max="262" width="5.19921875" style="16" customWidth="1"/>
    <col min="263" max="263" width="10.59765625" style="16" customWidth="1"/>
    <col min="264" max="264" width="7.59765625" style="16" customWidth="1"/>
    <col min="265" max="504" width="0" style="16" hidden="1" customWidth="1"/>
    <col min="505" max="505" width="8.09765625" style="16" customWidth="1"/>
    <col min="506" max="506" width="3" style="16" customWidth="1"/>
    <col min="507" max="507" width="5.5" style="16" customWidth="1"/>
    <col min="508" max="508" width="3.5" style="16" customWidth="1"/>
    <col min="509" max="509" width="7.5" style="16" customWidth="1"/>
    <col min="510" max="510" width="9.765625E-2" style="16" customWidth="1"/>
    <col min="511" max="511" width="0.5" style="16" customWidth="1"/>
    <col min="512" max="512" width="36.09765625" style="16"/>
    <col min="513" max="513" width="3.59765625" style="16" customWidth="1"/>
    <col min="514" max="514" width="22.8984375" style="16" customWidth="1"/>
    <col min="515" max="515" width="4.5" style="16" customWidth="1"/>
    <col min="516" max="516" width="5.5" style="16" customWidth="1"/>
    <col min="517" max="517" width="9.5" style="16" customWidth="1"/>
    <col min="518" max="518" width="5.19921875" style="16" customWidth="1"/>
    <col min="519" max="519" width="10.59765625" style="16" customWidth="1"/>
    <col min="520" max="520" width="7.59765625" style="16" customWidth="1"/>
    <col min="521" max="760" width="0" style="16" hidden="1" customWidth="1"/>
    <col min="761" max="761" width="8.09765625" style="16" customWidth="1"/>
    <col min="762" max="762" width="3" style="16" customWidth="1"/>
    <col min="763" max="763" width="5.5" style="16" customWidth="1"/>
    <col min="764" max="764" width="3.5" style="16" customWidth="1"/>
    <col min="765" max="765" width="7.5" style="16" customWidth="1"/>
    <col min="766" max="766" width="9.765625E-2" style="16" customWidth="1"/>
    <col min="767" max="767" width="0.5" style="16" customWidth="1"/>
    <col min="768" max="768" width="36.09765625" style="16"/>
    <col min="769" max="769" width="3.59765625" style="16" customWidth="1"/>
    <col min="770" max="770" width="22.8984375" style="16" customWidth="1"/>
    <col min="771" max="771" width="4.5" style="16" customWidth="1"/>
    <col min="772" max="772" width="5.5" style="16" customWidth="1"/>
    <col min="773" max="773" width="9.5" style="16" customWidth="1"/>
    <col min="774" max="774" width="5.19921875" style="16" customWidth="1"/>
    <col min="775" max="775" width="10.59765625" style="16" customWidth="1"/>
    <col min="776" max="776" width="7.59765625" style="16" customWidth="1"/>
    <col min="777" max="1016" width="0" style="16" hidden="1" customWidth="1"/>
    <col min="1017" max="1017" width="8.09765625" style="16" customWidth="1"/>
    <col min="1018" max="1018" width="3" style="16" customWidth="1"/>
    <col min="1019" max="1019" width="5.5" style="16" customWidth="1"/>
    <col min="1020" max="1020" width="3.5" style="16" customWidth="1"/>
    <col min="1021" max="1021" width="7.5" style="16" customWidth="1"/>
    <col min="1022" max="1022" width="9.765625E-2" style="16" customWidth="1"/>
    <col min="1023" max="1023" width="0.5" style="16" customWidth="1"/>
    <col min="1024" max="1024" width="36.09765625" style="16"/>
    <col min="1025" max="1025" width="3.59765625" style="16" customWidth="1"/>
    <col min="1026" max="1026" width="22.8984375" style="16" customWidth="1"/>
    <col min="1027" max="1027" width="4.5" style="16" customWidth="1"/>
    <col min="1028" max="1028" width="5.5" style="16" customWidth="1"/>
    <col min="1029" max="1029" width="9.5" style="16" customWidth="1"/>
    <col min="1030" max="1030" width="5.19921875" style="16" customWidth="1"/>
    <col min="1031" max="1031" width="10.59765625" style="16" customWidth="1"/>
    <col min="1032" max="1032" width="7.59765625" style="16" customWidth="1"/>
    <col min="1033" max="1272" width="0" style="16" hidden="1" customWidth="1"/>
    <col min="1273" max="1273" width="8.09765625" style="16" customWidth="1"/>
    <col min="1274" max="1274" width="3" style="16" customWidth="1"/>
    <col min="1275" max="1275" width="5.5" style="16" customWidth="1"/>
    <col min="1276" max="1276" width="3.5" style="16" customWidth="1"/>
    <col min="1277" max="1277" width="7.5" style="16" customWidth="1"/>
    <col min="1278" max="1278" width="9.765625E-2" style="16" customWidth="1"/>
    <col min="1279" max="1279" width="0.5" style="16" customWidth="1"/>
    <col min="1280" max="1280" width="36.09765625" style="16"/>
    <col min="1281" max="1281" width="3.59765625" style="16" customWidth="1"/>
    <col min="1282" max="1282" width="22.8984375" style="16" customWidth="1"/>
    <col min="1283" max="1283" width="4.5" style="16" customWidth="1"/>
    <col min="1284" max="1284" width="5.5" style="16" customWidth="1"/>
    <col min="1285" max="1285" width="9.5" style="16" customWidth="1"/>
    <col min="1286" max="1286" width="5.19921875" style="16" customWidth="1"/>
    <col min="1287" max="1287" width="10.59765625" style="16" customWidth="1"/>
    <col min="1288" max="1288" width="7.59765625" style="16" customWidth="1"/>
    <col min="1289" max="1528" width="0" style="16" hidden="1" customWidth="1"/>
    <col min="1529" max="1529" width="8.09765625" style="16" customWidth="1"/>
    <col min="1530" max="1530" width="3" style="16" customWidth="1"/>
    <col min="1531" max="1531" width="5.5" style="16" customWidth="1"/>
    <col min="1532" max="1532" width="3.5" style="16" customWidth="1"/>
    <col min="1533" max="1533" width="7.5" style="16" customWidth="1"/>
    <col min="1534" max="1534" width="9.765625E-2" style="16" customWidth="1"/>
    <col min="1535" max="1535" width="0.5" style="16" customWidth="1"/>
    <col min="1536" max="1536" width="36.09765625" style="16"/>
    <col min="1537" max="1537" width="3.59765625" style="16" customWidth="1"/>
    <col min="1538" max="1538" width="22.8984375" style="16" customWidth="1"/>
    <col min="1539" max="1539" width="4.5" style="16" customWidth="1"/>
    <col min="1540" max="1540" width="5.5" style="16" customWidth="1"/>
    <col min="1541" max="1541" width="9.5" style="16" customWidth="1"/>
    <col min="1542" max="1542" width="5.19921875" style="16" customWidth="1"/>
    <col min="1543" max="1543" width="10.59765625" style="16" customWidth="1"/>
    <col min="1544" max="1544" width="7.59765625" style="16" customWidth="1"/>
    <col min="1545" max="1784" width="0" style="16" hidden="1" customWidth="1"/>
    <col min="1785" max="1785" width="8.09765625" style="16" customWidth="1"/>
    <col min="1786" max="1786" width="3" style="16" customWidth="1"/>
    <col min="1787" max="1787" width="5.5" style="16" customWidth="1"/>
    <col min="1788" max="1788" width="3.5" style="16" customWidth="1"/>
    <col min="1789" max="1789" width="7.5" style="16" customWidth="1"/>
    <col min="1790" max="1790" width="9.765625E-2" style="16" customWidth="1"/>
    <col min="1791" max="1791" width="0.5" style="16" customWidth="1"/>
    <col min="1792" max="1792" width="36.09765625" style="16"/>
    <col min="1793" max="1793" width="3.59765625" style="16" customWidth="1"/>
    <col min="1794" max="1794" width="22.8984375" style="16" customWidth="1"/>
    <col min="1795" max="1795" width="4.5" style="16" customWidth="1"/>
    <col min="1796" max="1796" width="5.5" style="16" customWidth="1"/>
    <col min="1797" max="1797" width="9.5" style="16" customWidth="1"/>
    <col min="1798" max="1798" width="5.19921875" style="16" customWidth="1"/>
    <col min="1799" max="1799" width="10.59765625" style="16" customWidth="1"/>
    <col min="1800" max="1800" width="7.59765625" style="16" customWidth="1"/>
    <col min="1801" max="2040" width="0" style="16" hidden="1" customWidth="1"/>
    <col min="2041" max="2041" width="8.09765625" style="16" customWidth="1"/>
    <col min="2042" max="2042" width="3" style="16" customWidth="1"/>
    <col min="2043" max="2043" width="5.5" style="16" customWidth="1"/>
    <col min="2044" max="2044" width="3.5" style="16" customWidth="1"/>
    <col min="2045" max="2045" width="7.5" style="16" customWidth="1"/>
    <col min="2046" max="2046" width="9.765625E-2" style="16" customWidth="1"/>
    <col min="2047" max="2047" width="0.5" style="16" customWidth="1"/>
    <col min="2048" max="2048" width="36.09765625" style="16"/>
    <col min="2049" max="2049" width="3.59765625" style="16" customWidth="1"/>
    <col min="2050" max="2050" width="22.8984375" style="16" customWidth="1"/>
    <col min="2051" max="2051" width="4.5" style="16" customWidth="1"/>
    <col min="2052" max="2052" width="5.5" style="16" customWidth="1"/>
    <col min="2053" max="2053" width="9.5" style="16" customWidth="1"/>
    <col min="2054" max="2054" width="5.19921875" style="16" customWidth="1"/>
    <col min="2055" max="2055" width="10.59765625" style="16" customWidth="1"/>
    <col min="2056" max="2056" width="7.59765625" style="16" customWidth="1"/>
    <col min="2057" max="2296" width="0" style="16" hidden="1" customWidth="1"/>
    <col min="2297" max="2297" width="8.09765625" style="16" customWidth="1"/>
    <col min="2298" max="2298" width="3" style="16" customWidth="1"/>
    <col min="2299" max="2299" width="5.5" style="16" customWidth="1"/>
    <col min="2300" max="2300" width="3.5" style="16" customWidth="1"/>
    <col min="2301" max="2301" width="7.5" style="16" customWidth="1"/>
    <col min="2302" max="2302" width="9.765625E-2" style="16" customWidth="1"/>
    <col min="2303" max="2303" width="0.5" style="16" customWidth="1"/>
    <col min="2304" max="2304" width="36.09765625" style="16"/>
    <col min="2305" max="2305" width="3.59765625" style="16" customWidth="1"/>
    <col min="2306" max="2306" width="22.8984375" style="16" customWidth="1"/>
    <col min="2307" max="2307" width="4.5" style="16" customWidth="1"/>
    <col min="2308" max="2308" width="5.5" style="16" customWidth="1"/>
    <col min="2309" max="2309" width="9.5" style="16" customWidth="1"/>
    <col min="2310" max="2310" width="5.19921875" style="16" customWidth="1"/>
    <col min="2311" max="2311" width="10.59765625" style="16" customWidth="1"/>
    <col min="2312" max="2312" width="7.59765625" style="16" customWidth="1"/>
    <col min="2313" max="2552" width="0" style="16" hidden="1" customWidth="1"/>
    <col min="2553" max="2553" width="8.09765625" style="16" customWidth="1"/>
    <col min="2554" max="2554" width="3" style="16" customWidth="1"/>
    <col min="2555" max="2555" width="5.5" style="16" customWidth="1"/>
    <col min="2556" max="2556" width="3.5" style="16" customWidth="1"/>
    <col min="2557" max="2557" width="7.5" style="16" customWidth="1"/>
    <col min="2558" max="2558" width="9.765625E-2" style="16" customWidth="1"/>
    <col min="2559" max="2559" width="0.5" style="16" customWidth="1"/>
    <col min="2560" max="2560" width="36.09765625" style="16"/>
    <col min="2561" max="2561" width="3.59765625" style="16" customWidth="1"/>
    <col min="2562" max="2562" width="22.8984375" style="16" customWidth="1"/>
    <col min="2563" max="2563" width="4.5" style="16" customWidth="1"/>
    <col min="2564" max="2564" width="5.5" style="16" customWidth="1"/>
    <col min="2565" max="2565" width="9.5" style="16" customWidth="1"/>
    <col min="2566" max="2566" width="5.19921875" style="16" customWidth="1"/>
    <col min="2567" max="2567" width="10.59765625" style="16" customWidth="1"/>
    <col min="2568" max="2568" width="7.59765625" style="16" customWidth="1"/>
    <col min="2569" max="2808" width="0" style="16" hidden="1" customWidth="1"/>
    <col min="2809" max="2809" width="8.09765625" style="16" customWidth="1"/>
    <col min="2810" max="2810" width="3" style="16" customWidth="1"/>
    <col min="2811" max="2811" width="5.5" style="16" customWidth="1"/>
    <col min="2812" max="2812" width="3.5" style="16" customWidth="1"/>
    <col min="2813" max="2813" width="7.5" style="16" customWidth="1"/>
    <col min="2814" max="2814" width="9.765625E-2" style="16" customWidth="1"/>
    <col min="2815" max="2815" width="0.5" style="16" customWidth="1"/>
    <col min="2816" max="2816" width="36.09765625" style="16"/>
    <col min="2817" max="2817" width="3.59765625" style="16" customWidth="1"/>
    <col min="2818" max="2818" width="22.8984375" style="16" customWidth="1"/>
    <col min="2819" max="2819" width="4.5" style="16" customWidth="1"/>
    <col min="2820" max="2820" width="5.5" style="16" customWidth="1"/>
    <col min="2821" max="2821" width="9.5" style="16" customWidth="1"/>
    <col min="2822" max="2822" width="5.19921875" style="16" customWidth="1"/>
    <col min="2823" max="2823" width="10.59765625" style="16" customWidth="1"/>
    <col min="2824" max="2824" width="7.59765625" style="16" customWidth="1"/>
    <col min="2825" max="3064" width="0" style="16" hidden="1" customWidth="1"/>
    <col min="3065" max="3065" width="8.09765625" style="16" customWidth="1"/>
    <col min="3066" max="3066" width="3" style="16" customWidth="1"/>
    <col min="3067" max="3067" width="5.5" style="16" customWidth="1"/>
    <col min="3068" max="3068" width="3.5" style="16" customWidth="1"/>
    <col min="3069" max="3069" width="7.5" style="16" customWidth="1"/>
    <col min="3070" max="3070" width="9.765625E-2" style="16" customWidth="1"/>
    <col min="3071" max="3071" width="0.5" style="16" customWidth="1"/>
    <col min="3072" max="3072" width="36.09765625" style="16"/>
    <col min="3073" max="3073" width="3.59765625" style="16" customWidth="1"/>
    <col min="3074" max="3074" width="22.8984375" style="16" customWidth="1"/>
    <col min="3075" max="3075" width="4.5" style="16" customWidth="1"/>
    <col min="3076" max="3076" width="5.5" style="16" customWidth="1"/>
    <col min="3077" max="3077" width="9.5" style="16" customWidth="1"/>
    <col min="3078" max="3078" width="5.19921875" style="16" customWidth="1"/>
    <col min="3079" max="3079" width="10.59765625" style="16" customWidth="1"/>
    <col min="3080" max="3080" width="7.59765625" style="16" customWidth="1"/>
    <col min="3081" max="3320" width="0" style="16" hidden="1" customWidth="1"/>
    <col min="3321" max="3321" width="8.09765625" style="16" customWidth="1"/>
    <col min="3322" max="3322" width="3" style="16" customWidth="1"/>
    <col min="3323" max="3323" width="5.5" style="16" customWidth="1"/>
    <col min="3324" max="3324" width="3.5" style="16" customWidth="1"/>
    <col min="3325" max="3325" width="7.5" style="16" customWidth="1"/>
    <col min="3326" max="3326" width="9.765625E-2" style="16" customWidth="1"/>
    <col min="3327" max="3327" width="0.5" style="16" customWidth="1"/>
    <col min="3328" max="3328" width="36.09765625" style="16"/>
    <col min="3329" max="3329" width="3.59765625" style="16" customWidth="1"/>
    <col min="3330" max="3330" width="22.8984375" style="16" customWidth="1"/>
    <col min="3331" max="3331" width="4.5" style="16" customWidth="1"/>
    <col min="3332" max="3332" width="5.5" style="16" customWidth="1"/>
    <col min="3333" max="3333" width="9.5" style="16" customWidth="1"/>
    <col min="3334" max="3334" width="5.19921875" style="16" customWidth="1"/>
    <col min="3335" max="3335" width="10.59765625" style="16" customWidth="1"/>
    <col min="3336" max="3336" width="7.59765625" style="16" customWidth="1"/>
    <col min="3337" max="3576" width="0" style="16" hidden="1" customWidth="1"/>
    <col min="3577" max="3577" width="8.09765625" style="16" customWidth="1"/>
    <col min="3578" max="3578" width="3" style="16" customWidth="1"/>
    <col min="3579" max="3579" width="5.5" style="16" customWidth="1"/>
    <col min="3580" max="3580" width="3.5" style="16" customWidth="1"/>
    <col min="3581" max="3581" width="7.5" style="16" customWidth="1"/>
    <col min="3582" max="3582" width="9.765625E-2" style="16" customWidth="1"/>
    <col min="3583" max="3583" width="0.5" style="16" customWidth="1"/>
    <col min="3584" max="3584" width="36.09765625" style="16"/>
    <col min="3585" max="3585" width="3.59765625" style="16" customWidth="1"/>
    <col min="3586" max="3586" width="22.8984375" style="16" customWidth="1"/>
    <col min="3587" max="3587" width="4.5" style="16" customWidth="1"/>
    <col min="3588" max="3588" width="5.5" style="16" customWidth="1"/>
    <col min="3589" max="3589" width="9.5" style="16" customWidth="1"/>
    <col min="3590" max="3590" width="5.19921875" style="16" customWidth="1"/>
    <col min="3591" max="3591" width="10.59765625" style="16" customWidth="1"/>
    <col min="3592" max="3592" width="7.59765625" style="16" customWidth="1"/>
    <col min="3593" max="3832" width="0" style="16" hidden="1" customWidth="1"/>
    <col min="3833" max="3833" width="8.09765625" style="16" customWidth="1"/>
    <col min="3834" max="3834" width="3" style="16" customWidth="1"/>
    <col min="3835" max="3835" width="5.5" style="16" customWidth="1"/>
    <col min="3836" max="3836" width="3.5" style="16" customWidth="1"/>
    <col min="3837" max="3837" width="7.5" style="16" customWidth="1"/>
    <col min="3838" max="3838" width="9.765625E-2" style="16" customWidth="1"/>
    <col min="3839" max="3839" width="0.5" style="16" customWidth="1"/>
    <col min="3840" max="3840" width="36.09765625" style="16"/>
    <col min="3841" max="3841" width="3.59765625" style="16" customWidth="1"/>
    <col min="3842" max="3842" width="22.8984375" style="16" customWidth="1"/>
    <col min="3843" max="3843" width="4.5" style="16" customWidth="1"/>
    <col min="3844" max="3844" width="5.5" style="16" customWidth="1"/>
    <col min="3845" max="3845" width="9.5" style="16" customWidth="1"/>
    <col min="3846" max="3846" width="5.19921875" style="16" customWidth="1"/>
    <col min="3847" max="3847" width="10.59765625" style="16" customWidth="1"/>
    <col min="3848" max="3848" width="7.59765625" style="16" customWidth="1"/>
    <col min="3849" max="4088" width="0" style="16" hidden="1" customWidth="1"/>
    <col min="4089" max="4089" width="8.09765625" style="16" customWidth="1"/>
    <col min="4090" max="4090" width="3" style="16" customWidth="1"/>
    <col min="4091" max="4091" width="5.5" style="16" customWidth="1"/>
    <col min="4092" max="4092" width="3.5" style="16" customWidth="1"/>
    <col min="4093" max="4093" width="7.5" style="16" customWidth="1"/>
    <col min="4094" max="4094" width="9.765625E-2" style="16" customWidth="1"/>
    <col min="4095" max="4095" width="0.5" style="16" customWidth="1"/>
    <col min="4096" max="4096" width="36.09765625" style="16"/>
    <col min="4097" max="4097" width="3.59765625" style="16" customWidth="1"/>
    <col min="4098" max="4098" width="22.8984375" style="16" customWidth="1"/>
    <col min="4099" max="4099" width="4.5" style="16" customWidth="1"/>
    <col min="4100" max="4100" width="5.5" style="16" customWidth="1"/>
    <col min="4101" max="4101" width="9.5" style="16" customWidth="1"/>
    <col min="4102" max="4102" width="5.19921875" style="16" customWidth="1"/>
    <col min="4103" max="4103" width="10.59765625" style="16" customWidth="1"/>
    <col min="4104" max="4104" width="7.59765625" style="16" customWidth="1"/>
    <col min="4105" max="4344" width="0" style="16" hidden="1" customWidth="1"/>
    <col min="4345" max="4345" width="8.09765625" style="16" customWidth="1"/>
    <col min="4346" max="4346" width="3" style="16" customWidth="1"/>
    <col min="4347" max="4347" width="5.5" style="16" customWidth="1"/>
    <col min="4348" max="4348" width="3.5" style="16" customWidth="1"/>
    <col min="4349" max="4349" width="7.5" style="16" customWidth="1"/>
    <col min="4350" max="4350" width="9.765625E-2" style="16" customWidth="1"/>
    <col min="4351" max="4351" width="0.5" style="16" customWidth="1"/>
    <col min="4352" max="4352" width="36.09765625" style="16"/>
    <col min="4353" max="4353" width="3.59765625" style="16" customWidth="1"/>
    <col min="4354" max="4354" width="22.8984375" style="16" customWidth="1"/>
    <col min="4355" max="4355" width="4.5" style="16" customWidth="1"/>
    <col min="4356" max="4356" width="5.5" style="16" customWidth="1"/>
    <col min="4357" max="4357" width="9.5" style="16" customWidth="1"/>
    <col min="4358" max="4358" width="5.19921875" style="16" customWidth="1"/>
    <col min="4359" max="4359" width="10.59765625" style="16" customWidth="1"/>
    <col min="4360" max="4360" width="7.59765625" style="16" customWidth="1"/>
    <col min="4361" max="4600" width="0" style="16" hidden="1" customWidth="1"/>
    <col min="4601" max="4601" width="8.09765625" style="16" customWidth="1"/>
    <col min="4602" max="4602" width="3" style="16" customWidth="1"/>
    <col min="4603" max="4603" width="5.5" style="16" customWidth="1"/>
    <col min="4604" max="4604" width="3.5" style="16" customWidth="1"/>
    <col min="4605" max="4605" width="7.5" style="16" customWidth="1"/>
    <col min="4606" max="4606" width="9.765625E-2" style="16" customWidth="1"/>
    <col min="4607" max="4607" width="0.5" style="16" customWidth="1"/>
    <col min="4608" max="4608" width="36.09765625" style="16"/>
    <col min="4609" max="4609" width="3.59765625" style="16" customWidth="1"/>
    <col min="4610" max="4610" width="22.8984375" style="16" customWidth="1"/>
    <col min="4611" max="4611" width="4.5" style="16" customWidth="1"/>
    <col min="4612" max="4612" width="5.5" style="16" customWidth="1"/>
    <col min="4613" max="4613" width="9.5" style="16" customWidth="1"/>
    <col min="4614" max="4614" width="5.19921875" style="16" customWidth="1"/>
    <col min="4615" max="4615" width="10.59765625" style="16" customWidth="1"/>
    <col min="4616" max="4616" width="7.59765625" style="16" customWidth="1"/>
    <col min="4617" max="4856" width="0" style="16" hidden="1" customWidth="1"/>
    <col min="4857" max="4857" width="8.09765625" style="16" customWidth="1"/>
    <col min="4858" max="4858" width="3" style="16" customWidth="1"/>
    <col min="4859" max="4859" width="5.5" style="16" customWidth="1"/>
    <col min="4860" max="4860" width="3.5" style="16" customWidth="1"/>
    <col min="4861" max="4861" width="7.5" style="16" customWidth="1"/>
    <col min="4862" max="4862" width="9.765625E-2" style="16" customWidth="1"/>
    <col min="4863" max="4863" width="0.5" style="16" customWidth="1"/>
    <col min="4864" max="4864" width="36.09765625" style="16"/>
    <col min="4865" max="4865" width="3.59765625" style="16" customWidth="1"/>
    <col min="4866" max="4866" width="22.8984375" style="16" customWidth="1"/>
    <col min="4867" max="4867" width="4.5" style="16" customWidth="1"/>
    <col min="4868" max="4868" width="5.5" style="16" customWidth="1"/>
    <col min="4869" max="4869" width="9.5" style="16" customWidth="1"/>
    <col min="4870" max="4870" width="5.19921875" style="16" customWidth="1"/>
    <col min="4871" max="4871" width="10.59765625" style="16" customWidth="1"/>
    <col min="4872" max="4872" width="7.59765625" style="16" customWidth="1"/>
    <col min="4873" max="5112" width="0" style="16" hidden="1" customWidth="1"/>
    <col min="5113" max="5113" width="8.09765625" style="16" customWidth="1"/>
    <col min="5114" max="5114" width="3" style="16" customWidth="1"/>
    <col min="5115" max="5115" width="5.5" style="16" customWidth="1"/>
    <col min="5116" max="5116" width="3.5" style="16" customWidth="1"/>
    <col min="5117" max="5117" width="7.5" style="16" customWidth="1"/>
    <col min="5118" max="5118" width="9.765625E-2" style="16" customWidth="1"/>
    <col min="5119" max="5119" width="0.5" style="16" customWidth="1"/>
    <col min="5120" max="5120" width="36.09765625" style="16"/>
    <col min="5121" max="5121" width="3.59765625" style="16" customWidth="1"/>
    <col min="5122" max="5122" width="22.8984375" style="16" customWidth="1"/>
    <col min="5123" max="5123" width="4.5" style="16" customWidth="1"/>
    <col min="5124" max="5124" width="5.5" style="16" customWidth="1"/>
    <col min="5125" max="5125" width="9.5" style="16" customWidth="1"/>
    <col min="5126" max="5126" width="5.19921875" style="16" customWidth="1"/>
    <col min="5127" max="5127" width="10.59765625" style="16" customWidth="1"/>
    <col min="5128" max="5128" width="7.59765625" style="16" customWidth="1"/>
    <col min="5129" max="5368" width="0" style="16" hidden="1" customWidth="1"/>
    <col min="5369" max="5369" width="8.09765625" style="16" customWidth="1"/>
    <col min="5370" max="5370" width="3" style="16" customWidth="1"/>
    <col min="5371" max="5371" width="5.5" style="16" customWidth="1"/>
    <col min="5372" max="5372" width="3.5" style="16" customWidth="1"/>
    <col min="5373" max="5373" width="7.5" style="16" customWidth="1"/>
    <col min="5374" max="5374" width="9.765625E-2" style="16" customWidth="1"/>
    <col min="5375" max="5375" width="0.5" style="16" customWidth="1"/>
    <col min="5376" max="5376" width="36.09765625" style="16"/>
    <col min="5377" max="5377" width="3.59765625" style="16" customWidth="1"/>
    <col min="5378" max="5378" width="22.8984375" style="16" customWidth="1"/>
    <col min="5379" max="5379" width="4.5" style="16" customWidth="1"/>
    <col min="5380" max="5380" width="5.5" style="16" customWidth="1"/>
    <col min="5381" max="5381" width="9.5" style="16" customWidth="1"/>
    <col min="5382" max="5382" width="5.19921875" style="16" customWidth="1"/>
    <col min="5383" max="5383" width="10.59765625" style="16" customWidth="1"/>
    <col min="5384" max="5384" width="7.59765625" style="16" customWidth="1"/>
    <col min="5385" max="5624" width="0" style="16" hidden="1" customWidth="1"/>
    <col min="5625" max="5625" width="8.09765625" style="16" customWidth="1"/>
    <col min="5626" max="5626" width="3" style="16" customWidth="1"/>
    <col min="5627" max="5627" width="5.5" style="16" customWidth="1"/>
    <col min="5628" max="5628" width="3.5" style="16" customWidth="1"/>
    <col min="5629" max="5629" width="7.5" style="16" customWidth="1"/>
    <col min="5630" max="5630" width="9.765625E-2" style="16" customWidth="1"/>
    <col min="5631" max="5631" width="0.5" style="16" customWidth="1"/>
    <col min="5632" max="5632" width="36.09765625" style="16"/>
    <col min="5633" max="5633" width="3.59765625" style="16" customWidth="1"/>
    <col min="5634" max="5634" width="22.8984375" style="16" customWidth="1"/>
    <col min="5635" max="5635" width="4.5" style="16" customWidth="1"/>
    <col min="5636" max="5636" width="5.5" style="16" customWidth="1"/>
    <col min="5637" max="5637" width="9.5" style="16" customWidth="1"/>
    <col min="5638" max="5638" width="5.19921875" style="16" customWidth="1"/>
    <col min="5639" max="5639" width="10.59765625" style="16" customWidth="1"/>
    <col min="5640" max="5640" width="7.59765625" style="16" customWidth="1"/>
    <col min="5641" max="5880" width="0" style="16" hidden="1" customWidth="1"/>
    <col min="5881" max="5881" width="8.09765625" style="16" customWidth="1"/>
    <col min="5882" max="5882" width="3" style="16" customWidth="1"/>
    <col min="5883" max="5883" width="5.5" style="16" customWidth="1"/>
    <col min="5884" max="5884" width="3.5" style="16" customWidth="1"/>
    <col min="5885" max="5885" width="7.5" style="16" customWidth="1"/>
    <col min="5886" max="5886" width="9.765625E-2" style="16" customWidth="1"/>
    <col min="5887" max="5887" width="0.5" style="16" customWidth="1"/>
    <col min="5888" max="5888" width="36.09765625" style="16"/>
    <col min="5889" max="5889" width="3.59765625" style="16" customWidth="1"/>
    <col min="5890" max="5890" width="22.8984375" style="16" customWidth="1"/>
    <col min="5891" max="5891" width="4.5" style="16" customWidth="1"/>
    <col min="5892" max="5892" width="5.5" style="16" customWidth="1"/>
    <col min="5893" max="5893" width="9.5" style="16" customWidth="1"/>
    <col min="5894" max="5894" width="5.19921875" style="16" customWidth="1"/>
    <col min="5895" max="5895" width="10.59765625" style="16" customWidth="1"/>
    <col min="5896" max="5896" width="7.59765625" style="16" customWidth="1"/>
    <col min="5897" max="6136" width="0" style="16" hidden="1" customWidth="1"/>
    <col min="6137" max="6137" width="8.09765625" style="16" customWidth="1"/>
    <col min="6138" max="6138" width="3" style="16" customWidth="1"/>
    <col min="6139" max="6139" width="5.5" style="16" customWidth="1"/>
    <col min="6140" max="6140" width="3.5" style="16" customWidth="1"/>
    <col min="6141" max="6141" width="7.5" style="16" customWidth="1"/>
    <col min="6142" max="6142" width="9.765625E-2" style="16" customWidth="1"/>
    <col min="6143" max="6143" width="0.5" style="16" customWidth="1"/>
    <col min="6144" max="6144" width="36.09765625" style="16"/>
    <col min="6145" max="6145" width="3.59765625" style="16" customWidth="1"/>
    <col min="6146" max="6146" width="22.8984375" style="16" customWidth="1"/>
    <col min="6147" max="6147" width="4.5" style="16" customWidth="1"/>
    <col min="6148" max="6148" width="5.5" style="16" customWidth="1"/>
    <col min="6149" max="6149" width="9.5" style="16" customWidth="1"/>
    <col min="6150" max="6150" width="5.19921875" style="16" customWidth="1"/>
    <col min="6151" max="6151" width="10.59765625" style="16" customWidth="1"/>
    <col min="6152" max="6152" width="7.59765625" style="16" customWidth="1"/>
    <col min="6153" max="6392" width="0" style="16" hidden="1" customWidth="1"/>
    <col min="6393" max="6393" width="8.09765625" style="16" customWidth="1"/>
    <col min="6394" max="6394" width="3" style="16" customWidth="1"/>
    <col min="6395" max="6395" width="5.5" style="16" customWidth="1"/>
    <col min="6396" max="6396" width="3.5" style="16" customWidth="1"/>
    <col min="6397" max="6397" width="7.5" style="16" customWidth="1"/>
    <col min="6398" max="6398" width="9.765625E-2" style="16" customWidth="1"/>
    <col min="6399" max="6399" width="0.5" style="16" customWidth="1"/>
    <col min="6400" max="6400" width="36.09765625" style="16"/>
    <col min="6401" max="6401" width="3.59765625" style="16" customWidth="1"/>
    <col min="6402" max="6402" width="22.8984375" style="16" customWidth="1"/>
    <col min="6403" max="6403" width="4.5" style="16" customWidth="1"/>
    <col min="6404" max="6404" width="5.5" style="16" customWidth="1"/>
    <col min="6405" max="6405" width="9.5" style="16" customWidth="1"/>
    <col min="6406" max="6406" width="5.19921875" style="16" customWidth="1"/>
    <col min="6407" max="6407" width="10.59765625" style="16" customWidth="1"/>
    <col min="6408" max="6408" width="7.59765625" style="16" customWidth="1"/>
    <col min="6409" max="6648" width="0" style="16" hidden="1" customWidth="1"/>
    <col min="6649" max="6649" width="8.09765625" style="16" customWidth="1"/>
    <col min="6650" max="6650" width="3" style="16" customWidth="1"/>
    <col min="6651" max="6651" width="5.5" style="16" customWidth="1"/>
    <col min="6652" max="6652" width="3.5" style="16" customWidth="1"/>
    <col min="6653" max="6653" width="7.5" style="16" customWidth="1"/>
    <col min="6654" max="6654" width="9.765625E-2" style="16" customWidth="1"/>
    <col min="6655" max="6655" width="0.5" style="16" customWidth="1"/>
    <col min="6656" max="6656" width="36.09765625" style="16"/>
    <col min="6657" max="6657" width="3.59765625" style="16" customWidth="1"/>
    <col min="6658" max="6658" width="22.8984375" style="16" customWidth="1"/>
    <col min="6659" max="6659" width="4.5" style="16" customWidth="1"/>
    <col min="6660" max="6660" width="5.5" style="16" customWidth="1"/>
    <col min="6661" max="6661" width="9.5" style="16" customWidth="1"/>
    <col min="6662" max="6662" width="5.19921875" style="16" customWidth="1"/>
    <col min="6663" max="6663" width="10.59765625" style="16" customWidth="1"/>
    <col min="6664" max="6664" width="7.59765625" style="16" customWidth="1"/>
    <col min="6665" max="6904" width="0" style="16" hidden="1" customWidth="1"/>
    <col min="6905" max="6905" width="8.09765625" style="16" customWidth="1"/>
    <col min="6906" max="6906" width="3" style="16" customWidth="1"/>
    <col min="6907" max="6907" width="5.5" style="16" customWidth="1"/>
    <col min="6908" max="6908" width="3.5" style="16" customWidth="1"/>
    <col min="6909" max="6909" width="7.5" style="16" customWidth="1"/>
    <col min="6910" max="6910" width="9.765625E-2" style="16" customWidth="1"/>
    <col min="6911" max="6911" width="0.5" style="16" customWidth="1"/>
    <col min="6912" max="6912" width="36.09765625" style="16"/>
    <col min="6913" max="6913" width="3.59765625" style="16" customWidth="1"/>
    <col min="6914" max="6914" width="22.8984375" style="16" customWidth="1"/>
    <col min="6915" max="6915" width="4.5" style="16" customWidth="1"/>
    <col min="6916" max="6916" width="5.5" style="16" customWidth="1"/>
    <col min="6917" max="6917" width="9.5" style="16" customWidth="1"/>
    <col min="6918" max="6918" width="5.19921875" style="16" customWidth="1"/>
    <col min="6919" max="6919" width="10.59765625" style="16" customWidth="1"/>
    <col min="6920" max="6920" width="7.59765625" style="16" customWidth="1"/>
    <col min="6921" max="7160" width="0" style="16" hidden="1" customWidth="1"/>
    <col min="7161" max="7161" width="8.09765625" style="16" customWidth="1"/>
    <col min="7162" max="7162" width="3" style="16" customWidth="1"/>
    <col min="7163" max="7163" width="5.5" style="16" customWidth="1"/>
    <col min="7164" max="7164" width="3.5" style="16" customWidth="1"/>
    <col min="7165" max="7165" width="7.5" style="16" customWidth="1"/>
    <col min="7166" max="7166" width="9.765625E-2" style="16" customWidth="1"/>
    <col min="7167" max="7167" width="0.5" style="16" customWidth="1"/>
    <col min="7168" max="7168" width="36.09765625" style="16"/>
    <col min="7169" max="7169" width="3.59765625" style="16" customWidth="1"/>
    <col min="7170" max="7170" width="22.8984375" style="16" customWidth="1"/>
    <col min="7171" max="7171" width="4.5" style="16" customWidth="1"/>
    <col min="7172" max="7172" width="5.5" style="16" customWidth="1"/>
    <col min="7173" max="7173" width="9.5" style="16" customWidth="1"/>
    <col min="7174" max="7174" width="5.19921875" style="16" customWidth="1"/>
    <col min="7175" max="7175" width="10.59765625" style="16" customWidth="1"/>
    <col min="7176" max="7176" width="7.59765625" style="16" customWidth="1"/>
    <col min="7177" max="7416" width="0" style="16" hidden="1" customWidth="1"/>
    <col min="7417" max="7417" width="8.09765625" style="16" customWidth="1"/>
    <col min="7418" max="7418" width="3" style="16" customWidth="1"/>
    <col min="7419" max="7419" width="5.5" style="16" customWidth="1"/>
    <col min="7420" max="7420" width="3.5" style="16" customWidth="1"/>
    <col min="7421" max="7421" width="7.5" style="16" customWidth="1"/>
    <col min="7422" max="7422" width="9.765625E-2" style="16" customWidth="1"/>
    <col min="7423" max="7423" width="0.5" style="16" customWidth="1"/>
    <col min="7424" max="7424" width="36.09765625" style="16"/>
    <col min="7425" max="7425" width="3.59765625" style="16" customWidth="1"/>
    <col min="7426" max="7426" width="22.8984375" style="16" customWidth="1"/>
    <col min="7427" max="7427" width="4.5" style="16" customWidth="1"/>
    <col min="7428" max="7428" width="5.5" style="16" customWidth="1"/>
    <col min="7429" max="7429" width="9.5" style="16" customWidth="1"/>
    <col min="7430" max="7430" width="5.19921875" style="16" customWidth="1"/>
    <col min="7431" max="7431" width="10.59765625" style="16" customWidth="1"/>
    <col min="7432" max="7432" width="7.59765625" style="16" customWidth="1"/>
    <col min="7433" max="7672" width="0" style="16" hidden="1" customWidth="1"/>
    <col min="7673" max="7673" width="8.09765625" style="16" customWidth="1"/>
    <col min="7674" max="7674" width="3" style="16" customWidth="1"/>
    <col min="7675" max="7675" width="5.5" style="16" customWidth="1"/>
    <col min="7676" max="7676" width="3.5" style="16" customWidth="1"/>
    <col min="7677" max="7677" width="7.5" style="16" customWidth="1"/>
    <col min="7678" max="7678" width="9.765625E-2" style="16" customWidth="1"/>
    <col min="7679" max="7679" width="0.5" style="16" customWidth="1"/>
    <col min="7680" max="7680" width="36.09765625" style="16"/>
    <col min="7681" max="7681" width="3.59765625" style="16" customWidth="1"/>
    <col min="7682" max="7682" width="22.8984375" style="16" customWidth="1"/>
    <col min="7683" max="7683" width="4.5" style="16" customWidth="1"/>
    <col min="7684" max="7684" width="5.5" style="16" customWidth="1"/>
    <col min="7685" max="7685" width="9.5" style="16" customWidth="1"/>
    <col min="7686" max="7686" width="5.19921875" style="16" customWidth="1"/>
    <col min="7687" max="7687" width="10.59765625" style="16" customWidth="1"/>
    <col min="7688" max="7688" width="7.59765625" style="16" customWidth="1"/>
    <col min="7689" max="7928" width="0" style="16" hidden="1" customWidth="1"/>
    <col min="7929" max="7929" width="8.09765625" style="16" customWidth="1"/>
    <col min="7930" max="7930" width="3" style="16" customWidth="1"/>
    <col min="7931" max="7931" width="5.5" style="16" customWidth="1"/>
    <col min="7932" max="7932" width="3.5" style="16" customWidth="1"/>
    <col min="7933" max="7933" width="7.5" style="16" customWidth="1"/>
    <col min="7934" max="7934" width="9.765625E-2" style="16" customWidth="1"/>
    <col min="7935" max="7935" width="0.5" style="16" customWidth="1"/>
    <col min="7936" max="7936" width="36.09765625" style="16"/>
    <col min="7937" max="7937" width="3.59765625" style="16" customWidth="1"/>
    <col min="7938" max="7938" width="22.8984375" style="16" customWidth="1"/>
    <col min="7939" max="7939" width="4.5" style="16" customWidth="1"/>
    <col min="7940" max="7940" width="5.5" style="16" customWidth="1"/>
    <col min="7941" max="7941" width="9.5" style="16" customWidth="1"/>
    <col min="7942" max="7942" width="5.19921875" style="16" customWidth="1"/>
    <col min="7943" max="7943" width="10.59765625" style="16" customWidth="1"/>
    <col min="7944" max="7944" width="7.59765625" style="16" customWidth="1"/>
    <col min="7945" max="8184" width="0" style="16" hidden="1" customWidth="1"/>
    <col min="8185" max="8185" width="8.09765625" style="16" customWidth="1"/>
    <col min="8186" max="8186" width="3" style="16" customWidth="1"/>
    <col min="8187" max="8187" width="5.5" style="16" customWidth="1"/>
    <col min="8188" max="8188" width="3.5" style="16" customWidth="1"/>
    <col min="8189" max="8189" width="7.5" style="16" customWidth="1"/>
    <col min="8190" max="8190" width="9.765625E-2" style="16" customWidth="1"/>
    <col min="8191" max="8191" width="0.5" style="16" customWidth="1"/>
    <col min="8192" max="8192" width="36.09765625" style="16"/>
    <col min="8193" max="8193" width="3.59765625" style="16" customWidth="1"/>
    <col min="8194" max="8194" width="22.8984375" style="16" customWidth="1"/>
    <col min="8195" max="8195" width="4.5" style="16" customWidth="1"/>
    <col min="8196" max="8196" width="5.5" style="16" customWidth="1"/>
    <col min="8197" max="8197" width="9.5" style="16" customWidth="1"/>
    <col min="8198" max="8198" width="5.19921875" style="16" customWidth="1"/>
    <col min="8199" max="8199" width="10.59765625" style="16" customWidth="1"/>
    <col min="8200" max="8200" width="7.59765625" style="16" customWidth="1"/>
    <col min="8201" max="8440" width="0" style="16" hidden="1" customWidth="1"/>
    <col min="8441" max="8441" width="8.09765625" style="16" customWidth="1"/>
    <col min="8442" max="8442" width="3" style="16" customWidth="1"/>
    <col min="8443" max="8443" width="5.5" style="16" customWidth="1"/>
    <col min="8444" max="8444" width="3.5" style="16" customWidth="1"/>
    <col min="8445" max="8445" width="7.5" style="16" customWidth="1"/>
    <col min="8446" max="8446" width="9.765625E-2" style="16" customWidth="1"/>
    <col min="8447" max="8447" width="0.5" style="16" customWidth="1"/>
    <col min="8448" max="8448" width="36.09765625" style="16"/>
    <col min="8449" max="8449" width="3.59765625" style="16" customWidth="1"/>
    <col min="8450" max="8450" width="22.8984375" style="16" customWidth="1"/>
    <col min="8451" max="8451" width="4.5" style="16" customWidth="1"/>
    <col min="8452" max="8452" width="5.5" style="16" customWidth="1"/>
    <col min="8453" max="8453" width="9.5" style="16" customWidth="1"/>
    <col min="8454" max="8454" width="5.19921875" style="16" customWidth="1"/>
    <col min="8455" max="8455" width="10.59765625" style="16" customWidth="1"/>
    <col min="8456" max="8456" width="7.59765625" style="16" customWidth="1"/>
    <col min="8457" max="8696" width="0" style="16" hidden="1" customWidth="1"/>
    <col min="8697" max="8697" width="8.09765625" style="16" customWidth="1"/>
    <col min="8698" max="8698" width="3" style="16" customWidth="1"/>
    <col min="8699" max="8699" width="5.5" style="16" customWidth="1"/>
    <col min="8700" max="8700" width="3.5" style="16" customWidth="1"/>
    <col min="8701" max="8701" width="7.5" style="16" customWidth="1"/>
    <col min="8702" max="8702" width="9.765625E-2" style="16" customWidth="1"/>
    <col min="8703" max="8703" width="0.5" style="16" customWidth="1"/>
    <col min="8704" max="8704" width="36.09765625" style="16"/>
    <col min="8705" max="8705" width="3.59765625" style="16" customWidth="1"/>
    <col min="8706" max="8706" width="22.8984375" style="16" customWidth="1"/>
    <col min="8707" max="8707" width="4.5" style="16" customWidth="1"/>
    <col min="8708" max="8708" width="5.5" style="16" customWidth="1"/>
    <col min="8709" max="8709" width="9.5" style="16" customWidth="1"/>
    <col min="8710" max="8710" width="5.19921875" style="16" customWidth="1"/>
    <col min="8711" max="8711" width="10.59765625" style="16" customWidth="1"/>
    <col min="8712" max="8712" width="7.59765625" style="16" customWidth="1"/>
    <col min="8713" max="8952" width="0" style="16" hidden="1" customWidth="1"/>
    <col min="8953" max="8953" width="8.09765625" style="16" customWidth="1"/>
    <col min="8954" max="8954" width="3" style="16" customWidth="1"/>
    <col min="8955" max="8955" width="5.5" style="16" customWidth="1"/>
    <col min="8956" max="8956" width="3.5" style="16" customWidth="1"/>
    <col min="8957" max="8957" width="7.5" style="16" customWidth="1"/>
    <col min="8958" max="8958" width="9.765625E-2" style="16" customWidth="1"/>
    <col min="8959" max="8959" width="0.5" style="16" customWidth="1"/>
    <col min="8960" max="8960" width="36.09765625" style="16"/>
    <col min="8961" max="8961" width="3.59765625" style="16" customWidth="1"/>
    <col min="8962" max="8962" width="22.8984375" style="16" customWidth="1"/>
    <col min="8963" max="8963" width="4.5" style="16" customWidth="1"/>
    <col min="8964" max="8964" width="5.5" style="16" customWidth="1"/>
    <col min="8965" max="8965" width="9.5" style="16" customWidth="1"/>
    <col min="8966" max="8966" width="5.19921875" style="16" customWidth="1"/>
    <col min="8967" max="8967" width="10.59765625" style="16" customWidth="1"/>
    <col min="8968" max="8968" width="7.59765625" style="16" customWidth="1"/>
    <col min="8969" max="9208" width="0" style="16" hidden="1" customWidth="1"/>
    <col min="9209" max="9209" width="8.09765625" style="16" customWidth="1"/>
    <col min="9210" max="9210" width="3" style="16" customWidth="1"/>
    <col min="9211" max="9211" width="5.5" style="16" customWidth="1"/>
    <col min="9212" max="9212" width="3.5" style="16" customWidth="1"/>
    <col min="9213" max="9213" width="7.5" style="16" customWidth="1"/>
    <col min="9214" max="9214" width="9.765625E-2" style="16" customWidth="1"/>
    <col min="9215" max="9215" width="0.5" style="16" customWidth="1"/>
    <col min="9216" max="9216" width="36.09765625" style="16"/>
    <col min="9217" max="9217" width="3.59765625" style="16" customWidth="1"/>
    <col min="9218" max="9218" width="22.8984375" style="16" customWidth="1"/>
    <col min="9219" max="9219" width="4.5" style="16" customWidth="1"/>
    <col min="9220" max="9220" width="5.5" style="16" customWidth="1"/>
    <col min="9221" max="9221" width="9.5" style="16" customWidth="1"/>
    <col min="9222" max="9222" width="5.19921875" style="16" customWidth="1"/>
    <col min="9223" max="9223" width="10.59765625" style="16" customWidth="1"/>
    <col min="9224" max="9224" width="7.59765625" style="16" customWidth="1"/>
    <col min="9225" max="9464" width="0" style="16" hidden="1" customWidth="1"/>
    <col min="9465" max="9465" width="8.09765625" style="16" customWidth="1"/>
    <col min="9466" max="9466" width="3" style="16" customWidth="1"/>
    <col min="9467" max="9467" width="5.5" style="16" customWidth="1"/>
    <col min="9468" max="9468" width="3.5" style="16" customWidth="1"/>
    <col min="9469" max="9469" width="7.5" style="16" customWidth="1"/>
    <col min="9470" max="9470" width="9.765625E-2" style="16" customWidth="1"/>
    <col min="9471" max="9471" width="0.5" style="16" customWidth="1"/>
    <col min="9472" max="9472" width="36.09765625" style="16"/>
    <col min="9473" max="9473" width="3.59765625" style="16" customWidth="1"/>
    <col min="9474" max="9474" width="22.8984375" style="16" customWidth="1"/>
    <col min="9475" max="9475" width="4.5" style="16" customWidth="1"/>
    <col min="9476" max="9476" width="5.5" style="16" customWidth="1"/>
    <col min="9477" max="9477" width="9.5" style="16" customWidth="1"/>
    <col min="9478" max="9478" width="5.19921875" style="16" customWidth="1"/>
    <col min="9479" max="9479" width="10.59765625" style="16" customWidth="1"/>
    <col min="9480" max="9480" width="7.59765625" style="16" customWidth="1"/>
    <col min="9481" max="9720" width="0" style="16" hidden="1" customWidth="1"/>
    <col min="9721" max="9721" width="8.09765625" style="16" customWidth="1"/>
    <col min="9722" max="9722" width="3" style="16" customWidth="1"/>
    <col min="9723" max="9723" width="5.5" style="16" customWidth="1"/>
    <col min="9724" max="9724" width="3.5" style="16" customWidth="1"/>
    <col min="9725" max="9725" width="7.5" style="16" customWidth="1"/>
    <col min="9726" max="9726" width="9.765625E-2" style="16" customWidth="1"/>
    <col min="9727" max="9727" width="0.5" style="16" customWidth="1"/>
    <col min="9728" max="9728" width="36.09765625" style="16"/>
    <col min="9729" max="9729" width="3.59765625" style="16" customWidth="1"/>
    <col min="9730" max="9730" width="22.8984375" style="16" customWidth="1"/>
    <col min="9731" max="9731" width="4.5" style="16" customWidth="1"/>
    <col min="9732" max="9732" width="5.5" style="16" customWidth="1"/>
    <col min="9733" max="9733" width="9.5" style="16" customWidth="1"/>
    <col min="9734" max="9734" width="5.19921875" style="16" customWidth="1"/>
    <col min="9735" max="9735" width="10.59765625" style="16" customWidth="1"/>
    <col min="9736" max="9736" width="7.59765625" style="16" customWidth="1"/>
    <col min="9737" max="9976" width="0" style="16" hidden="1" customWidth="1"/>
    <col min="9977" max="9977" width="8.09765625" style="16" customWidth="1"/>
    <col min="9978" max="9978" width="3" style="16" customWidth="1"/>
    <col min="9979" max="9979" width="5.5" style="16" customWidth="1"/>
    <col min="9980" max="9980" width="3.5" style="16" customWidth="1"/>
    <col min="9981" max="9981" width="7.5" style="16" customWidth="1"/>
    <col min="9982" max="9982" width="9.765625E-2" style="16" customWidth="1"/>
    <col min="9983" max="9983" width="0.5" style="16" customWidth="1"/>
    <col min="9984" max="9984" width="36.09765625" style="16"/>
    <col min="9985" max="9985" width="3.59765625" style="16" customWidth="1"/>
    <col min="9986" max="9986" width="22.8984375" style="16" customWidth="1"/>
    <col min="9987" max="9987" width="4.5" style="16" customWidth="1"/>
    <col min="9988" max="9988" width="5.5" style="16" customWidth="1"/>
    <col min="9989" max="9989" width="9.5" style="16" customWidth="1"/>
    <col min="9990" max="9990" width="5.19921875" style="16" customWidth="1"/>
    <col min="9991" max="9991" width="10.59765625" style="16" customWidth="1"/>
    <col min="9992" max="9992" width="7.59765625" style="16" customWidth="1"/>
    <col min="9993" max="10232" width="0" style="16" hidden="1" customWidth="1"/>
    <col min="10233" max="10233" width="8.09765625" style="16" customWidth="1"/>
    <col min="10234" max="10234" width="3" style="16" customWidth="1"/>
    <col min="10235" max="10235" width="5.5" style="16" customWidth="1"/>
    <col min="10236" max="10236" width="3.5" style="16" customWidth="1"/>
    <col min="10237" max="10237" width="7.5" style="16" customWidth="1"/>
    <col min="10238" max="10238" width="9.765625E-2" style="16" customWidth="1"/>
    <col min="10239" max="10239" width="0.5" style="16" customWidth="1"/>
    <col min="10240" max="10240" width="36.09765625" style="16"/>
    <col min="10241" max="10241" width="3.59765625" style="16" customWidth="1"/>
    <col min="10242" max="10242" width="22.8984375" style="16" customWidth="1"/>
    <col min="10243" max="10243" width="4.5" style="16" customWidth="1"/>
    <col min="10244" max="10244" width="5.5" style="16" customWidth="1"/>
    <col min="10245" max="10245" width="9.5" style="16" customWidth="1"/>
    <col min="10246" max="10246" width="5.19921875" style="16" customWidth="1"/>
    <col min="10247" max="10247" width="10.59765625" style="16" customWidth="1"/>
    <col min="10248" max="10248" width="7.59765625" style="16" customWidth="1"/>
    <col min="10249" max="10488" width="0" style="16" hidden="1" customWidth="1"/>
    <col min="10489" max="10489" width="8.09765625" style="16" customWidth="1"/>
    <col min="10490" max="10490" width="3" style="16" customWidth="1"/>
    <col min="10491" max="10491" width="5.5" style="16" customWidth="1"/>
    <col min="10492" max="10492" width="3.5" style="16" customWidth="1"/>
    <col min="10493" max="10493" width="7.5" style="16" customWidth="1"/>
    <col min="10494" max="10494" width="9.765625E-2" style="16" customWidth="1"/>
    <col min="10495" max="10495" width="0.5" style="16" customWidth="1"/>
    <col min="10496" max="10496" width="36.09765625" style="16"/>
    <col min="10497" max="10497" width="3.59765625" style="16" customWidth="1"/>
    <col min="10498" max="10498" width="22.8984375" style="16" customWidth="1"/>
    <col min="10499" max="10499" width="4.5" style="16" customWidth="1"/>
    <col min="10500" max="10500" width="5.5" style="16" customWidth="1"/>
    <col min="10501" max="10501" width="9.5" style="16" customWidth="1"/>
    <col min="10502" max="10502" width="5.19921875" style="16" customWidth="1"/>
    <col min="10503" max="10503" width="10.59765625" style="16" customWidth="1"/>
    <col min="10504" max="10504" width="7.59765625" style="16" customWidth="1"/>
    <col min="10505" max="10744" width="0" style="16" hidden="1" customWidth="1"/>
    <col min="10745" max="10745" width="8.09765625" style="16" customWidth="1"/>
    <col min="10746" max="10746" width="3" style="16" customWidth="1"/>
    <col min="10747" max="10747" width="5.5" style="16" customWidth="1"/>
    <col min="10748" max="10748" width="3.5" style="16" customWidth="1"/>
    <col min="10749" max="10749" width="7.5" style="16" customWidth="1"/>
    <col min="10750" max="10750" width="9.765625E-2" style="16" customWidth="1"/>
    <col min="10751" max="10751" width="0.5" style="16" customWidth="1"/>
    <col min="10752" max="10752" width="36.09765625" style="16"/>
    <col min="10753" max="10753" width="3.59765625" style="16" customWidth="1"/>
    <col min="10754" max="10754" width="22.8984375" style="16" customWidth="1"/>
    <col min="10755" max="10755" width="4.5" style="16" customWidth="1"/>
    <col min="10756" max="10756" width="5.5" style="16" customWidth="1"/>
    <col min="10757" max="10757" width="9.5" style="16" customWidth="1"/>
    <col min="10758" max="10758" width="5.19921875" style="16" customWidth="1"/>
    <col min="10759" max="10759" width="10.59765625" style="16" customWidth="1"/>
    <col min="10760" max="10760" width="7.59765625" style="16" customWidth="1"/>
    <col min="10761" max="11000" width="0" style="16" hidden="1" customWidth="1"/>
    <col min="11001" max="11001" width="8.09765625" style="16" customWidth="1"/>
    <col min="11002" max="11002" width="3" style="16" customWidth="1"/>
    <col min="11003" max="11003" width="5.5" style="16" customWidth="1"/>
    <col min="11004" max="11004" width="3.5" style="16" customWidth="1"/>
    <col min="11005" max="11005" width="7.5" style="16" customWidth="1"/>
    <col min="11006" max="11006" width="9.765625E-2" style="16" customWidth="1"/>
    <col min="11007" max="11007" width="0.5" style="16" customWidth="1"/>
    <col min="11008" max="11008" width="36.09765625" style="16"/>
    <col min="11009" max="11009" width="3.59765625" style="16" customWidth="1"/>
    <col min="11010" max="11010" width="22.8984375" style="16" customWidth="1"/>
    <col min="11011" max="11011" width="4.5" style="16" customWidth="1"/>
    <col min="11012" max="11012" width="5.5" style="16" customWidth="1"/>
    <col min="11013" max="11013" width="9.5" style="16" customWidth="1"/>
    <col min="11014" max="11014" width="5.19921875" style="16" customWidth="1"/>
    <col min="11015" max="11015" width="10.59765625" style="16" customWidth="1"/>
    <col min="11016" max="11016" width="7.59765625" style="16" customWidth="1"/>
    <col min="11017" max="11256" width="0" style="16" hidden="1" customWidth="1"/>
    <col min="11257" max="11257" width="8.09765625" style="16" customWidth="1"/>
    <col min="11258" max="11258" width="3" style="16" customWidth="1"/>
    <col min="11259" max="11259" width="5.5" style="16" customWidth="1"/>
    <col min="11260" max="11260" width="3.5" style="16" customWidth="1"/>
    <col min="11261" max="11261" width="7.5" style="16" customWidth="1"/>
    <col min="11262" max="11262" width="9.765625E-2" style="16" customWidth="1"/>
    <col min="11263" max="11263" width="0.5" style="16" customWidth="1"/>
    <col min="11264" max="11264" width="36.09765625" style="16"/>
    <col min="11265" max="11265" width="3.59765625" style="16" customWidth="1"/>
    <col min="11266" max="11266" width="22.8984375" style="16" customWidth="1"/>
    <col min="11267" max="11267" width="4.5" style="16" customWidth="1"/>
    <col min="11268" max="11268" width="5.5" style="16" customWidth="1"/>
    <col min="11269" max="11269" width="9.5" style="16" customWidth="1"/>
    <col min="11270" max="11270" width="5.19921875" style="16" customWidth="1"/>
    <col min="11271" max="11271" width="10.59765625" style="16" customWidth="1"/>
    <col min="11272" max="11272" width="7.59765625" style="16" customWidth="1"/>
    <col min="11273" max="11512" width="0" style="16" hidden="1" customWidth="1"/>
    <col min="11513" max="11513" width="8.09765625" style="16" customWidth="1"/>
    <col min="11514" max="11514" width="3" style="16" customWidth="1"/>
    <col min="11515" max="11515" width="5.5" style="16" customWidth="1"/>
    <col min="11516" max="11516" width="3.5" style="16" customWidth="1"/>
    <col min="11517" max="11517" width="7.5" style="16" customWidth="1"/>
    <col min="11518" max="11518" width="9.765625E-2" style="16" customWidth="1"/>
    <col min="11519" max="11519" width="0.5" style="16" customWidth="1"/>
    <col min="11520" max="11520" width="36.09765625" style="16"/>
    <col min="11521" max="11521" width="3.59765625" style="16" customWidth="1"/>
    <col min="11522" max="11522" width="22.8984375" style="16" customWidth="1"/>
    <col min="11523" max="11523" width="4.5" style="16" customWidth="1"/>
    <col min="11524" max="11524" width="5.5" style="16" customWidth="1"/>
    <col min="11525" max="11525" width="9.5" style="16" customWidth="1"/>
    <col min="11526" max="11526" width="5.19921875" style="16" customWidth="1"/>
    <col min="11527" max="11527" width="10.59765625" style="16" customWidth="1"/>
    <col min="11528" max="11528" width="7.59765625" style="16" customWidth="1"/>
    <col min="11529" max="11768" width="0" style="16" hidden="1" customWidth="1"/>
    <col min="11769" max="11769" width="8.09765625" style="16" customWidth="1"/>
    <col min="11770" max="11770" width="3" style="16" customWidth="1"/>
    <col min="11771" max="11771" width="5.5" style="16" customWidth="1"/>
    <col min="11772" max="11772" width="3.5" style="16" customWidth="1"/>
    <col min="11773" max="11773" width="7.5" style="16" customWidth="1"/>
    <col min="11774" max="11774" width="9.765625E-2" style="16" customWidth="1"/>
    <col min="11775" max="11775" width="0.5" style="16" customWidth="1"/>
    <col min="11776" max="11776" width="36.09765625" style="16"/>
    <col min="11777" max="11777" width="3.59765625" style="16" customWidth="1"/>
    <col min="11778" max="11778" width="22.8984375" style="16" customWidth="1"/>
    <col min="11779" max="11779" width="4.5" style="16" customWidth="1"/>
    <col min="11780" max="11780" width="5.5" style="16" customWidth="1"/>
    <col min="11781" max="11781" width="9.5" style="16" customWidth="1"/>
    <col min="11782" max="11782" width="5.19921875" style="16" customWidth="1"/>
    <col min="11783" max="11783" width="10.59765625" style="16" customWidth="1"/>
    <col min="11784" max="11784" width="7.59765625" style="16" customWidth="1"/>
    <col min="11785" max="12024" width="0" style="16" hidden="1" customWidth="1"/>
    <col min="12025" max="12025" width="8.09765625" style="16" customWidth="1"/>
    <col min="12026" max="12026" width="3" style="16" customWidth="1"/>
    <col min="12027" max="12027" width="5.5" style="16" customWidth="1"/>
    <col min="12028" max="12028" width="3.5" style="16" customWidth="1"/>
    <col min="12029" max="12029" width="7.5" style="16" customWidth="1"/>
    <col min="12030" max="12030" width="9.765625E-2" style="16" customWidth="1"/>
    <col min="12031" max="12031" width="0.5" style="16" customWidth="1"/>
    <col min="12032" max="12032" width="36.09765625" style="16"/>
    <col min="12033" max="12033" width="3.59765625" style="16" customWidth="1"/>
    <col min="12034" max="12034" width="22.8984375" style="16" customWidth="1"/>
    <col min="12035" max="12035" width="4.5" style="16" customWidth="1"/>
    <col min="12036" max="12036" width="5.5" style="16" customWidth="1"/>
    <col min="12037" max="12037" width="9.5" style="16" customWidth="1"/>
    <col min="12038" max="12038" width="5.19921875" style="16" customWidth="1"/>
    <col min="12039" max="12039" width="10.59765625" style="16" customWidth="1"/>
    <col min="12040" max="12040" width="7.59765625" style="16" customWidth="1"/>
    <col min="12041" max="12280" width="0" style="16" hidden="1" customWidth="1"/>
    <col min="12281" max="12281" width="8.09765625" style="16" customWidth="1"/>
    <col min="12282" max="12282" width="3" style="16" customWidth="1"/>
    <col min="12283" max="12283" width="5.5" style="16" customWidth="1"/>
    <col min="12284" max="12284" width="3.5" style="16" customWidth="1"/>
    <col min="12285" max="12285" width="7.5" style="16" customWidth="1"/>
    <col min="12286" max="12286" width="9.765625E-2" style="16" customWidth="1"/>
    <col min="12287" max="12287" width="0.5" style="16" customWidth="1"/>
    <col min="12288" max="12288" width="36.09765625" style="16"/>
    <col min="12289" max="12289" width="3.59765625" style="16" customWidth="1"/>
    <col min="12290" max="12290" width="22.8984375" style="16" customWidth="1"/>
    <col min="12291" max="12291" width="4.5" style="16" customWidth="1"/>
    <col min="12292" max="12292" width="5.5" style="16" customWidth="1"/>
    <col min="12293" max="12293" width="9.5" style="16" customWidth="1"/>
    <col min="12294" max="12294" width="5.19921875" style="16" customWidth="1"/>
    <col min="12295" max="12295" width="10.59765625" style="16" customWidth="1"/>
    <col min="12296" max="12296" width="7.59765625" style="16" customWidth="1"/>
    <col min="12297" max="12536" width="0" style="16" hidden="1" customWidth="1"/>
    <col min="12537" max="12537" width="8.09765625" style="16" customWidth="1"/>
    <col min="12538" max="12538" width="3" style="16" customWidth="1"/>
    <col min="12539" max="12539" width="5.5" style="16" customWidth="1"/>
    <col min="12540" max="12540" width="3.5" style="16" customWidth="1"/>
    <col min="12541" max="12541" width="7.5" style="16" customWidth="1"/>
    <col min="12542" max="12542" width="9.765625E-2" style="16" customWidth="1"/>
    <col min="12543" max="12543" width="0.5" style="16" customWidth="1"/>
    <col min="12544" max="12544" width="36.09765625" style="16"/>
    <col min="12545" max="12545" width="3.59765625" style="16" customWidth="1"/>
    <col min="12546" max="12546" width="22.8984375" style="16" customWidth="1"/>
    <col min="12547" max="12547" width="4.5" style="16" customWidth="1"/>
    <col min="12548" max="12548" width="5.5" style="16" customWidth="1"/>
    <col min="12549" max="12549" width="9.5" style="16" customWidth="1"/>
    <col min="12550" max="12550" width="5.19921875" style="16" customWidth="1"/>
    <col min="12551" max="12551" width="10.59765625" style="16" customWidth="1"/>
    <col min="12552" max="12552" width="7.59765625" style="16" customWidth="1"/>
    <col min="12553" max="12792" width="0" style="16" hidden="1" customWidth="1"/>
    <col min="12793" max="12793" width="8.09765625" style="16" customWidth="1"/>
    <col min="12794" max="12794" width="3" style="16" customWidth="1"/>
    <col min="12795" max="12795" width="5.5" style="16" customWidth="1"/>
    <col min="12796" max="12796" width="3.5" style="16" customWidth="1"/>
    <col min="12797" max="12797" width="7.5" style="16" customWidth="1"/>
    <col min="12798" max="12798" width="9.765625E-2" style="16" customWidth="1"/>
    <col min="12799" max="12799" width="0.5" style="16" customWidth="1"/>
    <col min="12800" max="12800" width="36.09765625" style="16"/>
    <col min="12801" max="12801" width="3.59765625" style="16" customWidth="1"/>
    <col min="12802" max="12802" width="22.8984375" style="16" customWidth="1"/>
    <col min="12803" max="12803" width="4.5" style="16" customWidth="1"/>
    <col min="12804" max="12804" width="5.5" style="16" customWidth="1"/>
    <col min="12805" max="12805" width="9.5" style="16" customWidth="1"/>
    <col min="12806" max="12806" width="5.19921875" style="16" customWidth="1"/>
    <col min="12807" max="12807" width="10.59765625" style="16" customWidth="1"/>
    <col min="12808" max="12808" width="7.59765625" style="16" customWidth="1"/>
    <col min="12809" max="13048" width="0" style="16" hidden="1" customWidth="1"/>
    <col min="13049" max="13049" width="8.09765625" style="16" customWidth="1"/>
    <col min="13050" max="13050" width="3" style="16" customWidth="1"/>
    <col min="13051" max="13051" width="5.5" style="16" customWidth="1"/>
    <col min="13052" max="13052" width="3.5" style="16" customWidth="1"/>
    <col min="13053" max="13053" width="7.5" style="16" customWidth="1"/>
    <col min="13054" max="13054" width="9.765625E-2" style="16" customWidth="1"/>
    <col min="13055" max="13055" width="0.5" style="16" customWidth="1"/>
    <col min="13056" max="13056" width="36.09765625" style="16"/>
    <col min="13057" max="13057" width="3.59765625" style="16" customWidth="1"/>
    <col min="13058" max="13058" width="22.8984375" style="16" customWidth="1"/>
    <col min="13059" max="13059" width="4.5" style="16" customWidth="1"/>
    <col min="13060" max="13060" width="5.5" style="16" customWidth="1"/>
    <col min="13061" max="13061" width="9.5" style="16" customWidth="1"/>
    <col min="13062" max="13062" width="5.19921875" style="16" customWidth="1"/>
    <col min="13063" max="13063" width="10.59765625" style="16" customWidth="1"/>
    <col min="13064" max="13064" width="7.59765625" style="16" customWidth="1"/>
    <col min="13065" max="13304" width="0" style="16" hidden="1" customWidth="1"/>
    <col min="13305" max="13305" width="8.09765625" style="16" customWidth="1"/>
    <col min="13306" max="13306" width="3" style="16" customWidth="1"/>
    <col min="13307" max="13307" width="5.5" style="16" customWidth="1"/>
    <col min="13308" max="13308" width="3.5" style="16" customWidth="1"/>
    <col min="13309" max="13309" width="7.5" style="16" customWidth="1"/>
    <col min="13310" max="13310" width="9.765625E-2" style="16" customWidth="1"/>
    <col min="13311" max="13311" width="0.5" style="16" customWidth="1"/>
    <col min="13312" max="13312" width="36.09765625" style="16"/>
    <col min="13313" max="13313" width="3.59765625" style="16" customWidth="1"/>
    <col min="13314" max="13314" width="22.8984375" style="16" customWidth="1"/>
    <col min="13315" max="13315" width="4.5" style="16" customWidth="1"/>
    <col min="13316" max="13316" width="5.5" style="16" customWidth="1"/>
    <col min="13317" max="13317" width="9.5" style="16" customWidth="1"/>
    <col min="13318" max="13318" width="5.19921875" style="16" customWidth="1"/>
    <col min="13319" max="13319" width="10.59765625" style="16" customWidth="1"/>
    <col min="13320" max="13320" width="7.59765625" style="16" customWidth="1"/>
    <col min="13321" max="13560" width="0" style="16" hidden="1" customWidth="1"/>
    <col min="13561" max="13561" width="8.09765625" style="16" customWidth="1"/>
    <col min="13562" max="13562" width="3" style="16" customWidth="1"/>
    <col min="13563" max="13563" width="5.5" style="16" customWidth="1"/>
    <col min="13564" max="13564" width="3.5" style="16" customWidth="1"/>
    <col min="13565" max="13565" width="7.5" style="16" customWidth="1"/>
    <col min="13566" max="13566" width="9.765625E-2" style="16" customWidth="1"/>
    <col min="13567" max="13567" width="0.5" style="16" customWidth="1"/>
    <col min="13568" max="13568" width="36.09765625" style="16"/>
    <col min="13569" max="13569" width="3.59765625" style="16" customWidth="1"/>
    <col min="13570" max="13570" width="22.8984375" style="16" customWidth="1"/>
    <col min="13571" max="13571" width="4.5" style="16" customWidth="1"/>
    <col min="13572" max="13572" width="5.5" style="16" customWidth="1"/>
    <col min="13573" max="13573" width="9.5" style="16" customWidth="1"/>
    <col min="13574" max="13574" width="5.19921875" style="16" customWidth="1"/>
    <col min="13575" max="13575" width="10.59765625" style="16" customWidth="1"/>
    <col min="13576" max="13576" width="7.59765625" style="16" customWidth="1"/>
    <col min="13577" max="13816" width="0" style="16" hidden="1" customWidth="1"/>
    <col min="13817" max="13817" width="8.09765625" style="16" customWidth="1"/>
    <col min="13818" max="13818" width="3" style="16" customWidth="1"/>
    <col min="13819" max="13819" width="5.5" style="16" customWidth="1"/>
    <col min="13820" max="13820" width="3.5" style="16" customWidth="1"/>
    <col min="13821" max="13821" width="7.5" style="16" customWidth="1"/>
    <col min="13822" max="13822" width="9.765625E-2" style="16" customWidth="1"/>
    <col min="13823" max="13823" width="0.5" style="16" customWidth="1"/>
    <col min="13824" max="13824" width="36.09765625" style="16"/>
    <col min="13825" max="13825" width="3.59765625" style="16" customWidth="1"/>
    <col min="13826" max="13826" width="22.8984375" style="16" customWidth="1"/>
    <col min="13827" max="13827" width="4.5" style="16" customWidth="1"/>
    <col min="13828" max="13828" width="5.5" style="16" customWidth="1"/>
    <col min="13829" max="13829" width="9.5" style="16" customWidth="1"/>
    <col min="13830" max="13830" width="5.19921875" style="16" customWidth="1"/>
    <col min="13831" max="13831" width="10.59765625" style="16" customWidth="1"/>
    <col min="13832" max="13832" width="7.59765625" style="16" customWidth="1"/>
    <col min="13833" max="14072" width="0" style="16" hidden="1" customWidth="1"/>
    <col min="14073" max="14073" width="8.09765625" style="16" customWidth="1"/>
    <col min="14074" max="14074" width="3" style="16" customWidth="1"/>
    <col min="14075" max="14075" width="5.5" style="16" customWidth="1"/>
    <col min="14076" max="14076" width="3.5" style="16" customWidth="1"/>
    <col min="14077" max="14077" width="7.5" style="16" customWidth="1"/>
    <col min="14078" max="14078" width="9.765625E-2" style="16" customWidth="1"/>
    <col min="14079" max="14079" width="0.5" style="16" customWidth="1"/>
    <col min="14080" max="14080" width="36.09765625" style="16"/>
    <col min="14081" max="14081" width="3.59765625" style="16" customWidth="1"/>
    <col min="14082" max="14082" width="22.8984375" style="16" customWidth="1"/>
    <col min="14083" max="14083" width="4.5" style="16" customWidth="1"/>
    <col min="14084" max="14084" width="5.5" style="16" customWidth="1"/>
    <col min="14085" max="14085" width="9.5" style="16" customWidth="1"/>
    <col min="14086" max="14086" width="5.19921875" style="16" customWidth="1"/>
    <col min="14087" max="14087" width="10.59765625" style="16" customWidth="1"/>
    <col min="14088" max="14088" width="7.59765625" style="16" customWidth="1"/>
    <col min="14089" max="14328" width="0" style="16" hidden="1" customWidth="1"/>
    <col min="14329" max="14329" width="8.09765625" style="16" customWidth="1"/>
    <col min="14330" max="14330" width="3" style="16" customWidth="1"/>
    <col min="14331" max="14331" width="5.5" style="16" customWidth="1"/>
    <col min="14332" max="14332" width="3.5" style="16" customWidth="1"/>
    <col min="14333" max="14333" width="7.5" style="16" customWidth="1"/>
    <col min="14334" max="14334" width="9.765625E-2" style="16" customWidth="1"/>
    <col min="14335" max="14335" width="0.5" style="16" customWidth="1"/>
    <col min="14336" max="14336" width="36.09765625" style="16"/>
    <col min="14337" max="14337" width="3.59765625" style="16" customWidth="1"/>
    <col min="14338" max="14338" width="22.8984375" style="16" customWidth="1"/>
    <col min="14339" max="14339" width="4.5" style="16" customWidth="1"/>
    <col min="14340" max="14340" width="5.5" style="16" customWidth="1"/>
    <col min="14341" max="14341" width="9.5" style="16" customWidth="1"/>
    <col min="14342" max="14342" width="5.19921875" style="16" customWidth="1"/>
    <col min="14343" max="14343" width="10.59765625" style="16" customWidth="1"/>
    <col min="14344" max="14344" width="7.59765625" style="16" customWidth="1"/>
    <col min="14345" max="14584" width="0" style="16" hidden="1" customWidth="1"/>
    <col min="14585" max="14585" width="8.09765625" style="16" customWidth="1"/>
    <col min="14586" max="14586" width="3" style="16" customWidth="1"/>
    <col min="14587" max="14587" width="5.5" style="16" customWidth="1"/>
    <col min="14588" max="14588" width="3.5" style="16" customWidth="1"/>
    <col min="14589" max="14589" width="7.5" style="16" customWidth="1"/>
    <col min="14590" max="14590" width="9.765625E-2" style="16" customWidth="1"/>
    <col min="14591" max="14591" width="0.5" style="16" customWidth="1"/>
    <col min="14592" max="14592" width="36.09765625" style="16"/>
    <col min="14593" max="14593" width="3.59765625" style="16" customWidth="1"/>
    <col min="14594" max="14594" width="22.8984375" style="16" customWidth="1"/>
    <col min="14595" max="14595" width="4.5" style="16" customWidth="1"/>
    <col min="14596" max="14596" width="5.5" style="16" customWidth="1"/>
    <col min="14597" max="14597" width="9.5" style="16" customWidth="1"/>
    <col min="14598" max="14598" width="5.19921875" style="16" customWidth="1"/>
    <col min="14599" max="14599" width="10.59765625" style="16" customWidth="1"/>
    <col min="14600" max="14600" width="7.59765625" style="16" customWidth="1"/>
    <col min="14601" max="14840" width="0" style="16" hidden="1" customWidth="1"/>
    <col min="14841" max="14841" width="8.09765625" style="16" customWidth="1"/>
    <col min="14842" max="14842" width="3" style="16" customWidth="1"/>
    <col min="14843" max="14843" width="5.5" style="16" customWidth="1"/>
    <col min="14844" max="14844" width="3.5" style="16" customWidth="1"/>
    <col min="14845" max="14845" width="7.5" style="16" customWidth="1"/>
    <col min="14846" max="14846" width="9.765625E-2" style="16" customWidth="1"/>
    <col min="14847" max="14847" width="0.5" style="16" customWidth="1"/>
    <col min="14848" max="14848" width="36.09765625" style="16"/>
    <col min="14849" max="14849" width="3.59765625" style="16" customWidth="1"/>
    <col min="14850" max="14850" width="22.8984375" style="16" customWidth="1"/>
    <col min="14851" max="14851" width="4.5" style="16" customWidth="1"/>
    <col min="14852" max="14852" width="5.5" style="16" customWidth="1"/>
    <col min="14853" max="14853" width="9.5" style="16" customWidth="1"/>
    <col min="14854" max="14854" width="5.19921875" style="16" customWidth="1"/>
    <col min="14855" max="14855" width="10.59765625" style="16" customWidth="1"/>
    <col min="14856" max="14856" width="7.59765625" style="16" customWidth="1"/>
    <col min="14857" max="15096" width="0" style="16" hidden="1" customWidth="1"/>
    <col min="15097" max="15097" width="8.09765625" style="16" customWidth="1"/>
    <col min="15098" max="15098" width="3" style="16" customWidth="1"/>
    <col min="15099" max="15099" width="5.5" style="16" customWidth="1"/>
    <col min="15100" max="15100" width="3.5" style="16" customWidth="1"/>
    <col min="15101" max="15101" width="7.5" style="16" customWidth="1"/>
    <col min="15102" max="15102" width="9.765625E-2" style="16" customWidth="1"/>
    <col min="15103" max="15103" width="0.5" style="16" customWidth="1"/>
    <col min="15104" max="15104" width="36.09765625" style="16"/>
    <col min="15105" max="15105" width="3.59765625" style="16" customWidth="1"/>
    <col min="15106" max="15106" width="22.8984375" style="16" customWidth="1"/>
    <col min="15107" max="15107" width="4.5" style="16" customWidth="1"/>
    <col min="15108" max="15108" width="5.5" style="16" customWidth="1"/>
    <col min="15109" max="15109" width="9.5" style="16" customWidth="1"/>
    <col min="15110" max="15110" width="5.19921875" style="16" customWidth="1"/>
    <col min="15111" max="15111" width="10.59765625" style="16" customWidth="1"/>
    <col min="15112" max="15112" width="7.59765625" style="16" customWidth="1"/>
    <col min="15113" max="15352" width="0" style="16" hidden="1" customWidth="1"/>
    <col min="15353" max="15353" width="8.09765625" style="16" customWidth="1"/>
    <col min="15354" max="15354" width="3" style="16" customWidth="1"/>
    <col min="15355" max="15355" width="5.5" style="16" customWidth="1"/>
    <col min="15356" max="15356" width="3.5" style="16" customWidth="1"/>
    <col min="15357" max="15357" width="7.5" style="16" customWidth="1"/>
    <col min="15358" max="15358" width="9.765625E-2" style="16" customWidth="1"/>
    <col min="15359" max="15359" width="0.5" style="16" customWidth="1"/>
    <col min="15360" max="15360" width="36.09765625" style="16"/>
    <col min="15361" max="15361" width="3.59765625" style="16" customWidth="1"/>
    <col min="15362" max="15362" width="22.8984375" style="16" customWidth="1"/>
    <col min="15363" max="15363" width="4.5" style="16" customWidth="1"/>
    <col min="15364" max="15364" width="5.5" style="16" customWidth="1"/>
    <col min="15365" max="15365" width="9.5" style="16" customWidth="1"/>
    <col min="15366" max="15366" width="5.19921875" style="16" customWidth="1"/>
    <col min="15367" max="15367" width="10.59765625" style="16" customWidth="1"/>
    <col min="15368" max="15368" width="7.59765625" style="16" customWidth="1"/>
    <col min="15369" max="15608" width="0" style="16" hidden="1" customWidth="1"/>
    <col min="15609" max="15609" width="8.09765625" style="16" customWidth="1"/>
    <col min="15610" max="15610" width="3" style="16" customWidth="1"/>
    <col min="15611" max="15611" width="5.5" style="16" customWidth="1"/>
    <col min="15612" max="15612" width="3.5" style="16" customWidth="1"/>
    <col min="15613" max="15613" width="7.5" style="16" customWidth="1"/>
    <col min="15614" max="15614" width="9.765625E-2" style="16" customWidth="1"/>
    <col min="15615" max="15615" width="0.5" style="16" customWidth="1"/>
    <col min="15616" max="15616" width="36.09765625" style="16"/>
    <col min="15617" max="15617" width="3.59765625" style="16" customWidth="1"/>
    <col min="15618" max="15618" width="22.8984375" style="16" customWidth="1"/>
    <col min="15619" max="15619" width="4.5" style="16" customWidth="1"/>
    <col min="15620" max="15620" width="5.5" style="16" customWidth="1"/>
    <col min="15621" max="15621" width="9.5" style="16" customWidth="1"/>
    <col min="15622" max="15622" width="5.19921875" style="16" customWidth="1"/>
    <col min="15623" max="15623" width="10.59765625" style="16" customWidth="1"/>
    <col min="15624" max="15624" width="7.59765625" style="16" customWidth="1"/>
    <col min="15625" max="15864" width="0" style="16" hidden="1" customWidth="1"/>
    <col min="15865" max="15865" width="8.09765625" style="16" customWidth="1"/>
    <col min="15866" max="15866" width="3" style="16" customWidth="1"/>
    <col min="15867" max="15867" width="5.5" style="16" customWidth="1"/>
    <col min="15868" max="15868" width="3.5" style="16" customWidth="1"/>
    <col min="15869" max="15869" width="7.5" style="16" customWidth="1"/>
    <col min="15870" max="15870" width="9.765625E-2" style="16" customWidth="1"/>
    <col min="15871" max="15871" width="0.5" style="16" customWidth="1"/>
    <col min="15872" max="15872" width="36.09765625" style="16"/>
    <col min="15873" max="15873" width="3.59765625" style="16" customWidth="1"/>
    <col min="15874" max="15874" width="22.8984375" style="16" customWidth="1"/>
    <col min="15875" max="15875" width="4.5" style="16" customWidth="1"/>
    <col min="15876" max="15876" width="5.5" style="16" customWidth="1"/>
    <col min="15877" max="15877" width="9.5" style="16" customWidth="1"/>
    <col min="15878" max="15878" width="5.19921875" style="16" customWidth="1"/>
    <col min="15879" max="15879" width="10.59765625" style="16" customWidth="1"/>
    <col min="15880" max="15880" width="7.59765625" style="16" customWidth="1"/>
    <col min="15881" max="16120" width="0" style="16" hidden="1" customWidth="1"/>
    <col min="16121" max="16121" width="8.09765625" style="16" customWidth="1"/>
    <col min="16122" max="16122" width="3" style="16" customWidth="1"/>
    <col min="16123" max="16123" width="5.5" style="16" customWidth="1"/>
    <col min="16124" max="16124" width="3.5" style="16" customWidth="1"/>
    <col min="16125" max="16125" width="7.5" style="16" customWidth="1"/>
    <col min="16126" max="16126" width="9.765625E-2" style="16" customWidth="1"/>
    <col min="16127" max="16127" width="0.5" style="16" customWidth="1"/>
    <col min="16128" max="16128" width="36.09765625" style="16"/>
    <col min="16129" max="16129" width="3.59765625" style="16" customWidth="1"/>
    <col min="16130" max="16130" width="22.8984375" style="16" customWidth="1"/>
    <col min="16131" max="16131" width="4.5" style="16" customWidth="1"/>
    <col min="16132" max="16132" width="5.5" style="16" customWidth="1"/>
    <col min="16133" max="16133" width="9.5" style="16" customWidth="1"/>
    <col min="16134" max="16134" width="5.19921875" style="16" customWidth="1"/>
    <col min="16135" max="16135" width="10.59765625" style="16" customWidth="1"/>
    <col min="16136" max="16136" width="7.59765625" style="16" customWidth="1"/>
    <col min="16137" max="16376" width="0" style="16" hidden="1" customWidth="1"/>
    <col min="16377" max="16377" width="8.09765625" style="16" customWidth="1"/>
    <col min="16378" max="16378" width="3" style="16" customWidth="1"/>
    <col min="16379" max="16379" width="5.5" style="16" customWidth="1"/>
    <col min="16380" max="16380" width="3.5" style="16" customWidth="1"/>
    <col min="16381" max="16381" width="7.5" style="16" customWidth="1"/>
    <col min="16382" max="16382" width="9.765625E-2" style="16" customWidth="1"/>
    <col min="16383" max="16383" width="0.5" style="16" customWidth="1"/>
    <col min="16384" max="16384" width="36.0976562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2326</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2327</v>
      </c>
      <c r="C13" s="425"/>
      <c r="D13" s="425"/>
      <c r="E13" s="425"/>
      <c r="F13" s="425"/>
      <c r="G13" s="73">
        <f>G14</f>
        <v>7552000</v>
      </c>
      <c r="H13" s="74"/>
    </row>
    <row r="14" spans="1:8" s="131" customFormat="1" ht="156">
      <c r="A14" s="123"/>
      <c r="B14" s="124" t="s">
        <v>2059</v>
      </c>
      <c r="C14" s="125" t="s">
        <v>1753</v>
      </c>
      <c r="D14" s="126">
        <v>3.2</v>
      </c>
      <c r="E14" s="127">
        <v>11800000</v>
      </c>
      <c r="F14" s="188">
        <v>0.2</v>
      </c>
      <c r="G14" s="129">
        <f>D14*E14*F14</f>
        <v>7552000</v>
      </c>
      <c r="H14" s="130"/>
    </row>
    <row r="15" spans="1:8" ht="27" customHeight="1">
      <c r="A15" s="75" t="s">
        <v>18</v>
      </c>
      <c r="B15" s="426" t="s">
        <v>1725</v>
      </c>
      <c r="C15" s="426"/>
      <c r="D15" s="426"/>
      <c r="E15" s="426"/>
      <c r="F15" s="426"/>
      <c r="G15" s="76">
        <f>SUM(G16:G24)</f>
        <v>1624493.625</v>
      </c>
      <c r="H15" s="11"/>
    </row>
    <row r="16" spans="1:8" ht="31.2">
      <c r="A16" s="77">
        <v>1</v>
      </c>
      <c r="B16" s="78" t="s">
        <v>2328</v>
      </c>
      <c r="C16" s="14" t="s">
        <v>66</v>
      </c>
      <c r="D16" s="132">
        <f>1.5*5</f>
        <v>7.5</v>
      </c>
      <c r="E16" s="15">
        <v>379477</v>
      </c>
      <c r="F16" s="187">
        <v>0.2</v>
      </c>
      <c r="G16" s="79">
        <f t="shared" ref="G16" si="0">D16*E16*F16</f>
        <v>569215.5</v>
      </c>
      <c r="H16" s="15"/>
    </row>
    <row r="17" spans="1:8" ht="15.6">
      <c r="A17" s="77">
        <v>2</v>
      </c>
      <c r="B17" s="78" t="s">
        <v>2329</v>
      </c>
      <c r="C17" s="14" t="s">
        <v>1754</v>
      </c>
      <c r="D17" s="132">
        <f>2.5*5*0.1</f>
        <v>1.25</v>
      </c>
      <c r="E17" s="15">
        <v>1629758</v>
      </c>
      <c r="F17" s="187">
        <v>0.2</v>
      </c>
      <c r="G17" s="79">
        <f>D17*E17*F17</f>
        <v>407439.5</v>
      </c>
      <c r="H17" s="15"/>
    </row>
    <row r="18" spans="1:8" ht="31.2">
      <c r="A18" s="77">
        <v>3</v>
      </c>
      <c r="B18" s="78" t="s">
        <v>2330</v>
      </c>
      <c r="C18" s="14" t="s">
        <v>1754</v>
      </c>
      <c r="D18" s="132">
        <f>(0.15*0.15*2.5)*2</f>
        <v>0.11249999999999999</v>
      </c>
      <c r="E18" s="15">
        <v>7050138</v>
      </c>
      <c r="F18" s="187">
        <v>0.2</v>
      </c>
      <c r="G18" s="79">
        <f t="shared" ref="G18:G24" si="1">D18*E18*F18</f>
        <v>158628.10499999998</v>
      </c>
      <c r="H18" s="15"/>
    </row>
    <row r="19" spans="1:8" ht="46.8">
      <c r="A19" s="77">
        <v>4</v>
      </c>
      <c r="B19" s="78" t="s">
        <v>2331</v>
      </c>
      <c r="C19" s="14" t="s">
        <v>1755</v>
      </c>
      <c r="D19" s="132">
        <f>(10.76/6)*3*2</f>
        <v>10.76</v>
      </c>
      <c r="E19" s="15">
        <v>19900</v>
      </c>
      <c r="F19" s="187">
        <v>0.2</v>
      </c>
      <c r="G19" s="79">
        <f t="shared" si="1"/>
        <v>42824.800000000003</v>
      </c>
      <c r="H19" s="15"/>
    </row>
    <row r="20" spans="1:8" ht="46.8">
      <c r="A20" s="77">
        <v>5</v>
      </c>
      <c r="B20" s="78" t="s">
        <v>2332</v>
      </c>
      <c r="C20" s="14" t="s">
        <v>1755</v>
      </c>
      <c r="D20" s="132">
        <f>(28.29/6)*4</f>
        <v>18.86</v>
      </c>
      <c r="E20" s="15">
        <v>19900</v>
      </c>
      <c r="F20" s="187">
        <v>0.2</v>
      </c>
      <c r="G20" s="79">
        <f t="shared" si="1"/>
        <v>75062.8</v>
      </c>
      <c r="H20" s="15"/>
    </row>
    <row r="21" spans="1:8" ht="46.8">
      <c r="A21" s="77">
        <v>6</v>
      </c>
      <c r="B21" s="78" t="s">
        <v>2333</v>
      </c>
      <c r="C21" s="14" t="s">
        <v>1755</v>
      </c>
      <c r="D21" s="132">
        <f>(23.04/6)*7</f>
        <v>26.88</v>
      </c>
      <c r="E21" s="15">
        <v>19900</v>
      </c>
      <c r="F21" s="187">
        <v>0.2</v>
      </c>
      <c r="G21" s="79">
        <f t="shared" si="1"/>
        <v>106982.40000000001</v>
      </c>
      <c r="H21" s="15"/>
    </row>
    <row r="22" spans="1:8" ht="46.8">
      <c r="A22" s="77">
        <v>7</v>
      </c>
      <c r="B22" s="78" t="s">
        <v>2334</v>
      </c>
      <c r="C22" s="14" t="s">
        <v>1755</v>
      </c>
      <c r="D22" s="132">
        <f>(15.47/6)*7</f>
        <v>18.048333333333336</v>
      </c>
      <c r="E22" s="15">
        <v>19900</v>
      </c>
      <c r="F22" s="187">
        <v>0.2</v>
      </c>
      <c r="G22" s="79">
        <f t="shared" si="1"/>
        <v>71832.366666666683</v>
      </c>
      <c r="H22" s="15"/>
    </row>
    <row r="23" spans="1:8" ht="46.8">
      <c r="A23" s="77">
        <v>8</v>
      </c>
      <c r="B23" s="78" t="s">
        <v>2335</v>
      </c>
      <c r="C23" s="14" t="s">
        <v>1755</v>
      </c>
      <c r="D23" s="132">
        <f>(10.76/6)*8</f>
        <v>14.346666666666666</v>
      </c>
      <c r="E23" s="15">
        <v>19900</v>
      </c>
      <c r="F23" s="187">
        <v>0.2</v>
      </c>
      <c r="G23" s="79">
        <f t="shared" si="1"/>
        <v>57099.73333333333</v>
      </c>
      <c r="H23" s="15"/>
    </row>
    <row r="24" spans="1:8" ht="15.6">
      <c r="A24" s="77">
        <v>9</v>
      </c>
      <c r="B24" s="78" t="s">
        <v>2336</v>
      </c>
      <c r="C24" s="14" t="s">
        <v>66</v>
      </c>
      <c r="D24" s="132">
        <f>0.3*10.5</f>
        <v>3.15</v>
      </c>
      <c r="E24" s="15">
        <v>214934</v>
      </c>
      <c r="F24" s="187">
        <v>0.2</v>
      </c>
      <c r="G24" s="79">
        <f t="shared" si="1"/>
        <v>135408.42000000001</v>
      </c>
      <c r="H24" s="15"/>
    </row>
    <row r="25" spans="1:8" ht="24" customHeight="1">
      <c r="A25" s="75" t="s">
        <v>19</v>
      </c>
      <c r="B25" s="426" t="s">
        <v>1727</v>
      </c>
      <c r="C25" s="426"/>
      <c r="D25" s="426"/>
      <c r="E25" s="426"/>
      <c r="F25" s="426"/>
      <c r="G25" s="76">
        <f>SUM(G26:G26)</f>
        <v>1088750</v>
      </c>
      <c r="H25" s="11"/>
    </row>
    <row r="26" spans="1:8" s="12" customFormat="1" ht="15.6">
      <c r="A26" s="94">
        <v>1</v>
      </c>
      <c r="B26" s="271" t="s">
        <v>880</v>
      </c>
      <c r="C26" s="14" t="s">
        <v>1724</v>
      </c>
      <c r="D26" s="14">
        <v>1</v>
      </c>
      <c r="E26" s="79" t="str">
        <f>VLOOKUP(B26,'[20]Đơn giá cây cối'!$A$2:$C$1361,3,0)</f>
        <v>4.355.000</v>
      </c>
      <c r="F26" s="132">
        <v>0.25</v>
      </c>
      <c r="G26" s="79">
        <f>D26*E26*F26</f>
        <v>1088750</v>
      </c>
      <c r="H26" s="95"/>
    </row>
    <row r="27" spans="1:8" ht="15.6">
      <c r="A27" s="80"/>
      <c r="B27" s="427" t="s">
        <v>62</v>
      </c>
      <c r="C27" s="428"/>
      <c r="D27" s="428"/>
      <c r="E27" s="428"/>
      <c r="F27" s="429"/>
      <c r="G27" s="81">
        <f>G13+G15+G25</f>
        <v>10265243.625</v>
      </c>
      <c r="H27" s="82"/>
    </row>
    <row r="28" spans="1:8" ht="15.6">
      <c r="A28" s="80"/>
      <c r="B28" s="427" t="s">
        <v>1726</v>
      </c>
      <c r="C28" s="428"/>
      <c r="D28" s="428"/>
      <c r="E28" s="428"/>
      <c r="F28" s="429"/>
      <c r="G28" s="81">
        <f>ROUND(G27,-3)</f>
        <v>10265000</v>
      </c>
      <c r="H28" s="82"/>
    </row>
    <row r="29" spans="1:8" ht="15.6">
      <c r="A29" s="430" t="e">
        <f ca="1">[19]!vnd(G28)</f>
        <v>#NAME?</v>
      </c>
      <c r="B29" s="431"/>
      <c r="C29" s="431"/>
      <c r="D29" s="431"/>
      <c r="E29" s="431"/>
      <c r="F29" s="431"/>
      <c r="G29" s="431"/>
      <c r="H29" s="432"/>
    </row>
    <row r="30" spans="1:8">
      <c r="A30" s="17"/>
      <c r="B30" s="17"/>
      <c r="C30" s="97"/>
      <c r="D30" s="20"/>
      <c r="E30" s="19"/>
      <c r="F30" s="97"/>
      <c r="G30" s="19"/>
      <c r="H30" s="17"/>
    </row>
    <row r="31" spans="1:8" s="109" customFormat="1" ht="16.5" customHeight="1">
      <c r="A31" s="108"/>
      <c r="B31" s="108"/>
      <c r="C31" s="424" t="s">
        <v>1742</v>
      </c>
      <c r="D31" s="424"/>
      <c r="E31" s="424"/>
      <c r="F31" s="424"/>
      <c r="G31" s="424"/>
      <c r="H31" s="424"/>
    </row>
    <row r="32" spans="1:8" s="109" customFormat="1" ht="16.5" customHeight="1">
      <c r="A32" s="423" t="s">
        <v>63</v>
      </c>
      <c r="B32" s="423"/>
      <c r="C32" s="424" t="s">
        <v>1743</v>
      </c>
      <c r="D32" s="424"/>
      <c r="E32" s="424"/>
      <c r="F32" s="424" t="s">
        <v>1744</v>
      </c>
      <c r="G32" s="424"/>
      <c r="H32" s="424"/>
    </row>
    <row r="33" spans="1:8" s="109" customFormat="1" ht="15.6">
      <c r="A33" s="108"/>
      <c r="B33" s="108"/>
      <c r="C33" s="108"/>
      <c r="D33" s="110"/>
      <c r="E33" s="111"/>
      <c r="F33" s="112"/>
      <c r="G33" s="111"/>
      <c r="H33" s="113"/>
    </row>
    <row r="34" spans="1:8" s="109" customFormat="1" ht="15.6">
      <c r="A34" s="108"/>
      <c r="B34" s="108"/>
      <c r="C34" s="108"/>
      <c r="D34" s="110"/>
      <c r="E34" s="111"/>
      <c r="F34" s="112"/>
      <c r="G34" s="114"/>
      <c r="H34" s="113"/>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6.5" customHeight="1">
      <c r="A38" s="108"/>
      <c r="B38" s="198" t="s">
        <v>64</v>
      </c>
      <c r="C38" s="424"/>
      <c r="D38" s="424"/>
      <c r="E38" s="424"/>
      <c r="F38" s="424" t="s">
        <v>1745</v>
      </c>
      <c r="G38" s="424"/>
      <c r="H38" s="424"/>
    </row>
    <row r="39" spans="1:8" s="109" customFormat="1" ht="15.6">
      <c r="A39" s="108"/>
      <c r="B39" s="198"/>
      <c r="C39" s="199"/>
      <c r="D39" s="199"/>
      <c r="E39" s="199"/>
      <c r="F39" s="199"/>
      <c r="G39" s="199"/>
      <c r="H39" s="199"/>
    </row>
    <row r="40" spans="1:8" s="109" customFormat="1" ht="15" customHeight="1">
      <c r="A40" s="424" t="s">
        <v>1746</v>
      </c>
      <c r="B40" s="424"/>
      <c r="C40" s="424"/>
      <c r="D40" s="424"/>
      <c r="E40" s="424" t="s">
        <v>1747</v>
      </c>
      <c r="F40" s="424"/>
      <c r="G40" s="424"/>
      <c r="H40" s="424"/>
    </row>
    <row r="41" spans="1:8" s="109" customFormat="1" ht="33.6" customHeight="1">
      <c r="A41" s="424" t="s">
        <v>1748</v>
      </c>
      <c r="B41" s="424"/>
      <c r="C41" s="424"/>
      <c r="D41" s="424"/>
      <c r="E41" s="424" t="s">
        <v>65</v>
      </c>
      <c r="F41" s="424"/>
      <c r="G41" s="424"/>
      <c r="H41" s="424"/>
    </row>
    <row r="42" spans="1:8" s="109" customFormat="1" ht="15.6">
      <c r="A42" s="108"/>
      <c r="B42" s="108"/>
      <c r="C42" s="108"/>
      <c r="D42" s="110"/>
      <c r="E42" s="111"/>
      <c r="F42" s="112"/>
      <c r="G42" s="111"/>
      <c r="H42" s="113"/>
    </row>
    <row r="43" spans="1:8" s="109" customFormat="1" ht="15.6">
      <c r="A43" s="108"/>
      <c r="B43" s="108"/>
      <c r="C43" s="108"/>
      <c r="D43" s="110"/>
      <c r="E43" s="111"/>
      <c r="F43" s="112"/>
      <c r="G43" s="111"/>
      <c r="H43" s="113"/>
    </row>
    <row r="44" spans="1:8" s="109" customFormat="1" ht="15.6">
      <c r="A44" s="108"/>
      <c r="B44" s="108"/>
      <c r="C44" s="108"/>
      <c r="D44" s="110"/>
      <c r="E44" s="111"/>
      <c r="F44" s="112"/>
      <c r="G44" s="111"/>
      <c r="H44" s="113"/>
    </row>
    <row r="45" spans="1:8" s="109" customFormat="1" ht="15.6">
      <c r="A45" s="108"/>
      <c r="B45" s="108"/>
      <c r="C45" s="108"/>
      <c r="D45" s="110"/>
      <c r="E45" s="111"/>
      <c r="F45" s="112"/>
      <c r="G45" s="111"/>
      <c r="H45" s="113"/>
    </row>
    <row r="46" spans="1:8" s="109" customFormat="1" ht="15.6">
      <c r="A46" s="108"/>
      <c r="B46" s="108"/>
      <c r="C46" s="108"/>
      <c r="D46" s="110"/>
      <c r="E46" s="111"/>
      <c r="F46" s="112"/>
      <c r="G46" s="111"/>
      <c r="H46" s="113"/>
    </row>
    <row r="47" spans="1:8" s="109" customFormat="1" ht="15.6" customHeight="1">
      <c r="A47" s="108"/>
      <c r="B47" s="108"/>
      <c r="C47" s="108"/>
      <c r="D47" s="115"/>
      <c r="E47" s="439" t="s">
        <v>1749</v>
      </c>
      <c r="F47" s="439"/>
      <c r="G47" s="439"/>
      <c r="H47" s="439"/>
    </row>
    <row r="48" spans="1:8" s="109" customFormat="1" ht="16.5" customHeight="1">
      <c r="A48" s="424" t="s">
        <v>1751</v>
      </c>
      <c r="B48" s="424"/>
      <c r="C48" s="424"/>
      <c r="D48" s="424"/>
      <c r="E48" s="424" t="s">
        <v>1750</v>
      </c>
      <c r="F48" s="424"/>
      <c r="G48" s="424"/>
      <c r="H48" s="424"/>
    </row>
    <row r="49" spans="1:8" s="118" customFormat="1" ht="16.2" customHeight="1">
      <c r="A49" s="436"/>
      <c r="B49" s="436"/>
      <c r="C49" s="273"/>
      <c r="D49" s="274"/>
      <c r="E49" s="436"/>
      <c r="F49" s="436"/>
      <c r="G49" s="436"/>
      <c r="H49" s="436"/>
    </row>
    <row r="50" spans="1:8" s="118" customFormat="1" ht="15.75" customHeight="1">
      <c r="A50" s="436"/>
      <c r="B50" s="436"/>
      <c r="C50" s="436"/>
      <c r="D50" s="436"/>
      <c r="E50" s="436"/>
      <c r="F50" s="436"/>
      <c r="G50" s="436"/>
      <c r="H50" s="436"/>
    </row>
    <row r="51" spans="1:8" s="98" customFormat="1" ht="16.2" customHeight="1">
      <c r="A51" s="436"/>
      <c r="B51" s="436"/>
      <c r="C51" s="436"/>
      <c r="D51" s="436"/>
      <c r="E51" s="119"/>
      <c r="F51" s="120"/>
      <c r="G51" s="119"/>
      <c r="H51" s="121"/>
    </row>
    <row r="52" spans="1:8" s="98" customFormat="1" ht="16.2" customHeight="1">
      <c r="A52" s="436"/>
      <c r="B52" s="436"/>
      <c r="C52" s="436"/>
      <c r="D52" s="436"/>
      <c r="E52" s="119"/>
      <c r="F52" s="120"/>
      <c r="G52" s="119"/>
      <c r="H52" s="121"/>
    </row>
    <row r="53" spans="1:8" s="98" customFormat="1" ht="16.2" customHeight="1">
      <c r="A53" s="121"/>
      <c r="B53" s="121"/>
      <c r="C53" s="121"/>
      <c r="D53" s="122"/>
      <c r="E53" s="119"/>
      <c r="F53" s="120"/>
      <c r="G53" s="119"/>
      <c r="H53" s="121"/>
    </row>
    <row r="54" spans="1:8" ht="16.2" customHeight="1">
      <c r="A54" s="83"/>
      <c r="B54" s="83"/>
      <c r="C54" s="83"/>
      <c r="D54" s="84"/>
      <c r="E54" s="85"/>
      <c r="F54" s="86"/>
      <c r="G54" s="85"/>
      <c r="H54" s="83"/>
    </row>
    <row r="55" spans="1:8" ht="16.2" customHeight="1">
      <c r="A55" s="83"/>
      <c r="B55" s="83"/>
      <c r="C55" s="83"/>
      <c r="D55" s="84"/>
      <c r="E55" s="85"/>
      <c r="F55" s="86"/>
      <c r="G55" s="85"/>
      <c r="H55" s="83"/>
    </row>
    <row r="56" spans="1:8" ht="16.2" customHeight="1">
      <c r="A56" s="83"/>
      <c r="B56" s="83"/>
      <c r="C56" s="83"/>
      <c r="D56" s="84"/>
      <c r="E56" s="85"/>
      <c r="F56" s="86"/>
      <c r="G56" s="85"/>
      <c r="H56" s="83"/>
    </row>
    <row r="57" spans="1:8" ht="16.2" customHeight="1">
      <c r="A57" s="83"/>
      <c r="B57" s="83"/>
      <c r="C57" s="83"/>
      <c r="D57" s="84"/>
      <c r="E57" s="437"/>
      <c r="F57" s="437"/>
      <c r="G57" s="437"/>
      <c r="H57" s="437"/>
    </row>
    <row r="58" spans="1:8" ht="20.25" customHeight="1">
      <c r="A58" s="438"/>
      <c r="B58" s="438"/>
      <c r="C58" s="438"/>
      <c r="D58" s="438"/>
      <c r="E58" s="438"/>
      <c r="F58" s="438"/>
      <c r="G58" s="438"/>
      <c r="H58" s="438"/>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D73" s="18"/>
      <c r="E73" s="19"/>
      <c r="F73" s="97"/>
      <c r="G73" s="19"/>
    </row>
    <row r="74" spans="3:7" s="17" customFormat="1" ht="16.2" customHeight="1">
      <c r="D74" s="18"/>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row r="234"/>
    <row r="235"/>
    <row r="236"/>
    <row r="237"/>
    <row r="238"/>
    <row r="239"/>
    <row r="240"/>
    <row r="241"/>
    <row r="242"/>
    <row r="243"/>
    <row r="244"/>
    <row r="245"/>
    <row r="246"/>
    <row r="247"/>
    <row r="248"/>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sheetData>
  <mergeCells count="40">
    <mergeCell ref="A4:B4"/>
    <mergeCell ref="C4:H4"/>
    <mergeCell ref="A1:B1"/>
    <mergeCell ref="C1:H1"/>
    <mergeCell ref="A2:B2"/>
    <mergeCell ref="C2:H2"/>
    <mergeCell ref="A3:B3"/>
    <mergeCell ref="A29:H29"/>
    <mergeCell ref="A6:H6"/>
    <mergeCell ref="A7:H7"/>
    <mergeCell ref="A8:H8"/>
    <mergeCell ref="A9:H9"/>
    <mergeCell ref="A10:H10"/>
    <mergeCell ref="A11:H11"/>
    <mergeCell ref="B13:F13"/>
    <mergeCell ref="B15:F15"/>
    <mergeCell ref="B25:F25"/>
    <mergeCell ref="B27:F27"/>
    <mergeCell ref="B28:F28"/>
    <mergeCell ref="A48:D48"/>
    <mergeCell ref="E48:H48"/>
    <mergeCell ref="C31:H31"/>
    <mergeCell ref="A32:B32"/>
    <mergeCell ref="C32:E32"/>
    <mergeCell ref="F32:H32"/>
    <mergeCell ref="C38:E38"/>
    <mergeCell ref="F38:H38"/>
    <mergeCell ref="A40:D40"/>
    <mergeCell ref="E40:H40"/>
    <mergeCell ref="A41:D41"/>
    <mergeCell ref="E41:H41"/>
    <mergeCell ref="E47:H47"/>
    <mergeCell ref="E57:H57"/>
    <mergeCell ref="A58:H58"/>
    <mergeCell ref="A49:B49"/>
    <mergeCell ref="E49:H49"/>
    <mergeCell ref="A50:D50"/>
    <mergeCell ref="E50:H50"/>
    <mergeCell ref="A51:D51"/>
    <mergeCell ref="A52:D52"/>
  </mergeCells>
  <dataValidations count="2">
    <dataValidation type="list" allowBlank="1" showInputMessage="1" showErrorMessage="1" sqref="WVJ983050:WVJ983067 B983050:B983067 IX983050:IX983067 ST983050:ST983067 ACP983050:ACP983067 AML983050:AML983067 AWH983050:AWH983067 BGD983050:BGD983067 BPZ983050:BPZ983067 BZV983050:BZV983067 CJR983050:CJR983067 CTN983050:CTN983067 DDJ983050:DDJ983067 DNF983050:DNF983067 DXB983050:DXB983067 EGX983050:EGX983067 EQT983050:EQT983067 FAP983050:FAP983067 FKL983050:FKL983067 FUH983050:FUH983067 GED983050:GED983067 GNZ983050:GNZ983067 GXV983050:GXV983067 HHR983050:HHR983067 HRN983050:HRN983067 IBJ983050:IBJ983067 ILF983050:ILF983067 IVB983050:IVB983067 JEX983050:JEX983067 JOT983050:JOT983067 JYP983050:JYP983067 KIL983050:KIL983067 KSH983050:KSH983067 LCD983050:LCD983067 LLZ983050:LLZ983067 LVV983050:LVV983067 MFR983050:MFR983067 MPN983050:MPN983067 MZJ983050:MZJ983067 NJF983050:NJF983067 NTB983050:NTB983067 OCX983050:OCX983067 OMT983050:OMT983067 OWP983050:OWP983067 PGL983050:PGL983067 PQH983050:PQH983067 QAD983050:QAD983067 QJZ983050:QJZ983067 QTV983050:QTV983067 RDR983050:RDR983067 RNN983050:RNN983067 RXJ983050:RXJ983067 SHF983050:SHF983067 SRB983050:SRB983067 TAX983050:TAX983067 TKT983050:TKT983067 TUP983050:TUP983067 UEL983050:UEL983067 UOH983050:UOH983067 UYD983050:UYD983067 VHZ983050:VHZ983067 VRV983050:VRV983067 WBR983050:WBR983067 WLN983050:WLN983067 B65546:B65563 IX65546:IX65563 ST65546:ST65563 ACP65546:ACP65563 AML65546:AML65563 AWH65546:AWH65563 BGD65546:BGD65563 BPZ65546:BPZ65563 BZV65546:BZV65563 CJR65546:CJR65563 CTN65546:CTN65563 DDJ65546:DDJ65563 DNF65546:DNF65563 DXB65546:DXB65563 EGX65546:EGX65563 EQT65546:EQT65563 FAP65546:FAP65563 FKL65546:FKL65563 FUH65546:FUH65563 GED65546:GED65563 GNZ65546:GNZ65563 GXV65546:GXV65563 HHR65546:HHR65563 HRN65546:HRN65563 IBJ65546:IBJ65563 ILF65546:ILF65563 IVB65546:IVB65563 JEX65546:JEX65563 JOT65546:JOT65563 JYP65546:JYP65563 KIL65546:KIL65563 KSH65546:KSH65563 LCD65546:LCD65563 LLZ65546:LLZ65563 LVV65546:LVV65563 MFR65546:MFR65563 MPN65546:MPN65563 MZJ65546:MZJ65563 NJF65546:NJF65563 NTB65546:NTB65563 OCX65546:OCX65563 OMT65546:OMT65563 OWP65546:OWP65563 PGL65546:PGL65563 PQH65546:PQH65563 QAD65546:QAD65563 QJZ65546:QJZ65563 QTV65546:QTV65563 RDR65546:RDR65563 RNN65546:RNN65563 RXJ65546:RXJ65563 SHF65546:SHF65563 SRB65546:SRB65563 TAX65546:TAX65563 TKT65546:TKT65563 TUP65546:TUP65563 UEL65546:UEL65563 UOH65546:UOH65563 UYD65546:UYD65563 VHZ65546:VHZ65563 VRV65546:VRV65563 WBR65546:WBR65563 WLN65546:WLN65563 WVJ65546:WVJ65563 B131082:B131099 IX131082:IX131099 ST131082:ST131099 ACP131082:ACP131099 AML131082:AML131099 AWH131082:AWH131099 BGD131082:BGD131099 BPZ131082:BPZ131099 BZV131082:BZV131099 CJR131082:CJR131099 CTN131082:CTN131099 DDJ131082:DDJ131099 DNF131082:DNF131099 DXB131082:DXB131099 EGX131082:EGX131099 EQT131082:EQT131099 FAP131082:FAP131099 FKL131082:FKL131099 FUH131082:FUH131099 GED131082:GED131099 GNZ131082:GNZ131099 GXV131082:GXV131099 HHR131082:HHR131099 HRN131082:HRN131099 IBJ131082:IBJ131099 ILF131082:ILF131099 IVB131082:IVB131099 JEX131082:JEX131099 JOT131082:JOT131099 JYP131082:JYP131099 KIL131082:KIL131099 KSH131082:KSH131099 LCD131082:LCD131099 LLZ131082:LLZ131099 LVV131082:LVV131099 MFR131082:MFR131099 MPN131082:MPN131099 MZJ131082:MZJ131099 NJF131082:NJF131099 NTB131082:NTB131099 OCX131082:OCX131099 OMT131082:OMT131099 OWP131082:OWP131099 PGL131082:PGL131099 PQH131082:PQH131099 QAD131082:QAD131099 QJZ131082:QJZ131099 QTV131082:QTV131099 RDR131082:RDR131099 RNN131082:RNN131099 RXJ131082:RXJ131099 SHF131082:SHF131099 SRB131082:SRB131099 TAX131082:TAX131099 TKT131082:TKT131099 TUP131082:TUP131099 UEL131082:UEL131099 UOH131082:UOH131099 UYD131082:UYD131099 VHZ131082:VHZ131099 VRV131082:VRV131099 WBR131082:WBR131099 WLN131082:WLN131099 WVJ131082:WVJ131099 B196618:B196635 IX196618:IX196635 ST196618:ST196635 ACP196618:ACP196635 AML196618:AML196635 AWH196618:AWH196635 BGD196618:BGD196635 BPZ196618:BPZ196635 BZV196618:BZV196635 CJR196618:CJR196635 CTN196618:CTN196635 DDJ196618:DDJ196635 DNF196618:DNF196635 DXB196618:DXB196635 EGX196618:EGX196635 EQT196618:EQT196635 FAP196618:FAP196635 FKL196618:FKL196635 FUH196618:FUH196635 GED196618:GED196635 GNZ196618:GNZ196635 GXV196618:GXV196635 HHR196618:HHR196635 HRN196618:HRN196635 IBJ196618:IBJ196635 ILF196618:ILF196635 IVB196618:IVB196635 JEX196618:JEX196635 JOT196618:JOT196635 JYP196618:JYP196635 KIL196618:KIL196635 KSH196618:KSH196635 LCD196618:LCD196635 LLZ196618:LLZ196635 LVV196618:LVV196635 MFR196618:MFR196635 MPN196618:MPN196635 MZJ196618:MZJ196635 NJF196618:NJF196635 NTB196618:NTB196635 OCX196618:OCX196635 OMT196618:OMT196635 OWP196618:OWP196635 PGL196618:PGL196635 PQH196618:PQH196635 QAD196618:QAD196635 QJZ196618:QJZ196635 QTV196618:QTV196635 RDR196618:RDR196635 RNN196618:RNN196635 RXJ196618:RXJ196635 SHF196618:SHF196635 SRB196618:SRB196635 TAX196618:TAX196635 TKT196618:TKT196635 TUP196618:TUP196635 UEL196618:UEL196635 UOH196618:UOH196635 UYD196618:UYD196635 VHZ196618:VHZ196635 VRV196618:VRV196635 WBR196618:WBR196635 WLN196618:WLN196635 WVJ196618:WVJ196635 B262154:B262171 IX262154:IX262171 ST262154:ST262171 ACP262154:ACP262171 AML262154:AML262171 AWH262154:AWH262171 BGD262154:BGD262171 BPZ262154:BPZ262171 BZV262154:BZV262171 CJR262154:CJR262171 CTN262154:CTN262171 DDJ262154:DDJ262171 DNF262154:DNF262171 DXB262154:DXB262171 EGX262154:EGX262171 EQT262154:EQT262171 FAP262154:FAP262171 FKL262154:FKL262171 FUH262154:FUH262171 GED262154:GED262171 GNZ262154:GNZ262171 GXV262154:GXV262171 HHR262154:HHR262171 HRN262154:HRN262171 IBJ262154:IBJ262171 ILF262154:ILF262171 IVB262154:IVB262171 JEX262154:JEX262171 JOT262154:JOT262171 JYP262154:JYP262171 KIL262154:KIL262171 KSH262154:KSH262171 LCD262154:LCD262171 LLZ262154:LLZ262171 LVV262154:LVV262171 MFR262154:MFR262171 MPN262154:MPN262171 MZJ262154:MZJ262171 NJF262154:NJF262171 NTB262154:NTB262171 OCX262154:OCX262171 OMT262154:OMT262171 OWP262154:OWP262171 PGL262154:PGL262171 PQH262154:PQH262171 QAD262154:QAD262171 QJZ262154:QJZ262171 QTV262154:QTV262171 RDR262154:RDR262171 RNN262154:RNN262171 RXJ262154:RXJ262171 SHF262154:SHF262171 SRB262154:SRB262171 TAX262154:TAX262171 TKT262154:TKT262171 TUP262154:TUP262171 UEL262154:UEL262171 UOH262154:UOH262171 UYD262154:UYD262171 VHZ262154:VHZ262171 VRV262154:VRV262171 WBR262154:WBR262171 WLN262154:WLN262171 WVJ262154:WVJ262171 B327690:B327707 IX327690:IX327707 ST327690:ST327707 ACP327690:ACP327707 AML327690:AML327707 AWH327690:AWH327707 BGD327690:BGD327707 BPZ327690:BPZ327707 BZV327690:BZV327707 CJR327690:CJR327707 CTN327690:CTN327707 DDJ327690:DDJ327707 DNF327690:DNF327707 DXB327690:DXB327707 EGX327690:EGX327707 EQT327690:EQT327707 FAP327690:FAP327707 FKL327690:FKL327707 FUH327690:FUH327707 GED327690:GED327707 GNZ327690:GNZ327707 GXV327690:GXV327707 HHR327690:HHR327707 HRN327690:HRN327707 IBJ327690:IBJ327707 ILF327690:ILF327707 IVB327690:IVB327707 JEX327690:JEX327707 JOT327690:JOT327707 JYP327690:JYP327707 KIL327690:KIL327707 KSH327690:KSH327707 LCD327690:LCD327707 LLZ327690:LLZ327707 LVV327690:LVV327707 MFR327690:MFR327707 MPN327690:MPN327707 MZJ327690:MZJ327707 NJF327690:NJF327707 NTB327690:NTB327707 OCX327690:OCX327707 OMT327690:OMT327707 OWP327690:OWP327707 PGL327690:PGL327707 PQH327690:PQH327707 QAD327690:QAD327707 QJZ327690:QJZ327707 QTV327690:QTV327707 RDR327690:RDR327707 RNN327690:RNN327707 RXJ327690:RXJ327707 SHF327690:SHF327707 SRB327690:SRB327707 TAX327690:TAX327707 TKT327690:TKT327707 TUP327690:TUP327707 UEL327690:UEL327707 UOH327690:UOH327707 UYD327690:UYD327707 VHZ327690:VHZ327707 VRV327690:VRV327707 WBR327690:WBR327707 WLN327690:WLN327707 WVJ327690:WVJ327707 B393226:B393243 IX393226:IX393243 ST393226:ST393243 ACP393226:ACP393243 AML393226:AML393243 AWH393226:AWH393243 BGD393226:BGD393243 BPZ393226:BPZ393243 BZV393226:BZV393243 CJR393226:CJR393243 CTN393226:CTN393243 DDJ393226:DDJ393243 DNF393226:DNF393243 DXB393226:DXB393243 EGX393226:EGX393243 EQT393226:EQT393243 FAP393226:FAP393243 FKL393226:FKL393243 FUH393226:FUH393243 GED393226:GED393243 GNZ393226:GNZ393243 GXV393226:GXV393243 HHR393226:HHR393243 HRN393226:HRN393243 IBJ393226:IBJ393243 ILF393226:ILF393243 IVB393226:IVB393243 JEX393226:JEX393243 JOT393226:JOT393243 JYP393226:JYP393243 KIL393226:KIL393243 KSH393226:KSH393243 LCD393226:LCD393243 LLZ393226:LLZ393243 LVV393226:LVV393243 MFR393226:MFR393243 MPN393226:MPN393243 MZJ393226:MZJ393243 NJF393226:NJF393243 NTB393226:NTB393243 OCX393226:OCX393243 OMT393226:OMT393243 OWP393226:OWP393243 PGL393226:PGL393243 PQH393226:PQH393243 QAD393226:QAD393243 QJZ393226:QJZ393243 QTV393226:QTV393243 RDR393226:RDR393243 RNN393226:RNN393243 RXJ393226:RXJ393243 SHF393226:SHF393243 SRB393226:SRB393243 TAX393226:TAX393243 TKT393226:TKT393243 TUP393226:TUP393243 UEL393226:UEL393243 UOH393226:UOH393243 UYD393226:UYD393243 VHZ393226:VHZ393243 VRV393226:VRV393243 WBR393226:WBR393243 WLN393226:WLN393243 WVJ393226:WVJ393243 B458762:B458779 IX458762:IX458779 ST458762:ST458779 ACP458762:ACP458779 AML458762:AML458779 AWH458762:AWH458779 BGD458762:BGD458779 BPZ458762:BPZ458779 BZV458762:BZV458779 CJR458762:CJR458779 CTN458762:CTN458779 DDJ458762:DDJ458779 DNF458762:DNF458779 DXB458762:DXB458779 EGX458762:EGX458779 EQT458762:EQT458779 FAP458762:FAP458779 FKL458762:FKL458779 FUH458762:FUH458779 GED458762:GED458779 GNZ458762:GNZ458779 GXV458762:GXV458779 HHR458762:HHR458779 HRN458762:HRN458779 IBJ458762:IBJ458779 ILF458762:ILF458779 IVB458762:IVB458779 JEX458762:JEX458779 JOT458762:JOT458779 JYP458762:JYP458779 KIL458762:KIL458779 KSH458762:KSH458779 LCD458762:LCD458779 LLZ458762:LLZ458779 LVV458762:LVV458779 MFR458762:MFR458779 MPN458762:MPN458779 MZJ458762:MZJ458779 NJF458762:NJF458779 NTB458762:NTB458779 OCX458762:OCX458779 OMT458762:OMT458779 OWP458762:OWP458779 PGL458762:PGL458779 PQH458762:PQH458779 QAD458762:QAD458779 QJZ458762:QJZ458779 QTV458762:QTV458779 RDR458762:RDR458779 RNN458762:RNN458779 RXJ458762:RXJ458779 SHF458762:SHF458779 SRB458762:SRB458779 TAX458762:TAX458779 TKT458762:TKT458779 TUP458762:TUP458779 UEL458762:UEL458779 UOH458762:UOH458779 UYD458762:UYD458779 VHZ458762:VHZ458779 VRV458762:VRV458779 WBR458762:WBR458779 WLN458762:WLN458779 WVJ458762:WVJ458779 B524298:B524315 IX524298:IX524315 ST524298:ST524315 ACP524298:ACP524315 AML524298:AML524315 AWH524298:AWH524315 BGD524298:BGD524315 BPZ524298:BPZ524315 BZV524298:BZV524315 CJR524298:CJR524315 CTN524298:CTN524315 DDJ524298:DDJ524315 DNF524298:DNF524315 DXB524298:DXB524315 EGX524298:EGX524315 EQT524298:EQT524315 FAP524298:FAP524315 FKL524298:FKL524315 FUH524298:FUH524315 GED524298:GED524315 GNZ524298:GNZ524315 GXV524298:GXV524315 HHR524298:HHR524315 HRN524298:HRN524315 IBJ524298:IBJ524315 ILF524298:ILF524315 IVB524298:IVB524315 JEX524298:JEX524315 JOT524298:JOT524315 JYP524298:JYP524315 KIL524298:KIL524315 KSH524298:KSH524315 LCD524298:LCD524315 LLZ524298:LLZ524315 LVV524298:LVV524315 MFR524298:MFR524315 MPN524298:MPN524315 MZJ524298:MZJ524315 NJF524298:NJF524315 NTB524298:NTB524315 OCX524298:OCX524315 OMT524298:OMT524315 OWP524298:OWP524315 PGL524298:PGL524315 PQH524298:PQH524315 QAD524298:QAD524315 QJZ524298:QJZ524315 QTV524298:QTV524315 RDR524298:RDR524315 RNN524298:RNN524315 RXJ524298:RXJ524315 SHF524298:SHF524315 SRB524298:SRB524315 TAX524298:TAX524315 TKT524298:TKT524315 TUP524298:TUP524315 UEL524298:UEL524315 UOH524298:UOH524315 UYD524298:UYD524315 VHZ524298:VHZ524315 VRV524298:VRV524315 WBR524298:WBR524315 WLN524298:WLN524315 WVJ524298:WVJ524315 B589834:B589851 IX589834:IX589851 ST589834:ST589851 ACP589834:ACP589851 AML589834:AML589851 AWH589834:AWH589851 BGD589834:BGD589851 BPZ589834:BPZ589851 BZV589834:BZV589851 CJR589834:CJR589851 CTN589834:CTN589851 DDJ589834:DDJ589851 DNF589834:DNF589851 DXB589834:DXB589851 EGX589834:EGX589851 EQT589834:EQT589851 FAP589834:FAP589851 FKL589834:FKL589851 FUH589834:FUH589851 GED589834:GED589851 GNZ589834:GNZ589851 GXV589834:GXV589851 HHR589834:HHR589851 HRN589834:HRN589851 IBJ589834:IBJ589851 ILF589834:ILF589851 IVB589834:IVB589851 JEX589834:JEX589851 JOT589834:JOT589851 JYP589834:JYP589851 KIL589834:KIL589851 KSH589834:KSH589851 LCD589834:LCD589851 LLZ589834:LLZ589851 LVV589834:LVV589851 MFR589834:MFR589851 MPN589834:MPN589851 MZJ589834:MZJ589851 NJF589834:NJF589851 NTB589834:NTB589851 OCX589834:OCX589851 OMT589834:OMT589851 OWP589834:OWP589851 PGL589834:PGL589851 PQH589834:PQH589851 QAD589834:QAD589851 QJZ589834:QJZ589851 QTV589834:QTV589851 RDR589834:RDR589851 RNN589834:RNN589851 RXJ589834:RXJ589851 SHF589834:SHF589851 SRB589834:SRB589851 TAX589834:TAX589851 TKT589834:TKT589851 TUP589834:TUP589851 UEL589834:UEL589851 UOH589834:UOH589851 UYD589834:UYD589851 VHZ589834:VHZ589851 VRV589834:VRV589851 WBR589834:WBR589851 WLN589834:WLN589851 WVJ589834:WVJ589851 B655370:B655387 IX655370:IX655387 ST655370:ST655387 ACP655370:ACP655387 AML655370:AML655387 AWH655370:AWH655387 BGD655370:BGD655387 BPZ655370:BPZ655387 BZV655370:BZV655387 CJR655370:CJR655387 CTN655370:CTN655387 DDJ655370:DDJ655387 DNF655370:DNF655387 DXB655370:DXB655387 EGX655370:EGX655387 EQT655370:EQT655387 FAP655370:FAP655387 FKL655370:FKL655387 FUH655370:FUH655387 GED655370:GED655387 GNZ655370:GNZ655387 GXV655370:GXV655387 HHR655370:HHR655387 HRN655370:HRN655387 IBJ655370:IBJ655387 ILF655370:ILF655387 IVB655370:IVB655387 JEX655370:JEX655387 JOT655370:JOT655387 JYP655370:JYP655387 KIL655370:KIL655387 KSH655370:KSH655387 LCD655370:LCD655387 LLZ655370:LLZ655387 LVV655370:LVV655387 MFR655370:MFR655387 MPN655370:MPN655387 MZJ655370:MZJ655387 NJF655370:NJF655387 NTB655370:NTB655387 OCX655370:OCX655387 OMT655370:OMT655387 OWP655370:OWP655387 PGL655370:PGL655387 PQH655370:PQH655387 QAD655370:QAD655387 QJZ655370:QJZ655387 QTV655370:QTV655387 RDR655370:RDR655387 RNN655370:RNN655387 RXJ655370:RXJ655387 SHF655370:SHF655387 SRB655370:SRB655387 TAX655370:TAX655387 TKT655370:TKT655387 TUP655370:TUP655387 UEL655370:UEL655387 UOH655370:UOH655387 UYD655370:UYD655387 VHZ655370:VHZ655387 VRV655370:VRV655387 WBR655370:WBR655387 WLN655370:WLN655387 WVJ655370:WVJ655387 B720906:B720923 IX720906:IX720923 ST720906:ST720923 ACP720906:ACP720923 AML720906:AML720923 AWH720906:AWH720923 BGD720906:BGD720923 BPZ720906:BPZ720923 BZV720906:BZV720923 CJR720906:CJR720923 CTN720906:CTN720923 DDJ720906:DDJ720923 DNF720906:DNF720923 DXB720906:DXB720923 EGX720906:EGX720923 EQT720906:EQT720923 FAP720906:FAP720923 FKL720906:FKL720923 FUH720906:FUH720923 GED720906:GED720923 GNZ720906:GNZ720923 GXV720906:GXV720923 HHR720906:HHR720923 HRN720906:HRN720923 IBJ720906:IBJ720923 ILF720906:ILF720923 IVB720906:IVB720923 JEX720906:JEX720923 JOT720906:JOT720923 JYP720906:JYP720923 KIL720906:KIL720923 KSH720906:KSH720923 LCD720906:LCD720923 LLZ720906:LLZ720923 LVV720906:LVV720923 MFR720906:MFR720923 MPN720906:MPN720923 MZJ720906:MZJ720923 NJF720906:NJF720923 NTB720906:NTB720923 OCX720906:OCX720923 OMT720906:OMT720923 OWP720906:OWP720923 PGL720906:PGL720923 PQH720906:PQH720923 QAD720906:QAD720923 QJZ720906:QJZ720923 QTV720906:QTV720923 RDR720906:RDR720923 RNN720906:RNN720923 RXJ720906:RXJ720923 SHF720906:SHF720923 SRB720906:SRB720923 TAX720906:TAX720923 TKT720906:TKT720923 TUP720906:TUP720923 UEL720906:UEL720923 UOH720906:UOH720923 UYD720906:UYD720923 VHZ720906:VHZ720923 VRV720906:VRV720923 WBR720906:WBR720923 WLN720906:WLN720923 WVJ720906:WVJ720923 B786442:B786459 IX786442:IX786459 ST786442:ST786459 ACP786442:ACP786459 AML786442:AML786459 AWH786442:AWH786459 BGD786442:BGD786459 BPZ786442:BPZ786459 BZV786442:BZV786459 CJR786442:CJR786459 CTN786442:CTN786459 DDJ786442:DDJ786459 DNF786442:DNF786459 DXB786442:DXB786459 EGX786442:EGX786459 EQT786442:EQT786459 FAP786442:FAP786459 FKL786442:FKL786459 FUH786442:FUH786459 GED786442:GED786459 GNZ786442:GNZ786459 GXV786442:GXV786459 HHR786442:HHR786459 HRN786442:HRN786459 IBJ786442:IBJ786459 ILF786442:ILF786459 IVB786442:IVB786459 JEX786442:JEX786459 JOT786442:JOT786459 JYP786442:JYP786459 KIL786442:KIL786459 KSH786442:KSH786459 LCD786442:LCD786459 LLZ786442:LLZ786459 LVV786442:LVV786459 MFR786442:MFR786459 MPN786442:MPN786459 MZJ786442:MZJ786459 NJF786442:NJF786459 NTB786442:NTB786459 OCX786442:OCX786459 OMT786442:OMT786459 OWP786442:OWP786459 PGL786442:PGL786459 PQH786442:PQH786459 QAD786442:QAD786459 QJZ786442:QJZ786459 QTV786442:QTV786459 RDR786442:RDR786459 RNN786442:RNN786459 RXJ786442:RXJ786459 SHF786442:SHF786459 SRB786442:SRB786459 TAX786442:TAX786459 TKT786442:TKT786459 TUP786442:TUP786459 UEL786442:UEL786459 UOH786442:UOH786459 UYD786442:UYD786459 VHZ786442:VHZ786459 VRV786442:VRV786459 WBR786442:WBR786459 WLN786442:WLN786459 WVJ786442:WVJ786459 B851978:B851995 IX851978:IX851995 ST851978:ST851995 ACP851978:ACP851995 AML851978:AML851995 AWH851978:AWH851995 BGD851978:BGD851995 BPZ851978:BPZ851995 BZV851978:BZV851995 CJR851978:CJR851995 CTN851978:CTN851995 DDJ851978:DDJ851995 DNF851978:DNF851995 DXB851978:DXB851995 EGX851978:EGX851995 EQT851978:EQT851995 FAP851978:FAP851995 FKL851978:FKL851995 FUH851978:FUH851995 GED851978:GED851995 GNZ851978:GNZ851995 GXV851978:GXV851995 HHR851978:HHR851995 HRN851978:HRN851995 IBJ851978:IBJ851995 ILF851978:ILF851995 IVB851978:IVB851995 JEX851978:JEX851995 JOT851978:JOT851995 JYP851978:JYP851995 KIL851978:KIL851995 KSH851978:KSH851995 LCD851978:LCD851995 LLZ851978:LLZ851995 LVV851978:LVV851995 MFR851978:MFR851995 MPN851978:MPN851995 MZJ851978:MZJ851995 NJF851978:NJF851995 NTB851978:NTB851995 OCX851978:OCX851995 OMT851978:OMT851995 OWP851978:OWP851995 PGL851978:PGL851995 PQH851978:PQH851995 QAD851978:QAD851995 QJZ851978:QJZ851995 QTV851978:QTV851995 RDR851978:RDR851995 RNN851978:RNN851995 RXJ851978:RXJ851995 SHF851978:SHF851995 SRB851978:SRB851995 TAX851978:TAX851995 TKT851978:TKT851995 TUP851978:TUP851995 UEL851978:UEL851995 UOH851978:UOH851995 UYD851978:UYD851995 VHZ851978:VHZ851995 VRV851978:VRV851995 WBR851978:WBR851995 WLN851978:WLN851995 WVJ851978:WVJ851995 B917514:B917531 IX917514:IX917531 ST917514:ST917531 ACP917514:ACP917531 AML917514:AML917531 AWH917514:AWH917531 BGD917514:BGD917531 BPZ917514:BPZ917531 BZV917514:BZV917531 CJR917514:CJR917531 CTN917514:CTN917531 DDJ917514:DDJ917531 DNF917514:DNF917531 DXB917514:DXB917531 EGX917514:EGX917531 EQT917514:EQT917531 FAP917514:FAP917531 FKL917514:FKL917531 FUH917514:FUH917531 GED917514:GED917531 GNZ917514:GNZ917531 GXV917514:GXV917531 HHR917514:HHR917531 HRN917514:HRN917531 IBJ917514:IBJ917531 ILF917514:ILF917531 IVB917514:IVB917531 JEX917514:JEX917531 JOT917514:JOT917531 JYP917514:JYP917531 KIL917514:KIL917531 KSH917514:KSH917531 LCD917514:LCD917531 LLZ917514:LLZ917531 LVV917514:LVV917531 MFR917514:MFR917531 MPN917514:MPN917531 MZJ917514:MZJ917531 NJF917514:NJF917531 NTB917514:NTB917531 OCX917514:OCX917531 OMT917514:OMT917531 OWP917514:OWP917531 PGL917514:PGL917531 PQH917514:PQH917531 QAD917514:QAD917531 QJZ917514:QJZ917531 QTV917514:QTV917531 RDR917514:RDR917531 RNN917514:RNN917531 RXJ917514:RXJ917531 SHF917514:SHF917531 SRB917514:SRB917531 TAX917514:TAX917531 TKT917514:TKT917531 TUP917514:TUP917531 UEL917514:UEL917531 UOH917514:UOH917531 UYD917514:UYD917531 VHZ917514:VHZ917531 VRV917514:VRV917531 WBR917514:WBR917531 WLN917514:WLN917531 WVJ917514:WVJ917531" xr:uid="{00000000-0002-0000-3B00-000000000000}">
      <formula1>trung</formula1>
    </dataValidation>
    <dataValidation type="list" allowBlank="1" showInputMessage="1" showErrorMessage="1" sqref="B26" xr:uid="{00000000-0002-0000-3B00-000001000000}">
      <formula1>bichphuong</formula1>
    </dataValidation>
  </dataValidation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H391"/>
  <sheetViews>
    <sheetView topLeftCell="A22" workbookViewId="0">
      <selection activeCell="C35" sqref="C35"/>
    </sheetView>
  </sheetViews>
  <sheetFormatPr defaultColWidth="36.09765625" defaultRowHeight="15" customHeight="1" zeroHeight="1"/>
  <cols>
    <col min="1" max="1" width="3.59765625" style="16" customWidth="1"/>
    <col min="2" max="2" width="22.8984375" style="16" customWidth="1"/>
    <col min="3" max="3" width="4.5" style="87" customWidth="1"/>
    <col min="4" max="4" width="5.5" style="88" customWidth="1"/>
    <col min="5" max="5" width="9.5" style="89" customWidth="1"/>
    <col min="6" max="6" width="5.19921875" style="87" customWidth="1"/>
    <col min="7" max="7" width="10.59765625" style="89" customWidth="1"/>
    <col min="8" max="8" width="7.59765625" style="16" customWidth="1"/>
    <col min="9" max="248" width="0" style="16" hidden="1" customWidth="1"/>
    <col min="249" max="249" width="8.09765625" style="16" customWidth="1"/>
    <col min="250" max="250" width="3" style="16" customWidth="1"/>
    <col min="251" max="251" width="5.5" style="16" customWidth="1"/>
    <col min="252" max="252" width="3.5" style="16" customWidth="1"/>
    <col min="253" max="253" width="7.5" style="16" customWidth="1"/>
    <col min="254" max="254" width="9.765625E-2" style="16" customWidth="1"/>
    <col min="255" max="255" width="0.5" style="16" customWidth="1"/>
    <col min="256" max="256" width="36.09765625" style="16"/>
    <col min="257" max="257" width="3.59765625" style="16" customWidth="1"/>
    <col min="258" max="258" width="22.8984375" style="16" customWidth="1"/>
    <col min="259" max="259" width="4.5" style="16" customWidth="1"/>
    <col min="260" max="260" width="5.5" style="16" customWidth="1"/>
    <col min="261" max="261" width="9.5" style="16" customWidth="1"/>
    <col min="262" max="262" width="5.19921875" style="16" customWidth="1"/>
    <col min="263" max="263" width="10.59765625" style="16" customWidth="1"/>
    <col min="264" max="264" width="7.59765625" style="16" customWidth="1"/>
    <col min="265" max="504" width="0" style="16" hidden="1" customWidth="1"/>
    <col min="505" max="505" width="8.09765625" style="16" customWidth="1"/>
    <col min="506" max="506" width="3" style="16" customWidth="1"/>
    <col min="507" max="507" width="5.5" style="16" customWidth="1"/>
    <col min="508" max="508" width="3.5" style="16" customWidth="1"/>
    <col min="509" max="509" width="7.5" style="16" customWidth="1"/>
    <col min="510" max="510" width="9.765625E-2" style="16" customWidth="1"/>
    <col min="511" max="511" width="0.5" style="16" customWidth="1"/>
    <col min="512" max="512" width="36.09765625" style="16"/>
    <col min="513" max="513" width="3.59765625" style="16" customWidth="1"/>
    <col min="514" max="514" width="22.8984375" style="16" customWidth="1"/>
    <col min="515" max="515" width="4.5" style="16" customWidth="1"/>
    <col min="516" max="516" width="5.5" style="16" customWidth="1"/>
    <col min="517" max="517" width="9.5" style="16" customWidth="1"/>
    <col min="518" max="518" width="5.19921875" style="16" customWidth="1"/>
    <col min="519" max="519" width="10.59765625" style="16" customWidth="1"/>
    <col min="520" max="520" width="7.59765625" style="16" customWidth="1"/>
    <col min="521" max="760" width="0" style="16" hidden="1" customWidth="1"/>
    <col min="761" max="761" width="8.09765625" style="16" customWidth="1"/>
    <col min="762" max="762" width="3" style="16" customWidth="1"/>
    <col min="763" max="763" width="5.5" style="16" customWidth="1"/>
    <col min="764" max="764" width="3.5" style="16" customWidth="1"/>
    <col min="765" max="765" width="7.5" style="16" customWidth="1"/>
    <col min="766" max="766" width="9.765625E-2" style="16" customWidth="1"/>
    <col min="767" max="767" width="0.5" style="16" customWidth="1"/>
    <col min="768" max="768" width="36.09765625" style="16"/>
    <col min="769" max="769" width="3.59765625" style="16" customWidth="1"/>
    <col min="770" max="770" width="22.8984375" style="16" customWidth="1"/>
    <col min="771" max="771" width="4.5" style="16" customWidth="1"/>
    <col min="772" max="772" width="5.5" style="16" customWidth="1"/>
    <col min="773" max="773" width="9.5" style="16" customWidth="1"/>
    <col min="774" max="774" width="5.19921875" style="16" customWidth="1"/>
    <col min="775" max="775" width="10.59765625" style="16" customWidth="1"/>
    <col min="776" max="776" width="7.59765625" style="16" customWidth="1"/>
    <col min="777" max="1016" width="0" style="16" hidden="1" customWidth="1"/>
    <col min="1017" max="1017" width="8.09765625" style="16" customWidth="1"/>
    <col min="1018" max="1018" width="3" style="16" customWidth="1"/>
    <col min="1019" max="1019" width="5.5" style="16" customWidth="1"/>
    <col min="1020" max="1020" width="3.5" style="16" customWidth="1"/>
    <col min="1021" max="1021" width="7.5" style="16" customWidth="1"/>
    <col min="1022" max="1022" width="9.765625E-2" style="16" customWidth="1"/>
    <col min="1023" max="1023" width="0.5" style="16" customWidth="1"/>
    <col min="1024" max="1024" width="36.09765625" style="16"/>
    <col min="1025" max="1025" width="3.59765625" style="16" customWidth="1"/>
    <col min="1026" max="1026" width="22.8984375" style="16" customWidth="1"/>
    <col min="1027" max="1027" width="4.5" style="16" customWidth="1"/>
    <col min="1028" max="1028" width="5.5" style="16" customWidth="1"/>
    <col min="1029" max="1029" width="9.5" style="16" customWidth="1"/>
    <col min="1030" max="1030" width="5.19921875" style="16" customWidth="1"/>
    <col min="1031" max="1031" width="10.59765625" style="16" customWidth="1"/>
    <col min="1032" max="1032" width="7.59765625" style="16" customWidth="1"/>
    <col min="1033" max="1272" width="0" style="16" hidden="1" customWidth="1"/>
    <col min="1273" max="1273" width="8.09765625" style="16" customWidth="1"/>
    <col min="1274" max="1274" width="3" style="16" customWidth="1"/>
    <col min="1275" max="1275" width="5.5" style="16" customWidth="1"/>
    <col min="1276" max="1276" width="3.5" style="16" customWidth="1"/>
    <col min="1277" max="1277" width="7.5" style="16" customWidth="1"/>
    <col min="1278" max="1278" width="9.765625E-2" style="16" customWidth="1"/>
    <col min="1279" max="1279" width="0.5" style="16" customWidth="1"/>
    <col min="1280" max="1280" width="36.09765625" style="16"/>
    <col min="1281" max="1281" width="3.59765625" style="16" customWidth="1"/>
    <col min="1282" max="1282" width="22.8984375" style="16" customWidth="1"/>
    <col min="1283" max="1283" width="4.5" style="16" customWidth="1"/>
    <col min="1284" max="1284" width="5.5" style="16" customWidth="1"/>
    <col min="1285" max="1285" width="9.5" style="16" customWidth="1"/>
    <col min="1286" max="1286" width="5.19921875" style="16" customWidth="1"/>
    <col min="1287" max="1287" width="10.59765625" style="16" customWidth="1"/>
    <col min="1288" max="1288" width="7.59765625" style="16" customWidth="1"/>
    <col min="1289" max="1528" width="0" style="16" hidden="1" customWidth="1"/>
    <col min="1529" max="1529" width="8.09765625" style="16" customWidth="1"/>
    <col min="1530" max="1530" width="3" style="16" customWidth="1"/>
    <col min="1531" max="1531" width="5.5" style="16" customWidth="1"/>
    <col min="1532" max="1532" width="3.5" style="16" customWidth="1"/>
    <col min="1533" max="1533" width="7.5" style="16" customWidth="1"/>
    <col min="1534" max="1534" width="9.765625E-2" style="16" customWidth="1"/>
    <col min="1535" max="1535" width="0.5" style="16" customWidth="1"/>
    <col min="1536" max="1536" width="36.09765625" style="16"/>
    <col min="1537" max="1537" width="3.59765625" style="16" customWidth="1"/>
    <col min="1538" max="1538" width="22.8984375" style="16" customWidth="1"/>
    <col min="1539" max="1539" width="4.5" style="16" customWidth="1"/>
    <col min="1540" max="1540" width="5.5" style="16" customWidth="1"/>
    <col min="1541" max="1541" width="9.5" style="16" customWidth="1"/>
    <col min="1542" max="1542" width="5.19921875" style="16" customWidth="1"/>
    <col min="1543" max="1543" width="10.59765625" style="16" customWidth="1"/>
    <col min="1544" max="1544" width="7.59765625" style="16" customWidth="1"/>
    <col min="1545" max="1784" width="0" style="16" hidden="1" customWidth="1"/>
    <col min="1785" max="1785" width="8.09765625" style="16" customWidth="1"/>
    <col min="1786" max="1786" width="3" style="16" customWidth="1"/>
    <col min="1787" max="1787" width="5.5" style="16" customWidth="1"/>
    <col min="1788" max="1788" width="3.5" style="16" customWidth="1"/>
    <col min="1789" max="1789" width="7.5" style="16" customWidth="1"/>
    <col min="1790" max="1790" width="9.765625E-2" style="16" customWidth="1"/>
    <col min="1791" max="1791" width="0.5" style="16" customWidth="1"/>
    <col min="1792" max="1792" width="36.09765625" style="16"/>
    <col min="1793" max="1793" width="3.59765625" style="16" customWidth="1"/>
    <col min="1794" max="1794" width="22.8984375" style="16" customWidth="1"/>
    <col min="1795" max="1795" width="4.5" style="16" customWidth="1"/>
    <col min="1796" max="1796" width="5.5" style="16" customWidth="1"/>
    <col min="1797" max="1797" width="9.5" style="16" customWidth="1"/>
    <col min="1798" max="1798" width="5.19921875" style="16" customWidth="1"/>
    <col min="1799" max="1799" width="10.59765625" style="16" customWidth="1"/>
    <col min="1800" max="1800" width="7.59765625" style="16" customWidth="1"/>
    <col min="1801" max="2040" width="0" style="16" hidden="1" customWidth="1"/>
    <col min="2041" max="2041" width="8.09765625" style="16" customWidth="1"/>
    <col min="2042" max="2042" width="3" style="16" customWidth="1"/>
    <col min="2043" max="2043" width="5.5" style="16" customWidth="1"/>
    <col min="2044" max="2044" width="3.5" style="16" customWidth="1"/>
    <col min="2045" max="2045" width="7.5" style="16" customWidth="1"/>
    <col min="2046" max="2046" width="9.765625E-2" style="16" customWidth="1"/>
    <col min="2047" max="2047" width="0.5" style="16" customWidth="1"/>
    <col min="2048" max="2048" width="36.09765625" style="16"/>
    <col min="2049" max="2049" width="3.59765625" style="16" customWidth="1"/>
    <col min="2050" max="2050" width="22.8984375" style="16" customWidth="1"/>
    <col min="2051" max="2051" width="4.5" style="16" customWidth="1"/>
    <col min="2052" max="2052" width="5.5" style="16" customWidth="1"/>
    <col min="2053" max="2053" width="9.5" style="16" customWidth="1"/>
    <col min="2054" max="2054" width="5.19921875" style="16" customWidth="1"/>
    <col min="2055" max="2055" width="10.59765625" style="16" customWidth="1"/>
    <col min="2056" max="2056" width="7.59765625" style="16" customWidth="1"/>
    <col min="2057" max="2296" width="0" style="16" hidden="1" customWidth="1"/>
    <col min="2297" max="2297" width="8.09765625" style="16" customWidth="1"/>
    <col min="2298" max="2298" width="3" style="16" customWidth="1"/>
    <col min="2299" max="2299" width="5.5" style="16" customWidth="1"/>
    <col min="2300" max="2300" width="3.5" style="16" customWidth="1"/>
    <col min="2301" max="2301" width="7.5" style="16" customWidth="1"/>
    <col min="2302" max="2302" width="9.765625E-2" style="16" customWidth="1"/>
    <col min="2303" max="2303" width="0.5" style="16" customWidth="1"/>
    <col min="2304" max="2304" width="36.09765625" style="16"/>
    <col min="2305" max="2305" width="3.59765625" style="16" customWidth="1"/>
    <col min="2306" max="2306" width="22.8984375" style="16" customWidth="1"/>
    <col min="2307" max="2307" width="4.5" style="16" customWidth="1"/>
    <col min="2308" max="2308" width="5.5" style="16" customWidth="1"/>
    <col min="2309" max="2309" width="9.5" style="16" customWidth="1"/>
    <col min="2310" max="2310" width="5.19921875" style="16" customWidth="1"/>
    <col min="2311" max="2311" width="10.59765625" style="16" customWidth="1"/>
    <col min="2312" max="2312" width="7.59765625" style="16" customWidth="1"/>
    <col min="2313" max="2552" width="0" style="16" hidden="1" customWidth="1"/>
    <col min="2553" max="2553" width="8.09765625" style="16" customWidth="1"/>
    <col min="2554" max="2554" width="3" style="16" customWidth="1"/>
    <col min="2555" max="2555" width="5.5" style="16" customWidth="1"/>
    <col min="2556" max="2556" width="3.5" style="16" customWidth="1"/>
    <col min="2557" max="2557" width="7.5" style="16" customWidth="1"/>
    <col min="2558" max="2558" width="9.765625E-2" style="16" customWidth="1"/>
    <col min="2559" max="2559" width="0.5" style="16" customWidth="1"/>
    <col min="2560" max="2560" width="36.09765625" style="16"/>
    <col min="2561" max="2561" width="3.59765625" style="16" customWidth="1"/>
    <col min="2562" max="2562" width="22.8984375" style="16" customWidth="1"/>
    <col min="2563" max="2563" width="4.5" style="16" customWidth="1"/>
    <col min="2564" max="2564" width="5.5" style="16" customWidth="1"/>
    <col min="2565" max="2565" width="9.5" style="16" customWidth="1"/>
    <col min="2566" max="2566" width="5.19921875" style="16" customWidth="1"/>
    <col min="2567" max="2567" width="10.59765625" style="16" customWidth="1"/>
    <col min="2568" max="2568" width="7.59765625" style="16" customWidth="1"/>
    <col min="2569" max="2808" width="0" style="16" hidden="1" customWidth="1"/>
    <col min="2809" max="2809" width="8.09765625" style="16" customWidth="1"/>
    <col min="2810" max="2810" width="3" style="16" customWidth="1"/>
    <col min="2811" max="2811" width="5.5" style="16" customWidth="1"/>
    <col min="2812" max="2812" width="3.5" style="16" customWidth="1"/>
    <col min="2813" max="2813" width="7.5" style="16" customWidth="1"/>
    <col min="2814" max="2814" width="9.765625E-2" style="16" customWidth="1"/>
    <col min="2815" max="2815" width="0.5" style="16" customWidth="1"/>
    <col min="2816" max="2816" width="36.09765625" style="16"/>
    <col min="2817" max="2817" width="3.59765625" style="16" customWidth="1"/>
    <col min="2818" max="2818" width="22.8984375" style="16" customWidth="1"/>
    <col min="2819" max="2819" width="4.5" style="16" customWidth="1"/>
    <col min="2820" max="2820" width="5.5" style="16" customWidth="1"/>
    <col min="2821" max="2821" width="9.5" style="16" customWidth="1"/>
    <col min="2822" max="2822" width="5.19921875" style="16" customWidth="1"/>
    <col min="2823" max="2823" width="10.59765625" style="16" customWidth="1"/>
    <col min="2824" max="2824" width="7.59765625" style="16" customWidth="1"/>
    <col min="2825" max="3064" width="0" style="16" hidden="1" customWidth="1"/>
    <col min="3065" max="3065" width="8.09765625" style="16" customWidth="1"/>
    <col min="3066" max="3066" width="3" style="16" customWidth="1"/>
    <col min="3067" max="3067" width="5.5" style="16" customWidth="1"/>
    <col min="3068" max="3068" width="3.5" style="16" customWidth="1"/>
    <col min="3069" max="3069" width="7.5" style="16" customWidth="1"/>
    <col min="3070" max="3070" width="9.765625E-2" style="16" customWidth="1"/>
    <col min="3071" max="3071" width="0.5" style="16" customWidth="1"/>
    <col min="3072" max="3072" width="36.09765625" style="16"/>
    <col min="3073" max="3073" width="3.59765625" style="16" customWidth="1"/>
    <col min="3074" max="3074" width="22.8984375" style="16" customWidth="1"/>
    <col min="3075" max="3075" width="4.5" style="16" customWidth="1"/>
    <col min="3076" max="3076" width="5.5" style="16" customWidth="1"/>
    <col min="3077" max="3077" width="9.5" style="16" customWidth="1"/>
    <col min="3078" max="3078" width="5.19921875" style="16" customWidth="1"/>
    <col min="3079" max="3079" width="10.59765625" style="16" customWidth="1"/>
    <col min="3080" max="3080" width="7.59765625" style="16" customWidth="1"/>
    <col min="3081" max="3320" width="0" style="16" hidden="1" customWidth="1"/>
    <col min="3321" max="3321" width="8.09765625" style="16" customWidth="1"/>
    <col min="3322" max="3322" width="3" style="16" customWidth="1"/>
    <col min="3323" max="3323" width="5.5" style="16" customWidth="1"/>
    <col min="3324" max="3324" width="3.5" style="16" customWidth="1"/>
    <col min="3325" max="3325" width="7.5" style="16" customWidth="1"/>
    <col min="3326" max="3326" width="9.765625E-2" style="16" customWidth="1"/>
    <col min="3327" max="3327" width="0.5" style="16" customWidth="1"/>
    <col min="3328" max="3328" width="36.09765625" style="16"/>
    <col min="3329" max="3329" width="3.59765625" style="16" customWidth="1"/>
    <col min="3330" max="3330" width="22.8984375" style="16" customWidth="1"/>
    <col min="3331" max="3331" width="4.5" style="16" customWidth="1"/>
    <col min="3332" max="3332" width="5.5" style="16" customWidth="1"/>
    <col min="3333" max="3333" width="9.5" style="16" customWidth="1"/>
    <col min="3334" max="3334" width="5.19921875" style="16" customWidth="1"/>
    <col min="3335" max="3335" width="10.59765625" style="16" customWidth="1"/>
    <col min="3336" max="3336" width="7.59765625" style="16" customWidth="1"/>
    <col min="3337" max="3576" width="0" style="16" hidden="1" customWidth="1"/>
    <col min="3577" max="3577" width="8.09765625" style="16" customWidth="1"/>
    <col min="3578" max="3578" width="3" style="16" customWidth="1"/>
    <col min="3579" max="3579" width="5.5" style="16" customWidth="1"/>
    <col min="3580" max="3580" width="3.5" style="16" customWidth="1"/>
    <col min="3581" max="3581" width="7.5" style="16" customWidth="1"/>
    <col min="3582" max="3582" width="9.765625E-2" style="16" customWidth="1"/>
    <col min="3583" max="3583" width="0.5" style="16" customWidth="1"/>
    <col min="3584" max="3584" width="36.09765625" style="16"/>
    <col min="3585" max="3585" width="3.59765625" style="16" customWidth="1"/>
    <col min="3586" max="3586" width="22.8984375" style="16" customWidth="1"/>
    <col min="3587" max="3587" width="4.5" style="16" customWidth="1"/>
    <col min="3588" max="3588" width="5.5" style="16" customWidth="1"/>
    <col min="3589" max="3589" width="9.5" style="16" customWidth="1"/>
    <col min="3590" max="3590" width="5.19921875" style="16" customWidth="1"/>
    <col min="3591" max="3591" width="10.59765625" style="16" customWidth="1"/>
    <col min="3592" max="3592" width="7.59765625" style="16" customWidth="1"/>
    <col min="3593" max="3832" width="0" style="16" hidden="1" customWidth="1"/>
    <col min="3833" max="3833" width="8.09765625" style="16" customWidth="1"/>
    <col min="3834" max="3834" width="3" style="16" customWidth="1"/>
    <col min="3835" max="3835" width="5.5" style="16" customWidth="1"/>
    <col min="3836" max="3836" width="3.5" style="16" customWidth="1"/>
    <col min="3837" max="3837" width="7.5" style="16" customWidth="1"/>
    <col min="3838" max="3838" width="9.765625E-2" style="16" customWidth="1"/>
    <col min="3839" max="3839" width="0.5" style="16" customWidth="1"/>
    <col min="3840" max="3840" width="36.09765625" style="16"/>
    <col min="3841" max="3841" width="3.59765625" style="16" customWidth="1"/>
    <col min="3842" max="3842" width="22.8984375" style="16" customWidth="1"/>
    <col min="3843" max="3843" width="4.5" style="16" customWidth="1"/>
    <col min="3844" max="3844" width="5.5" style="16" customWidth="1"/>
    <col min="3845" max="3845" width="9.5" style="16" customWidth="1"/>
    <col min="3846" max="3846" width="5.19921875" style="16" customWidth="1"/>
    <col min="3847" max="3847" width="10.59765625" style="16" customWidth="1"/>
    <col min="3848" max="3848" width="7.59765625" style="16" customWidth="1"/>
    <col min="3849" max="4088" width="0" style="16" hidden="1" customWidth="1"/>
    <col min="4089" max="4089" width="8.09765625" style="16" customWidth="1"/>
    <col min="4090" max="4090" width="3" style="16" customWidth="1"/>
    <col min="4091" max="4091" width="5.5" style="16" customWidth="1"/>
    <col min="4092" max="4092" width="3.5" style="16" customWidth="1"/>
    <col min="4093" max="4093" width="7.5" style="16" customWidth="1"/>
    <col min="4094" max="4094" width="9.765625E-2" style="16" customWidth="1"/>
    <col min="4095" max="4095" width="0.5" style="16" customWidth="1"/>
    <col min="4096" max="4096" width="36.09765625" style="16"/>
    <col min="4097" max="4097" width="3.59765625" style="16" customWidth="1"/>
    <col min="4098" max="4098" width="22.8984375" style="16" customWidth="1"/>
    <col min="4099" max="4099" width="4.5" style="16" customWidth="1"/>
    <col min="4100" max="4100" width="5.5" style="16" customWidth="1"/>
    <col min="4101" max="4101" width="9.5" style="16" customWidth="1"/>
    <col min="4102" max="4102" width="5.19921875" style="16" customWidth="1"/>
    <col min="4103" max="4103" width="10.59765625" style="16" customWidth="1"/>
    <col min="4104" max="4104" width="7.59765625" style="16" customWidth="1"/>
    <col min="4105" max="4344" width="0" style="16" hidden="1" customWidth="1"/>
    <col min="4345" max="4345" width="8.09765625" style="16" customWidth="1"/>
    <col min="4346" max="4346" width="3" style="16" customWidth="1"/>
    <col min="4347" max="4347" width="5.5" style="16" customWidth="1"/>
    <col min="4348" max="4348" width="3.5" style="16" customWidth="1"/>
    <col min="4349" max="4349" width="7.5" style="16" customWidth="1"/>
    <col min="4350" max="4350" width="9.765625E-2" style="16" customWidth="1"/>
    <col min="4351" max="4351" width="0.5" style="16" customWidth="1"/>
    <col min="4352" max="4352" width="36.09765625" style="16"/>
    <col min="4353" max="4353" width="3.59765625" style="16" customWidth="1"/>
    <col min="4354" max="4354" width="22.8984375" style="16" customWidth="1"/>
    <col min="4355" max="4355" width="4.5" style="16" customWidth="1"/>
    <col min="4356" max="4356" width="5.5" style="16" customWidth="1"/>
    <col min="4357" max="4357" width="9.5" style="16" customWidth="1"/>
    <col min="4358" max="4358" width="5.19921875" style="16" customWidth="1"/>
    <col min="4359" max="4359" width="10.59765625" style="16" customWidth="1"/>
    <col min="4360" max="4360" width="7.59765625" style="16" customWidth="1"/>
    <col min="4361" max="4600" width="0" style="16" hidden="1" customWidth="1"/>
    <col min="4601" max="4601" width="8.09765625" style="16" customWidth="1"/>
    <col min="4602" max="4602" width="3" style="16" customWidth="1"/>
    <col min="4603" max="4603" width="5.5" style="16" customWidth="1"/>
    <col min="4604" max="4604" width="3.5" style="16" customWidth="1"/>
    <col min="4605" max="4605" width="7.5" style="16" customWidth="1"/>
    <col min="4606" max="4606" width="9.765625E-2" style="16" customWidth="1"/>
    <col min="4607" max="4607" width="0.5" style="16" customWidth="1"/>
    <col min="4608" max="4608" width="36.09765625" style="16"/>
    <col min="4609" max="4609" width="3.59765625" style="16" customWidth="1"/>
    <col min="4610" max="4610" width="22.8984375" style="16" customWidth="1"/>
    <col min="4611" max="4611" width="4.5" style="16" customWidth="1"/>
    <col min="4612" max="4612" width="5.5" style="16" customWidth="1"/>
    <col min="4613" max="4613" width="9.5" style="16" customWidth="1"/>
    <col min="4614" max="4614" width="5.19921875" style="16" customWidth="1"/>
    <col min="4615" max="4615" width="10.59765625" style="16" customWidth="1"/>
    <col min="4616" max="4616" width="7.59765625" style="16" customWidth="1"/>
    <col min="4617" max="4856" width="0" style="16" hidden="1" customWidth="1"/>
    <col min="4857" max="4857" width="8.09765625" style="16" customWidth="1"/>
    <col min="4858" max="4858" width="3" style="16" customWidth="1"/>
    <col min="4859" max="4859" width="5.5" style="16" customWidth="1"/>
    <col min="4860" max="4860" width="3.5" style="16" customWidth="1"/>
    <col min="4861" max="4861" width="7.5" style="16" customWidth="1"/>
    <col min="4862" max="4862" width="9.765625E-2" style="16" customWidth="1"/>
    <col min="4863" max="4863" width="0.5" style="16" customWidth="1"/>
    <col min="4864" max="4864" width="36.09765625" style="16"/>
    <col min="4865" max="4865" width="3.59765625" style="16" customWidth="1"/>
    <col min="4866" max="4866" width="22.8984375" style="16" customWidth="1"/>
    <col min="4867" max="4867" width="4.5" style="16" customWidth="1"/>
    <col min="4868" max="4868" width="5.5" style="16" customWidth="1"/>
    <col min="4869" max="4869" width="9.5" style="16" customWidth="1"/>
    <col min="4870" max="4870" width="5.19921875" style="16" customWidth="1"/>
    <col min="4871" max="4871" width="10.59765625" style="16" customWidth="1"/>
    <col min="4872" max="4872" width="7.59765625" style="16" customWidth="1"/>
    <col min="4873" max="5112" width="0" style="16" hidden="1" customWidth="1"/>
    <col min="5113" max="5113" width="8.09765625" style="16" customWidth="1"/>
    <col min="5114" max="5114" width="3" style="16" customWidth="1"/>
    <col min="5115" max="5115" width="5.5" style="16" customWidth="1"/>
    <col min="5116" max="5116" width="3.5" style="16" customWidth="1"/>
    <col min="5117" max="5117" width="7.5" style="16" customWidth="1"/>
    <col min="5118" max="5118" width="9.765625E-2" style="16" customWidth="1"/>
    <col min="5119" max="5119" width="0.5" style="16" customWidth="1"/>
    <col min="5120" max="5120" width="36.09765625" style="16"/>
    <col min="5121" max="5121" width="3.59765625" style="16" customWidth="1"/>
    <col min="5122" max="5122" width="22.8984375" style="16" customWidth="1"/>
    <col min="5123" max="5123" width="4.5" style="16" customWidth="1"/>
    <col min="5124" max="5124" width="5.5" style="16" customWidth="1"/>
    <col min="5125" max="5125" width="9.5" style="16" customWidth="1"/>
    <col min="5126" max="5126" width="5.19921875" style="16" customWidth="1"/>
    <col min="5127" max="5127" width="10.59765625" style="16" customWidth="1"/>
    <col min="5128" max="5128" width="7.59765625" style="16" customWidth="1"/>
    <col min="5129" max="5368" width="0" style="16" hidden="1" customWidth="1"/>
    <col min="5369" max="5369" width="8.09765625" style="16" customWidth="1"/>
    <col min="5370" max="5370" width="3" style="16" customWidth="1"/>
    <col min="5371" max="5371" width="5.5" style="16" customWidth="1"/>
    <col min="5372" max="5372" width="3.5" style="16" customWidth="1"/>
    <col min="5373" max="5373" width="7.5" style="16" customWidth="1"/>
    <col min="5374" max="5374" width="9.765625E-2" style="16" customWidth="1"/>
    <col min="5375" max="5375" width="0.5" style="16" customWidth="1"/>
    <col min="5376" max="5376" width="36.09765625" style="16"/>
    <col min="5377" max="5377" width="3.59765625" style="16" customWidth="1"/>
    <col min="5378" max="5378" width="22.8984375" style="16" customWidth="1"/>
    <col min="5379" max="5379" width="4.5" style="16" customWidth="1"/>
    <col min="5380" max="5380" width="5.5" style="16" customWidth="1"/>
    <col min="5381" max="5381" width="9.5" style="16" customWidth="1"/>
    <col min="5382" max="5382" width="5.19921875" style="16" customWidth="1"/>
    <col min="5383" max="5383" width="10.59765625" style="16" customWidth="1"/>
    <col min="5384" max="5384" width="7.59765625" style="16" customWidth="1"/>
    <col min="5385" max="5624" width="0" style="16" hidden="1" customWidth="1"/>
    <col min="5625" max="5625" width="8.09765625" style="16" customWidth="1"/>
    <col min="5626" max="5626" width="3" style="16" customWidth="1"/>
    <col min="5627" max="5627" width="5.5" style="16" customWidth="1"/>
    <col min="5628" max="5628" width="3.5" style="16" customWidth="1"/>
    <col min="5629" max="5629" width="7.5" style="16" customWidth="1"/>
    <col min="5630" max="5630" width="9.765625E-2" style="16" customWidth="1"/>
    <col min="5631" max="5631" width="0.5" style="16" customWidth="1"/>
    <col min="5632" max="5632" width="36.09765625" style="16"/>
    <col min="5633" max="5633" width="3.59765625" style="16" customWidth="1"/>
    <col min="5634" max="5634" width="22.8984375" style="16" customWidth="1"/>
    <col min="5635" max="5635" width="4.5" style="16" customWidth="1"/>
    <col min="5636" max="5636" width="5.5" style="16" customWidth="1"/>
    <col min="5637" max="5637" width="9.5" style="16" customWidth="1"/>
    <col min="5638" max="5638" width="5.19921875" style="16" customWidth="1"/>
    <col min="5639" max="5639" width="10.59765625" style="16" customWidth="1"/>
    <col min="5640" max="5640" width="7.59765625" style="16" customWidth="1"/>
    <col min="5641" max="5880" width="0" style="16" hidden="1" customWidth="1"/>
    <col min="5881" max="5881" width="8.09765625" style="16" customWidth="1"/>
    <col min="5882" max="5882" width="3" style="16" customWidth="1"/>
    <col min="5883" max="5883" width="5.5" style="16" customWidth="1"/>
    <col min="5884" max="5884" width="3.5" style="16" customWidth="1"/>
    <col min="5885" max="5885" width="7.5" style="16" customWidth="1"/>
    <col min="5886" max="5886" width="9.765625E-2" style="16" customWidth="1"/>
    <col min="5887" max="5887" width="0.5" style="16" customWidth="1"/>
    <col min="5888" max="5888" width="36.09765625" style="16"/>
    <col min="5889" max="5889" width="3.59765625" style="16" customWidth="1"/>
    <col min="5890" max="5890" width="22.8984375" style="16" customWidth="1"/>
    <col min="5891" max="5891" width="4.5" style="16" customWidth="1"/>
    <col min="5892" max="5892" width="5.5" style="16" customWidth="1"/>
    <col min="5893" max="5893" width="9.5" style="16" customWidth="1"/>
    <col min="5894" max="5894" width="5.19921875" style="16" customWidth="1"/>
    <col min="5895" max="5895" width="10.59765625" style="16" customWidth="1"/>
    <col min="5896" max="5896" width="7.59765625" style="16" customWidth="1"/>
    <col min="5897" max="6136" width="0" style="16" hidden="1" customWidth="1"/>
    <col min="6137" max="6137" width="8.09765625" style="16" customWidth="1"/>
    <col min="6138" max="6138" width="3" style="16" customWidth="1"/>
    <col min="6139" max="6139" width="5.5" style="16" customWidth="1"/>
    <col min="6140" max="6140" width="3.5" style="16" customWidth="1"/>
    <col min="6141" max="6141" width="7.5" style="16" customWidth="1"/>
    <col min="6142" max="6142" width="9.765625E-2" style="16" customWidth="1"/>
    <col min="6143" max="6143" width="0.5" style="16" customWidth="1"/>
    <col min="6144" max="6144" width="36.09765625" style="16"/>
    <col min="6145" max="6145" width="3.59765625" style="16" customWidth="1"/>
    <col min="6146" max="6146" width="22.8984375" style="16" customWidth="1"/>
    <col min="6147" max="6147" width="4.5" style="16" customWidth="1"/>
    <col min="6148" max="6148" width="5.5" style="16" customWidth="1"/>
    <col min="6149" max="6149" width="9.5" style="16" customWidth="1"/>
    <col min="6150" max="6150" width="5.19921875" style="16" customWidth="1"/>
    <col min="6151" max="6151" width="10.59765625" style="16" customWidth="1"/>
    <col min="6152" max="6152" width="7.59765625" style="16" customWidth="1"/>
    <col min="6153" max="6392" width="0" style="16" hidden="1" customWidth="1"/>
    <col min="6393" max="6393" width="8.09765625" style="16" customWidth="1"/>
    <col min="6394" max="6394" width="3" style="16" customWidth="1"/>
    <col min="6395" max="6395" width="5.5" style="16" customWidth="1"/>
    <col min="6396" max="6396" width="3.5" style="16" customWidth="1"/>
    <col min="6397" max="6397" width="7.5" style="16" customWidth="1"/>
    <col min="6398" max="6398" width="9.765625E-2" style="16" customWidth="1"/>
    <col min="6399" max="6399" width="0.5" style="16" customWidth="1"/>
    <col min="6400" max="6400" width="36.09765625" style="16"/>
    <col min="6401" max="6401" width="3.59765625" style="16" customWidth="1"/>
    <col min="6402" max="6402" width="22.8984375" style="16" customWidth="1"/>
    <col min="6403" max="6403" width="4.5" style="16" customWidth="1"/>
    <col min="6404" max="6404" width="5.5" style="16" customWidth="1"/>
    <col min="6405" max="6405" width="9.5" style="16" customWidth="1"/>
    <col min="6406" max="6406" width="5.19921875" style="16" customWidth="1"/>
    <col min="6407" max="6407" width="10.59765625" style="16" customWidth="1"/>
    <col min="6408" max="6408" width="7.59765625" style="16" customWidth="1"/>
    <col min="6409" max="6648" width="0" style="16" hidden="1" customWidth="1"/>
    <col min="6649" max="6649" width="8.09765625" style="16" customWidth="1"/>
    <col min="6650" max="6650" width="3" style="16" customWidth="1"/>
    <col min="6651" max="6651" width="5.5" style="16" customWidth="1"/>
    <col min="6652" max="6652" width="3.5" style="16" customWidth="1"/>
    <col min="6653" max="6653" width="7.5" style="16" customWidth="1"/>
    <col min="6654" max="6654" width="9.765625E-2" style="16" customWidth="1"/>
    <col min="6655" max="6655" width="0.5" style="16" customWidth="1"/>
    <col min="6656" max="6656" width="36.09765625" style="16"/>
    <col min="6657" max="6657" width="3.59765625" style="16" customWidth="1"/>
    <col min="6658" max="6658" width="22.8984375" style="16" customWidth="1"/>
    <col min="6659" max="6659" width="4.5" style="16" customWidth="1"/>
    <col min="6660" max="6660" width="5.5" style="16" customWidth="1"/>
    <col min="6661" max="6661" width="9.5" style="16" customWidth="1"/>
    <col min="6662" max="6662" width="5.19921875" style="16" customWidth="1"/>
    <col min="6663" max="6663" width="10.59765625" style="16" customWidth="1"/>
    <col min="6664" max="6664" width="7.59765625" style="16" customWidth="1"/>
    <col min="6665" max="6904" width="0" style="16" hidden="1" customWidth="1"/>
    <col min="6905" max="6905" width="8.09765625" style="16" customWidth="1"/>
    <col min="6906" max="6906" width="3" style="16" customWidth="1"/>
    <col min="6907" max="6907" width="5.5" style="16" customWidth="1"/>
    <col min="6908" max="6908" width="3.5" style="16" customWidth="1"/>
    <col min="6909" max="6909" width="7.5" style="16" customWidth="1"/>
    <col min="6910" max="6910" width="9.765625E-2" style="16" customWidth="1"/>
    <col min="6911" max="6911" width="0.5" style="16" customWidth="1"/>
    <col min="6912" max="6912" width="36.09765625" style="16"/>
    <col min="6913" max="6913" width="3.59765625" style="16" customWidth="1"/>
    <col min="6914" max="6914" width="22.8984375" style="16" customWidth="1"/>
    <col min="6915" max="6915" width="4.5" style="16" customWidth="1"/>
    <col min="6916" max="6916" width="5.5" style="16" customWidth="1"/>
    <col min="6917" max="6917" width="9.5" style="16" customWidth="1"/>
    <col min="6918" max="6918" width="5.19921875" style="16" customWidth="1"/>
    <col min="6919" max="6919" width="10.59765625" style="16" customWidth="1"/>
    <col min="6920" max="6920" width="7.59765625" style="16" customWidth="1"/>
    <col min="6921" max="7160" width="0" style="16" hidden="1" customWidth="1"/>
    <col min="7161" max="7161" width="8.09765625" style="16" customWidth="1"/>
    <col min="7162" max="7162" width="3" style="16" customWidth="1"/>
    <col min="7163" max="7163" width="5.5" style="16" customWidth="1"/>
    <col min="7164" max="7164" width="3.5" style="16" customWidth="1"/>
    <col min="7165" max="7165" width="7.5" style="16" customWidth="1"/>
    <col min="7166" max="7166" width="9.765625E-2" style="16" customWidth="1"/>
    <col min="7167" max="7167" width="0.5" style="16" customWidth="1"/>
    <col min="7168" max="7168" width="36.09765625" style="16"/>
    <col min="7169" max="7169" width="3.59765625" style="16" customWidth="1"/>
    <col min="7170" max="7170" width="22.8984375" style="16" customWidth="1"/>
    <col min="7171" max="7171" width="4.5" style="16" customWidth="1"/>
    <col min="7172" max="7172" width="5.5" style="16" customWidth="1"/>
    <col min="7173" max="7173" width="9.5" style="16" customWidth="1"/>
    <col min="7174" max="7174" width="5.19921875" style="16" customWidth="1"/>
    <col min="7175" max="7175" width="10.59765625" style="16" customWidth="1"/>
    <col min="7176" max="7176" width="7.59765625" style="16" customWidth="1"/>
    <col min="7177" max="7416" width="0" style="16" hidden="1" customWidth="1"/>
    <col min="7417" max="7417" width="8.09765625" style="16" customWidth="1"/>
    <col min="7418" max="7418" width="3" style="16" customWidth="1"/>
    <col min="7419" max="7419" width="5.5" style="16" customWidth="1"/>
    <col min="7420" max="7420" width="3.5" style="16" customWidth="1"/>
    <col min="7421" max="7421" width="7.5" style="16" customWidth="1"/>
    <col min="7422" max="7422" width="9.765625E-2" style="16" customWidth="1"/>
    <col min="7423" max="7423" width="0.5" style="16" customWidth="1"/>
    <col min="7424" max="7424" width="36.09765625" style="16"/>
    <col min="7425" max="7425" width="3.59765625" style="16" customWidth="1"/>
    <col min="7426" max="7426" width="22.8984375" style="16" customWidth="1"/>
    <col min="7427" max="7427" width="4.5" style="16" customWidth="1"/>
    <col min="7428" max="7428" width="5.5" style="16" customWidth="1"/>
    <col min="7429" max="7429" width="9.5" style="16" customWidth="1"/>
    <col min="7430" max="7430" width="5.19921875" style="16" customWidth="1"/>
    <col min="7431" max="7431" width="10.59765625" style="16" customWidth="1"/>
    <col min="7432" max="7432" width="7.59765625" style="16" customWidth="1"/>
    <col min="7433" max="7672" width="0" style="16" hidden="1" customWidth="1"/>
    <col min="7673" max="7673" width="8.09765625" style="16" customWidth="1"/>
    <col min="7674" max="7674" width="3" style="16" customWidth="1"/>
    <col min="7675" max="7675" width="5.5" style="16" customWidth="1"/>
    <col min="7676" max="7676" width="3.5" style="16" customWidth="1"/>
    <col min="7677" max="7677" width="7.5" style="16" customWidth="1"/>
    <col min="7678" max="7678" width="9.765625E-2" style="16" customWidth="1"/>
    <col min="7679" max="7679" width="0.5" style="16" customWidth="1"/>
    <col min="7680" max="7680" width="36.09765625" style="16"/>
    <col min="7681" max="7681" width="3.59765625" style="16" customWidth="1"/>
    <col min="7682" max="7682" width="22.8984375" style="16" customWidth="1"/>
    <col min="7683" max="7683" width="4.5" style="16" customWidth="1"/>
    <col min="7684" max="7684" width="5.5" style="16" customWidth="1"/>
    <col min="7685" max="7685" width="9.5" style="16" customWidth="1"/>
    <col min="7686" max="7686" width="5.19921875" style="16" customWidth="1"/>
    <col min="7687" max="7687" width="10.59765625" style="16" customWidth="1"/>
    <col min="7688" max="7688" width="7.59765625" style="16" customWidth="1"/>
    <col min="7689" max="7928" width="0" style="16" hidden="1" customWidth="1"/>
    <col min="7929" max="7929" width="8.09765625" style="16" customWidth="1"/>
    <col min="7930" max="7930" width="3" style="16" customWidth="1"/>
    <col min="7931" max="7931" width="5.5" style="16" customWidth="1"/>
    <col min="7932" max="7932" width="3.5" style="16" customWidth="1"/>
    <col min="7933" max="7933" width="7.5" style="16" customWidth="1"/>
    <col min="7934" max="7934" width="9.765625E-2" style="16" customWidth="1"/>
    <col min="7935" max="7935" width="0.5" style="16" customWidth="1"/>
    <col min="7936" max="7936" width="36.09765625" style="16"/>
    <col min="7937" max="7937" width="3.59765625" style="16" customWidth="1"/>
    <col min="7938" max="7938" width="22.8984375" style="16" customWidth="1"/>
    <col min="7939" max="7939" width="4.5" style="16" customWidth="1"/>
    <col min="7940" max="7940" width="5.5" style="16" customWidth="1"/>
    <col min="7941" max="7941" width="9.5" style="16" customWidth="1"/>
    <col min="7942" max="7942" width="5.19921875" style="16" customWidth="1"/>
    <col min="7943" max="7943" width="10.59765625" style="16" customWidth="1"/>
    <col min="7944" max="7944" width="7.59765625" style="16" customWidth="1"/>
    <col min="7945" max="8184" width="0" style="16" hidden="1" customWidth="1"/>
    <col min="8185" max="8185" width="8.09765625" style="16" customWidth="1"/>
    <col min="8186" max="8186" width="3" style="16" customWidth="1"/>
    <col min="8187" max="8187" width="5.5" style="16" customWidth="1"/>
    <col min="8188" max="8188" width="3.5" style="16" customWidth="1"/>
    <col min="8189" max="8189" width="7.5" style="16" customWidth="1"/>
    <col min="8190" max="8190" width="9.765625E-2" style="16" customWidth="1"/>
    <col min="8191" max="8191" width="0.5" style="16" customWidth="1"/>
    <col min="8192" max="8192" width="36.09765625" style="16"/>
    <col min="8193" max="8193" width="3.59765625" style="16" customWidth="1"/>
    <col min="8194" max="8194" width="22.8984375" style="16" customWidth="1"/>
    <col min="8195" max="8195" width="4.5" style="16" customWidth="1"/>
    <col min="8196" max="8196" width="5.5" style="16" customWidth="1"/>
    <col min="8197" max="8197" width="9.5" style="16" customWidth="1"/>
    <col min="8198" max="8198" width="5.19921875" style="16" customWidth="1"/>
    <col min="8199" max="8199" width="10.59765625" style="16" customWidth="1"/>
    <col min="8200" max="8200" width="7.59765625" style="16" customWidth="1"/>
    <col min="8201" max="8440" width="0" style="16" hidden="1" customWidth="1"/>
    <col min="8441" max="8441" width="8.09765625" style="16" customWidth="1"/>
    <col min="8442" max="8442" width="3" style="16" customWidth="1"/>
    <col min="8443" max="8443" width="5.5" style="16" customWidth="1"/>
    <col min="8444" max="8444" width="3.5" style="16" customWidth="1"/>
    <col min="8445" max="8445" width="7.5" style="16" customWidth="1"/>
    <col min="8446" max="8446" width="9.765625E-2" style="16" customWidth="1"/>
    <col min="8447" max="8447" width="0.5" style="16" customWidth="1"/>
    <col min="8448" max="8448" width="36.09765625" style="16"/>
    <col min="8449" max="8449" width="3.59765625" style="16" customWidth="1"/>
    <col min="8450" max="8450" width="22.8984375" style="16" customWidth="1"/>
    <col min="8451" max="8451" width="4.5" style="16" customWidth="1"/>
    <col min="8452" max="8452" width="5.5" style="16" customWidth="1"/>
    <col min="8453" max="8453" width="9.5" style="16" customWidth="1"/>
    <col min="8454" max="8454" width="5.19921875" style="16" customWidth="1"/>
    <col min="8455" max="8455" width="10.59765625" style="16" customWidth="1"/>
    <col min="8456" max="8456" width="7.59765625" style="16" customWidth="1"/>
    <col min="8457" max="8696" width="0" style="16" hidden="1" customWidth="1"/>
    <col min="8697" max="8697" width="8.09765625" style="16" customWidth="1"/>
    <col min="8698" max="8698" width="3" style="16" customWidth="1"/>
    <col min="8699" max="8699" width="5.5" style="16" customWidth="1"/>
    <col min="8700" max="8700" width="3.5" style="16" customWidth="1"/>
    <col min="8701" max="8701" width="7.5" style="16" customWidth="1"/>
    <col min="8702" max="8702" width="9.765625E-2" style="16" customWidth="1"/>
    <col min="8703" max="8703" width="0.5" style="16" customWidth="1"/>
    <col min="8704" max="8704" width="36.09765625" style="16"/>
    <col min="8705" max="8705" width="3.59765625" style="16" customWidth="1"/>
    <col min="8706" max="8706" width="22.8984375" style="16" customWidth="1"/>
    <col min="8707" max="8707" width="4.5" style="16" customWidth="1"/>
    <col min="8708" max="8708" width="5.5" style="16" customWidth="1"/>
    <col min="8709" max="8709" width="9.5" style="16" customWidth="1"/>
    <col min="8710" max="8710" width="5.19921875" style="16" customWidth="1"/>
    <col min="8711" max="8711" width="10.59765625" style="16" customWidth="1"/>
    <col min="8712" max="8712" width="7.59765625" style="16" customWidth="1"/>
    <col min="8713" max="8952" width="0" style="16" hidden="1" customWidth="1"/>
    <col min="8953" max="8953" width="8.09765625" style="16" customWidth="1"/>
    <col min="8954" max="8954" width="3" style="16" customWidth="1"/>
    <col min="8955" max="8955" width="5.5" style="16" customWidth="1"/>
    <col min="8956" max="8956" width="3.5" style="16" customWidth="1"/>
    <col min="8957" max="8957" width="7.5" style="16" customWidth="1"/>
    <col min="8958" max="8958" width="9.765625E-2" style="16" customWidth="1"/>
    <col min="8959" max="8959" width="0.5" style="16" customWidth="1"/>
    <col min="8960" max="8960" width="36.09765625" style="16"/>
    <col min="8961" max="8961" width="3.59765625" style="16" customWidth="1"/>
    <col min="8962" max="8962" width="22.8984375" style="16" customWidth="1"/>
    <col min="8963" max="8963" width="4.5" style="16" customWidth="1"/>
    <col min="8964" max="8964" width="5.5" style="16" customWidth="1"/>
    <col min="8965" max="8965" width="9.5" style="16" customWidth="1"/>
    <col min="8966" max="8966" width="5.19921875" style="16" customWidth="1"/>
    <col min="8967" max="8967" width="10.59765625" style="16" customWidth="1"/>
    <col min="8968" max="8968" width="7.59765625" style="16" customWidth="1"/>
    <col min="8969" max="9208" width="0" style="16" hidden="1" customWidth="1"/>
    <col min="9209" max="9209" width="8.09765625" style="16" customWidth="1"/>
    <col min="9210" max="9210" width="3" style="16" customWidth="1"/>
    <col min="9211" max="9211" width="5.5" style="16" customWidth="1"/>
    <col min="9212" max="9212" width="3.5" style="16" customWidth="1"/>
    <col min="9213" max="9213" width="7.5" style="16" customWidth="1"/>
    <col min="9214" max="9214" width="9.765625E-2" style="16" customWidth="1"/>
    <col min="9215" max="9215" width="0.5" style="16" customWidth="1"/>
    <col min="9216" max="9216" width="36.09765625" style="16"/>
    <col min="9217" max="9217" width="3.59765625" style="16" customWidth="1"/>
    <col min="9218" max="9218" width="22.8984375" style="16" customWidth="1"/>
    <col min="9219" max="9219" width="4.5" style="16" customWidth="1"/>
    <col min="9220" max="9220" width="5.5" style="16" customWidth="1"/>
    <col min="9221" max="9221" width="9.5" style="16" customWidth="1"/>
    <col min="9222" max="9222" width="5.19921875" style="16" customWidth="1"/>
    <col min="9223" max="9223" width="10.59765625" style="16" customWidth="1"/>
    <col min="9224" max="9224" width="7.59765625" style="16" customWidth="1"/>
    <col min="9225" max="9464" width="0" style="16" hidden="1" customWidth="1"/>
    <col min="9465" max="9465" width="8.09765625" style="16" customWidth="1"/>
    <col min="9466" max="9466" width="3" style="16" customWidth="1"/>
    <col min="9467" max="9467" width="5.5" style="16" customWidth="1"/>
    <col min="9468" max="9468" width="3.5" style="16" customWidth="1"/>
    <col min="9469" max="9469" width="7.5" style="16" customWidth="1"/>
    <col min="9470" max="9470" width="9.765625E-2" style="16" customWidth="1"/>
    <col min="9471" max="9471" width="0.5" style="16" customWidth="1"/>
    <col min="9472" max="9472" width="36.09765625" style="16"/>
    <col min="9473" max="9473" width="3.59765625" style="16" customWidth="1"/>
    <col min="9474" max="9474" width="22.8984375" style="16" customWidth="1"/>
    <col min="9475" max="9475" width="4.5" style="16" customWidth="1"/>
    <col min="9476" max="9476" width="5.5" style="16" customWidth="1"/>
    <col min="9477" max="9477" width="9.5" style="16" customWidth="1"/>
    <col min="9478" max="9478" width="5.19921875" style="16" customWidth="1"/>
    <col min="9479" max="9479" width="10.59765625" style="16" customWidth="1"/>
    <col min="9480" max="9480" width="7.59765625" style="16" customWidth="1"/>
    <col min="9481" max="9720" width="0" style="16" hidden="1" customWidth="1"/>
    <col min="9721" max="9721" width="8.09765625" style="16" customWidth="1"/>
    <col min="9722" max="9722" width="3" style="16" customWidth="1"/>
    <col min="9723" max="9723" width="5.5" style="16" customWidth="1"/>
    <col min="9724" max="9724" width="3.5" style="16" customWidth="1"/>
    <col min="9725" max="9725" width="7.5" style="16" customWidth="1"/>
    <col min="9726" max="9726" width="9.765625E-2" style="16" customWidth="1"/>
    <col min="9727" max="9727" width="0.5" style="16" customWidth="1"/>
    <col min="9728" max="9728" width="36.09765625" style="16"/>
    <col min="9729" max="9729" width="3.59765625" style="16" customWidth="1"/>
    <col min="9730" max="9730" width="22.8984375" style="16" customWidth="1"/>
    <col min="9731" max="9731" width="4.5" style="16" customWidth="1"/>
    <col min="9732" max="9732" width="5.5" style="16" customWidth="1"/>
    <col min="9733" max="9733" width="9.5" style="16" customWidth="1"/>
    <col min="9734" max="9734" width="5.19921875" style="16" customWidth="1"/>
    <col min="9735" max="9735" width="10.59765625" style="16" customWidth="1"/>
    <col min="9736" max="9736" width="7.59765625" style="16" customWidth="1"/>
    <col min="9737" max="9976" width="0" style="16" hidden="1" customWidth="1"/>
    <col min="9977" max="9977" width="8.09765625" style="16" customWidth="1"/>
    <col min="9978" max="9978" width="3" style="16" customWidth="1"/>
    <col min="9979" max="9979" width="5.5" style="16" customWidth="1"/>
    <col min="9980" max="9980" width="3.5" style="16" customWidth="1"/>
    <col min="9981" max="9981" width="7.5" style="16" customWidth="1"/>
    <col min="9982" max="9982" width="9.765625E-2" style="16" customWidth="1"/>
    <col min="9983" max="9983" width="0.5" style="16" customWidth="1"/>
    <col min="9984" max="9984" width="36.09765625" style="16"/>
    <col min="9985" max="9985" width="3.59765625" style="16" customWidth="1"/>
    <col min="9986" max="9986" width="22.8984375" style="16" customWidth="1"/>
    <col min="9987" max="9987" width="4.5" style="16" customWidth="1"/>
    <col min="9988" max="9988" width="5.5" style="16" customWidth="1"/>
    <col min="9989" max="9989" width="9.5" style="16" customWidth="1"/>
    <col min="9990" max="9990" width="5.19921875" style="16" customWidth="1"/>
    <col min="9991" max="9991" width="10.59765625" style="16" customWidth="1"/>
    <col min="9992" max="9992" width="7.59765625" style="16" customWidth="1"/>
    <col min="9993" max="10232" width="0" style="16" hidden="1" customWidth="1"/>
    <col min="10233" max="10233" width="8.09765625" style="16" customWidth="1"/>
    <col min="10234" max="10234" width="3" style="16" customWidth="1"/>
    <col min="10235" max="10235" width="5.5" style="16" customWidth="1"/>
    <col min="10236" max="10236" width="3.5" style="16" customWidth="1"/>
    <col min="10237" max="10237" width="7.5" style="16" customWidth="1"/>
    <col min="10238" max="10238" width="9.765625E-2" style="16" customWidth="1"/>
    <col min="10239" max="10239" width="0.5" style="16" customWidth="1"/>
    <col min="10240" max="10240" width="36.09765625" style="16"/>
    <col min="10241" max="10241" width="3.59765625" style="16" customWidth="1"/>
    <col min="10242" max="10242" width="22.8984375" style="16" customWidth="1"/>
    <col min="10243" max="10243" width="4.5" style="16" customWidth="1"/>
    <col min="10244" max="10244" width="5.5" style="16" customWidth="1"/>
    <col min="10245" max="10245" width="9.5" style="16" customWidth="1"/>
    <col min="10246" max="10246" width="5.19921875" style="16" customWidth="1"/>
    <col min="10247" max="10247" width="10.59765625" style="16" customWidth="1"/>
    <col min="10248" max="10248" width="7.59765625" style="16" customWidth="1"/>
    <col min="10249" max="10488" width="0" style="16" hidden="1" customWidth="1"/>
    <col min="10489" max="10489" width="8.09765625" style="16" customWidth="1"/>
    <col min="10490" max="10490" width="3" style="16" customWidth="1"/>
    <col min="10491" max="10491" width="5.5" style="16" customWidth="1"/>
    <col min="10492" max="10492" width="3.5" style="16" customWidth="1"/>
    <col min="10493" max="10493" width="7.5" style="16" customWidth="1"/>
    <col min="10494" max="10494" width="9.765625E-2" style="16" customWidth="1"/>
    <col min="10495" max="10495" width="0.5" style="16" customWidth="1"/>
    <col min="10496" max="10496" width="36.09765625" style="16"/>
    <col min="10497" max="10497" width="3.59765625" style="16" customWidth="1"/>
    <col min="10498" max="10498" width="22.8984375" style="16" customWidth="1"/>
    <col min="10499" max="10499" width="4.5" style="16" customWidth="1"/>
    <col min="10500" max="10500" width="5.5" style="16" customWidth="1"/>
    <col min="10501" max="10501" width="9.5" style="16" customWidth="1"/>
    <col min="10502" max="10502" width="5.19921875" style="16" customWidth="1"/>
    <col min="10503" max="10503" width="10.59765625" style="16" customWidth="1"/>
    <col min="10504" max="10504" width="7.59765625" style="16" customWidth="1"/>
    <col min="10505" max="10744" width="0" style="16" hidden="1" customWidth="1"/>
    <col min="10745" max="10745" width="8.09765625" style="16" customWidth="1"/>
    <col min="10746" max="10746" width="3" style="16" customWidth="1"/>
    <col min="10747" max="10747" width="5.5" style="16" customWidth="1"/>
    <col min="10748" max="10748" width="3.5" style="16" customWidth="1"/>
    <col min="10749" max="10749" width="7.5" style="16" customWidth="1"/>
    <col min="10750" max="10750" width="9.765625E-2" style="16" customWidth="1"/>
    <col min="10751" max="10751" width="0.5" style="16" customWidth="1"/>
    <col min="10752" max="10752" width="36.09765625" style="16"/>
    <col min="10753" max="10753" width="3.59765625" style="16" customWidth="1"/>
    <col min="10754" max="10754" width="22.8984375" style="16" customWidth="1"/>
    <col min="10755" max="10755" width="4.5" style="16" customWidth="1"/>
    <col min="10756" max="10756" width="5.5" style="16" customWidth="1"/>
    <col min="10757" max="10757" width="9.5" style="16" customWidth="1"/>
    <col min="10758" max="10758" width="5.19921875" style="16" customWidth="1"/>
    <col min="10759" max="10759" width="10.59765625" style="16" customWidth="1"/>
    <col min="10760" max="10760" width="7.59765625" style="16" customWidth="1"/>
    <col min="10761" max="11000" width="0" style="16" hidden="1" customWidth="1"/>
    <col min="11001" max="11001" width="8.09765625" style="16" customWidth="1"/>
    <col min="11002" max="11002" width="3" style="16" customWidth="1"/>
    <col min="11003" max="11003" width="5.5" style="16" customWidth="1"/>
    <col min="11004" max="11004" width="3.5" style="16" customWidth="1"/>
    <col min="11005" max="11005" width="7.5" style="16" customWidth="1"/>
    <col min="11006" max="11006" width="9.765625E-2" style="16" customWidth="1"/>
    <col min="11007" max="11007" width="0.5" style="16" customWidth="1"/>
    <col min="11008" max="11008" width="36.09765625" style="16"/>
    <col min="11009" max="11009" width="3.59765625" style="16" customWidth="1"/>
    <col min="11010" max="11010" width="22.8984375" style="16" customWidth="1"/>
    <col min="11011" max="11011" width="4.5" style="16" customWidth="1"/>
    <col min="11012" max="11012" width="5.5" style="16" customWidth="1"/>
    <col min="11013" max="11013" width="9.5" style="16" customWidth="1"/>
    <col min="11014" max="11014" width="5.19921875" style="16" customWidth="1"/>
    <col min="11015" max="11015" width="10.59765625" style="16" customWidth="1"/>
    <col min="11016" max="11016" width="7.59765625" style="16" customWidth="1"/>
    <col min="11017" max="11256" width="0" style="16" hidden="1" customWidth="1"/>
    <col min="11257" max="11257" width="8.09765625" style="16" customWidth="1"/>
    <col min="11258" max="11258" width="3" style="16" customWidth="1"/>
    <col min="11259" max="11259" width="5.5" style="16" customWidth="1"/>
    <col min="11260" max="11260" width="3.5" style="16" customWidth="1"/>
    <col min="11261" max="11261" width="7.5" style="16" customWidth="1"/>
    <col min="11262" max="11262" width="9.765625E-2" style="16" customWidth="1"/>
    <col min="11263" max="11263" width="0.5" style="16" customWidth="1"/>
    <col min="11264" max="11264" width="36.09765625" style="16"/>
    <col min="11265" max="11265" width="3.59765625" style="16" customWidth="1"/>
    <col min="11266" max="11266" width="22.8984375" style="16" customWidth="1"/>
    <col min="11267" max="11267" width="4.5" style="16" customWidth="1"/>
    <col min="11268" max="11268" width="5.5" style="16" customWidth="1"/>
    <col min="11269" max="11269" width="9.5" style="16" customWidth="1"/>
    <col min="11270" max="11270" width="5.19921875" style="16" customWidth="1"/>
    <col min="11271" max="11271" width="10.59765625" style="16" customWidth="1"/>
    <col min="11272" max="11272" width="7.59765625" style="16" customWidth="1"/>
    <col min="11273" max="11512" width="0" style="16" hidden="1" customWidth="1"/>
    <col min="11513" max="11513" width="8.09765625" style="16" customWidth="1"/>
    <col min="11514" max="11514" width="3" style="16" customWidth="1"/>
    <col min="11515" max="11515" width="5.5" style="16" customWidth="1"/>
    <col min="11516" max="11516" width="3.5" style="16" customWidth="1"/>
    <col min="11517" max="11517" width="7.5" style="16" customWidth="1"/>
    <col min="11518" max="11518" width="9.765625E-2" style="16" customWidth="1"/>
    <col min="11519" max="11519" width="0.5" style="16" customWidth="1"/>
    <col min="11520" max="11520" width="36.09765625" style="16"/>
    <col min="11521" max="11521" width="3.59765625" style="16" customWidth="1"/>
    <col min="11522" max="11522" width="22.8984375" style="16" customWidth="1"/>
    <col min="11523" max="11523" width="4.5" style="16" customWidth="1"/>
    <col min="11524" max="11524" width="5.5" style="16" customWidth="1"/>
    <col min="11525" max="11525" width="9.5" style="16" customWidth="1"/>
    <col min="11526" max="11526" width="5.19921875" style="16" customWidth="1"/>
    <col min="11527" max="11527" width="10.59765625" style="16" customWidth="1"/>
    <col min="11528" max="11528" width="7.59765625" style="16" customWidth="1"/>
    <col min="11529" max="11768" width="0" style="16" hidden="1" customWidth="1"/>
    <col min="11769" max="11769" width="8.09765625" style="16" customWidth="1"/>
    <col min="11770" max="11770" width="3" style="16" customWidth="1"/>
    <col min="11771" max="11771" width="5.5" style="16" customWidth="1"/>
    <col min="11772" max="11772" width="3.5" style="16" customWidth="1"/>
    <col min="11773" max="11773" width="7.5" style="16" customWidth="1"/>
    <col min="11774" max="11774" width="9.765625E-2" style="16" customWidth="1"/>
    <col min="11775" max="11775" width="0.5" style="16" customWidth="1"/>
    <col min="11776" max="11776" width="36.09765625" style="16"/>
    <col min="11777" max="11777" width="3.59765625" style="16" customWidth="1"/>
    <col min="11778" max="11778" width="22.8984375" style="16" customWidth="1"/>
    <col min="11779" max="11779" width="4.5" style="16" customWidth="1"/>
    <col min="11780" max="11780" width="5.5" style="16" customWidth="1"/>
    <col min="11781" max="11781" width="9.5" style="16" customWidth="1"/>
    <col min="11782" max="11782" width="5.19921875" style="16" customWidth="1"/>
    <col min="11783" max="11783" width="10.59765625" style="16" customWidth="1"/>
    <col min="11784" max="11784" width="7.59765625" style="16" customWidth="1"/>
    <col min="11785" max="12024" width="0" style="16" hidden="1" customWidth="1"/>
    <col min="12025" max="12025" width="8.09765625" style="16" customWidth="1"/>
    <col min="12026" max="12026" width="3" style="16" customWidth="1"/>
    <col min="12027" max="12027" width="5.5" style="16" customWidth="1"/>
    <col min="12028" max="12028" width="3.5" style="16" customWidth="1"/>
    <col min="12029" max="12029" width="7.5" style="16" customWidth="1"/>
    <col min="12030" max="12030" width="9.765625E-2" style="16" customWidth="1"/>
    <col min="12031" max="12031" width="0.5" style="16" customWidth="1"/>
    <col min="12032" max="12032" width="36.09765625" style="16"/>
    <col min="12033" max="12033" width="3.59765625" style="16" customWidth="1"/>
    <col min="12034" max="12034" width="22.8984375" style="16" customWidth="1"/>
    <col min="12035" max="12035" width="4.5" style="16" customWidth="1"/>
    <col min="12036" max="12036" width="5.5" style="16" customWidth="1"/>
    <col min="12037" max="12037" width="9.5" style="16" customWidth="1"/>
    <col min="12038" max="12038" width="5.19921875" style="16" customWidth="1"/>
    <col min="12039" max="12039" width="10.59765625" style="16" customWidth="1"/>
    <col min="12040" max="12040" width="7.59765625" style="16" customWidth="1"/>
    <col min="12041" max="12280" width="0" style="16" hidden="1" customWidth="1"/>
    <col min="12281" max="12281" width="8.09765625" style="16" customWidth="1"/>
    <col min="12282" max="12282" width="3" style="16" customWidth="1"/>
    <col min="12283" max="12283" width="5.5" style="16" customWidth="1"/>
    <col min="12284" max="12284" width="3.5" style="16" customWidth="1"/>
    <col min="12285" max="12285" width="7.5" style="16" customWidth="1"/>
    <col min="12286" max="12286" width="9.765625E-2" style="16" customWidth="1"/>
    <col min="12287" max="12287" width="0.5" style="16" customWidth="1"/>
    <col min="12288" max="12288" width="36.09765625" style="16"/>
    <col min="12289" max="12289" width="3.59765625" style="16" customWidth="1"/>
    <col min="12290" max="12290" width="22.8984375" style="16" customWidth="1"/>
    <col min="12291" max="12291" width="4.5" style="16" customWidth="1"/>
    <col min="12292" max="12292" width="5.5" style="16" customWidth="1"/>
    <col min="12293" max="12293" width="9.5" style="16" customWidth="1"/>
    <col min="12294" max="12294" width="5.19921875" style="16" customWidth="1"/>
    <col min="12295" max="12295" width="10.59765625" style="16" customWidth="1"/>
    <col min="12296" max="12296" width="7.59765625" style="16" customWidth="1"/>
    <col min="12297" max="12536" width="0" style="16" hidden="1" customWidth="1"/>
    <col min="12537" max="12537" width="8.09765625" style="16" customWidth="1"/>
    <col min="12538" max="12538" width="3" style="16" customWidth="1"/>
    <col min="12539" max="12539" width="5.5" style="16" customWidth="1"/>
    <col min="12540" max="12540" width="3.5" style="16" customWidth="1"/>
    <col min="12541" max="12541" width="7.5" style="16" customWidth="1"/>
    <col min="12542" max="12542" width="9.765625E-2" style="16" customWidth="1"/>
    <col min="12543" max="12543" width="0.5" style="16" customWidth="1"/>
    <col min="12544" max="12544" width="36.09765625" style="16"/>
    <col min="12545" max="12545" width="3.59765625" style="16" customWidth="1"/>
    <col min="12546" max="12546" width="22.8984375" style="16" customWidth="1"/>
    <col min="12547" max="12547" width="4.5" style="16" customWidth="1"/>
    <col min="12548" max="12548" width="5.5" style="16" customWidth="1"/>
    <col min="12549" max="12549" width="9.5" style="16" customWidth="1"/>
    <col min="12550" max="12550" width="5.19921875" style="16" customWidth="1"/>
    <col min="12551" max="12551" width="10.59765625" style="16" customWidth="1"/>
    <col min="12552" max="12552" width="7.59765625" style="16" customWidth="1"/>
    <col min="12553" max="12792" width="0" style="16" hidden="1" customWidth="1"/>
    <col min="12793" max="12793" width="8.09765625" style="16" customWidth="1"/>
    <col min="12794" max="12794" width="3" style="16" customWidth="1"/>
    <col min="12795" max="12795" width="5.5" style="16" customWidth="1"/>
    <col min="12796" max="12796" width="3.5" style="16" customWidth="1"/>
    <col min="12797" max="12797" width="7.5" style="16" customWidth="1"/>
    <col min="12798" max="12798" width="9.765625E-2" style="16" customWidth="1"/>
    <col min="12799" max="12799" width="0.5" style="16" customWidth="1"/>
    <col min="12800" max="12800" width="36.09765625" style="16"/>
    <col min="12801" max="12801" width="3.59765625" style="16" customWidth="1"/>
    <col min="12802" max="12802" width="22.8984375" style="16" customWidth="1"/>
    <col min="12803" max="12803" width="4.5" style="16" customWidth="1"/>
    <col min="12804" max="12804" width="5.5" style="16" customWidth="1"/>
    <col min="12805" max="12805" width="9.5" style="16" customWidth="1"/>
    <col min="12806" max="12806" width="5.19921875" style="16" customWidth="1"/>
    <col min="12807" max="12807" width="10.59765625" style="16" customWidth="1"/>
    <col min="12808" max="12808" width="7.59765625" style="16" customWidth="1"/>
    <col min="12809" max="13048" width="0" style="16" hidden="1" customWidth="1"/>
    <col min="13049" max="13049" width="8.09765625" style="16" customWidth="1"/>
    <col min="13050" max="13050" width="3" style="16" customWidth="1"/>
    <col min="13051" max="13051" width="5.5" style="16" customWidth="1"/>
    <col min="13052" max="13052" width="3.5" style="16" customWidth="1"/>
    <col min="13053" max="13053" width="7.5" style="16" customWidth="1"/>
    <col min="13054" max="13054" width="9.765625E-2" style="16" customWidth="1"/>
    <col min="13055" max="13055" width="0.5" style="16" customWidth="1"/>
    <col min="13056" max="13056" width="36.09765625" style="16"/>
    <col min="13057" max="13057" width="3.59765625" style="16" customWidth="1"/>
    <col min="13058" max="13058" width="22.8984375" style="16" customWidth="1"/>
    <col min="13059" max="13059" width="4.5" style="16" customWidth="1"/>
    <col min="13060" max="13060" width="5.5" style="16" customWidth="1"/>
    <col min="13061" max="13061" width="9.5" style="16" customWidth="1"/>
    <col min="13062" max="13062" width="5.19921875" style="16" customWidth="1"/>
    <col min="13063" max="13063" width="10.59765625" style="16" customWidth="1"/>
    <col min="13064" max="13064" width="7.59765625" style="16" customWidth="1"/>
    <col min="13065" max="13304" width="0" style="16" hidden="1" customWidth="1"/>
    <col min="13305" max="13305" width="8.09765625" style="16" customWidth="1"/>
    <col min="13306" max="13306" width="3" style="16" customWidth="1"/>
    <col min="13307" max="13307" width="5.5" style="16" customWidth="1"/>
    <col min="13308" max="13308" width="3.5" style="16" customWidth="1"/>
    <col min="13309" max="13309" width="7.5" style="16" customWidth="1"/>
    <col min="13310" max="13310" width="9.765625E-2" style="16" customWidth="1"/>
    <col min="13311" max="13311" width="0.5" style="16" customWidth="1"/>
    <col min="13312" max="13312" width="36.09765625" style="16"/>
    <col min="13313" max="13313" width="3.59765625" style="16" customWidth="1"/>
    <col min="13314" max="13314" width="22.8984375" style="16" customWidth="1"/>
    <col min="13315" max="13315" width="4.5" style="16" customWidth="1"/>
    <col min="13316" max="13316" width="5.5" style="16" customWidth="1"/>
    <col min="13317" max="13317" width="9.5" style="16" customWidth="1"/>
    <col min="13318" max="13318" width="5.19921875" style="16" customWidth="1"/>
    <col min="13319" max="13319" width="10.59765625" style="16" customWidth="1"/>
    <col min="13320" max="13320" width="7.59765625" style="16" customWidth="1"/>
    <col min="13321" max="13560" width="0" style="16" hidden="1" customWidth="1"/>
    <col min="13561" max="13561" width="8.09765625" style="16" customWidth="1"/>
    <col min="13562" max="13562" width="3" style="16" customWidth="1"/>
    <col min="13563" max="13563" width="5.5" style="16" customWidth="1"/>
    <col min="13564" max="13564" width="3.5" style="16" customWidth="1"/>
    <col min="13565" max="13565" width="7.5" style="16" customWidth="1"/>
    <col min="13566" max="13566" width="9.765625E-2" style="16" customWidth="1"/>
    <col min="13567" max="13567" width="0.5" style="16" customWidth="1"/>
    <col min="13568" max="13568" width="36.09765625" style="16"/>
    <col min="13569" max="13569" width="3.59765625" style="16" customWidth="1"/>
    <col min="13570" max="13570" width="22.8984375" style="16" customWidth="1"/>
    <col min="13571" max="13571" width="4.5" style="16" customWidth="1"/>
    <col min="13572" max="13572" width="5.5" style="16" customWidth="1"/>
    <col min="13573" max="13573" width="9.5" style="16" customWidth="1"/>
    <col min="13574" max="13574" width="5.19921875" style="16" customWidth="1"/>
    <col min="13575" max="13575" width="10.59765625" style="16" customWidth="1"/>
    <col min="13576" max="13576" width="7.59765625" style="16" customWidth="1"/>
    <col min="13577" max="13816" width="0" style="16" hidden="1" customWidth="1"/>
    <col min="13817" max="13817" width="8.09765625" style="16" customWidth="1"/>
    <col min="13818" max="13818" width="3" style="16" customWidth="1"/>
    <col min="13819" max="13819" width="5.5" style="16" customWidth="1"/>
    <col min="13820" max="13820" width="3.5" style="16" customWidth="1"/>
    <col min="13821" max="13821" width="7.5" style="16" customWidth="1"/>
    <col min="13822" max="13822" width="9.765625E-2" style="16" customWidth="1"/>
    <col min="13823" max="13823" width="0.5" style="16" customWidth="1"/>
    <col min="13824" max="13824" width="36.09765625" style="16"/>
    <col min="13825" max="13825" width="3.59765625" style="16" customWidth="1"/>
    <col min="13826" max="13826" width="22.8984375" style="16" customWidth="1"/>
    <col min="13827" max="13827" width="4.5" style="16" customWidth="1"/>
    <col min="13828" max="13828" width="5.5" style="16" customWidth="1"/>
    <col min="13829" max="13829" width="9.5" style="16" customWidth="1"/>
    <col min="13830" max="13830" width="5.19921875" style="16" customWidth="1"/>
    <col min="13831" max="13831" width="10.59765625" style="16" customWidth="1"/>
    <col min="13832" max="13832" width="7.59765625" style="16" customWidth="1"/>
    <col min="13833" max="14072" width="0" style="16" hidden="1" customWidth="1"/>
    <col min="14073" max="14073" width="8.09765625" style="16" customWidth="1"/>
    <col min="14074" max="14074" width="3" style="16" customWidth="1"/>
    <col min="14075" max="14075" width="5.5" style="16" customWidth="1"/>
    <col min="14076" max="14076" width="3.5" style="16" customWidth="1"/>
    <col min="14077" max="14077" width="7.5" style="16" customWidth="1"/>
    <col min="14078" max="14078" width="9.765625E-2" style="16" customWidth="1"/>
    <col min="14079" max="14079" width="0.5" style="16" customWidth="1"/>
    <col min="14080" max="14080" width="36.09765625" style="16"/>
    <col min="14081" max="14081" width="3.59765625" style="16" customWidth="1"/>
    <col min="14082" max="14082" width="22.8984375" style="16" customWidth="1"/>
    <col min="14083" max="14083" width="4.5" style="16" customWidth="1"/>
    <col min="14084" max="14084" width="5.5" style="16" customWidth="1"/>
    <col min="14085" max="14085" width="9.5" style="16" customWidth="1"/>
    <col min="14086" max="14086" width="5.19921875" style="16" customWidth="1"/>
    <col min="14087" max="14087" width="10.59765625" style="16" customWidth="1"/>
    <col min="14088" max="14088" width="7.59765625" style="16" customWidth="1"/>
    <col min="14089" max="14328" width="0" style="16" hidden="1" customWidth="1"/>
    <col min="14329" max="14329" width="8.09765625" style="16" customWidth="1"/>
    <col min="14330" max="14330" width="3" style="16" customWidth="1"/>
    <col min="14331" max="14331" width="5.5" style="16" customWidth="1"/>
    <col min="14332" max="14332" width="3.5" style="16" customWidth="1"/>
    <col min="14333" max="14333" width="7.5" style="16" customWidth="1"/>
    <col min="14334" max="14334" width="9.765625E-2" style="16" customWidth="1"/>
    <col min="14335" max="14335" width="0.5" style="16" customWidth="1"/>
    <col min="14336" max="14336" width="36.09765625" style="16"/>
    <col min="14337" max="14337" width="3.59765625" style="16" customWidth="1"/>
    <col min="14338" max="14338" width="22.8984375" style="16" customWidth="1"/>
    <col min="14339" max="14339" width="4.5" style="16" customWidth="1"/>
    <col min="14340" max="14340" width="5.5" style="16" customWidth="1"/>
    <col min="14341" max="14341" width="9.5" style="16" customWidth="1"/>
    <col min="14342" max="14342" width="5.19921875" style="16" customWidth="1"/>
    <col min="14343" max="14343" width="10.59765625" style="16" customWidth="1"/>
    <col min="14344" max="14344" width="7.59765625" style="16" customWidth="1"/>
    <col min="14345" max="14584" width="0" style="16" hidden="1" customWidth="1"/>
    <col min="14585" max="14585" width="8.09765625" style="16" customWidth="1"/>
    <col min="14586" max="14586" width="3" style="16" customWidth="1"/>
    <col min="14587" max="14587" width="5.5" style="16" customWidth="1"/>
    <col min="14588" max="14588" width="3.5" style="16" customWidth="1"/>
    <col min="14589" max="14589" width="7.5" style="16" customWidth="1"/>
    <col min="14590" max="14590" width="9.765625E-2" style="16" customWidth="1"/>
    <col min="14591" max="14591" width="0.5" style="16" customWidth="1"/>
    <col min="14592" max="14592" width="36.09765625" style="16"/>
    <col min="14593" max="14593" width="3.59765625" style="16" customWidth="1"/>
    <col min="14594" max="14594" width="22.8984375" style="16" customWidth="1"/>
    <col min="14595" max="14595" width="4.5" style="16" customWidth="1"/>
    <col min="14596" max="14596" width="5.5" style="16" customWidth="1"/>
    <col min="14597" max="14597" width="9.5" style="16" customWidth="1"/>
    <col min="14598" max="14598" width="5.19921875" style="16" customWidth="1"/>
    <col min="14599" max="14599" width="10.59765625" style="16" customWidth="1"/>
    <col min="14600" max="14600" width="7.59765625" style="16" customWidth="1"/>
    <col min="14601" max="14840" width="0" style="16" hidden="1" customWidth="1"/>
    <col min="14841" max="14841" width="8.09765625" style="16" customWidth="1"/>
    <col min="14842" max="14842" width="3" style="16" customWidth="1"/>
    <col min="14843" max="14843" width="5.5" style="16" customWidth="1"/>
    <col min="14844" max="14844" width="3.5" style="16" customWidth="1"/>
    <col min="14845" max="14845" width="7.5" style="16" customWidth="1"/>
    <col min="14846" max="14846" width="9.765625E-2" style="16" customWidth="1"/>
    <col min="14847" max="14847" width="0.5" style="16" customWidth="1"/>
    <col min="14848" max="14848" width="36.09765625" style="16"/>
    <col min="14849" max="14849" width="3.59765625" style="16" customWidth="1"/>
    <col min="14850" max="14850" width="22.8984375" style="16" customWidth="1"/>
    <col min="14851" max="14851" width="4.5" style="16" customWidth="1"/>
    <col min="14852" max="14852" width="5.5" style="16" customWidth="1"/>
    <col min="14853" max="14853" width="9.5" style="16" customWidth="1"/>
    <col min="14854" max="14854" width="5.19921875" style="16" customWidth="1"/>
    <col min="14855" max="14855" width="10.59765625" style="16" customWidth="1"/>
    <col min="14856" max="14856" width="7.59765625" style="16" customWidth="1"/>
    <col min="14857" max="15096" width="0" style="16" hidden="1" customWidth="1"/>
    <col min="15097" max="15097" width="8.09765625" style="16" customWidth="1"/>
    <col min="15098" max="15098" width="3" style="16" customWidth="1"/>
    <col min="15099" max="15099" width="5.5" style="16" customWidth="1"/>
    <col min="15100" max="15100" width="3.5" style="16" customWidth="1"/>
    <col min="15101" max="15101" width="7.5" style="16" customWidth="1"/>
    <col min="15102" max="15102" width="9.765625E-2" style="16" customWidth="1"/>
    <col min="15103" max="15103" width="0.5" style="16" customWidth="1"/>
    <col min="15104" max="15104" width="36.09765625" style="16"/>
    <col min="15105" max="15105" width="3.59765625" style="16" customWidth="1"/>
    <col min="15106" max="15106" width="22.8984375" style="16" customWidth="1"/>
    <col min="15107" max="15107" width="4.5" style="16" customWidth="1"/>
    <col min="15108" max="15108" width="5.5" style="16" customWidth="1"/>
    <col min="15109" max="15109" width="9.5" style="16" customWidth="1"/>
    <col min="15110" max="15110" width="5.19921875" style="16" customWidth="1"/>
    <col min="15111" max="15111" width="10.59765625" style="16" customWidth="1"/>
    <col min="15112" max="15112" width="7.59765625" style="16" customWidth="1"/>
    <col min="15113" max="15352" width="0" style="16" hidden="1" customWidth="1"/>
    <col min="15353" max="15353" width="8.09765625" style="16" customWidth="1"/>
    <col min="15354" max="15354" width="3" style="16" customWidth="1"/>
    <col min="15355" max="15355" width="5.5" style="16" customWidth="1"/>
    <col min="15356" max="15356" width="3.5" style="16" customWidth="1"/>
    <col min="15357" max="15357" width="7.5" style="16" customWidth="1"/>
    <col min="15358" max="15358" width="9.765625E-2" style="16" customWidth="1"/>
    <col min="15359" max="15359" width="0.5" style="16" customWidth="1"/>
    <col min="15360" max="15360" width="36.09765625" style="16"/>
    <col min="15361" max="15361" width="3.59765625" style="16" customWidth="1"/>
    <col min="15362" max="15362" width="22.8984375" style="16" customWidth="1"/>
    <col min="15363" max="15363" width="4.5" style="16" customWidth="1"/>
    <col min="15364" max="15364" width="5.5" style="16" customWidth="1"/>
    <col min="15365" max="15365" width="9.5" style="16" customWidth="1"/>
    <col min="15366" max="15366" width="5.19921875" style="16" customWidth="1"/>
    <col min="15367" max="15367" width="10.59765625" style="16" customWidth="1"/>
    <col min="15368" max="15368" width="7.59765625" style="16" customWidth="1"/>
    <col min="15369" max="15608" width="0" style="16" hidden="1" customWidth="1"/>
    <col min="15609" max="15609" width="8.09765625" style="16" customWidth="1"/>
    <col min="15610" max="15610" width="3" style="16" customWidth="1"/>
    <col min="15611" max="15611" width="5.5" style="16" customWidth="1"/>
    <col min="15612" max="15612" width="3.5" style="16" customWidth="1"/>
    <col min="15613" max="15613" width="7.5" style="16" customWidth="1"/>
    <col min="15614" max="15614" width="9.765625E-2" style="16" customWidth="1"/>
    <col min="15615" max="15615" width="0.5" style="16" customWidth="1"/>
    <col min="15616" max="15616" width="36.09765625" style="16"/>
    <col min="15617" max="15617" width="3.59765625" style="16" customWidth="1"/>
    <col min="15618" max="15618" width="22.8984375" style="16" customWidth="1"/>
    <col min="15619" max="15619" width="4.5" style="16" customWidth="1"/>
    <col min="15620" max="15620" width="5.5" style="16" customWidth="1"/>
    <col min="15621" max="15621" width="9.5" style="16" customWidth="1"/>
    <col min="15622" max="15622" width="5.19921875" style="16" customWidth="1"/>
    <col min="15623" max="15623" width="10.59765625" style="16" customWidth="1"/>
    <col min="15624" max="15624" width="7.59765625" style="16" customWidth="1"/>
    <col min="15625" max="15864" width="0" style="16" hidden="1" customWidth="1"/>
    <col min="15865" max="15865" width="8.09765625" style="16" customWidth="1"/>
    <col min="15866" max="15866" width="3" style="16" customWidth="1"/>
    <col min="15867" max="15867" width="5.5" style="16" customWidth="1"/>
    <col min="15868" max="15868" width="3.5" style="16" customWidth="1"/>
    <col min="15869" max="15869" width="7.5" style="16" customWidth="1"/>
    <col min="15870" max="15870" width="9.765625E-2" style="16" customWidth="1"/>
    <col min="15871" max="15871" width="0.5" style="16" customWidth="1"/>
    <col min="15872" max="15872" width="36.09765625" style="16"/>
    <col min="15873" max="15873" width="3.59765625" style="16" customWidth="1"/>
    <col min="15874" max="15874" width="22.8984375" style="16" customWidth="1"/>
    <col min="15875" max="15875" width="4.5" style="16" customWidth="1"/>
    <col min="15876" max="15876" width="5.5" style="16" customWidth="1"/>
    <col min="15877" max="15877" width="9.5" style="16" customWidth="1"/>
    <col min="15878" max="15878" width="5.19921875" style="16" customWidth="1"/>
    <col min="15879" max="15879" width="10.59765625" style="16" customWidth="1"/>
    <col min="15880" max="15880" width="7.59765625" style="16" customWidth="1"/>
    <col min="15881" max="16120" width="0" style="16" hidden="1" customWidth="1"/>
    <col min="16121" max="16121" width="8.09765625" style="16" customWidth="1"/>
    <col min="16122" max="16122" width="3" style="16" customWidth="1"/>
    <col min="16123" max="16123" width="5.5" style="16" customWidth="1"/>
    <col min="16124" max="16124" width="3.5" style="16" customWidth="1"/>
    <col min="16125" max="16125" width="7.5" style="16" customWidth="1"/>
    <col min="16126" max="16126" width="9.765625E-2" style="16" customWidth="1"/>
    <col min="16127" max="16127" width="0.5" style="16" customWidth="1"/>
    <col min="16128" max="16128" width="36.09765625" style="16"/>
    <col min="16129" max="16129" width="3.59765625" style="16" customWidth="1"/>
    <col min="16130" max="16130" width="22.8984375" style="16" customWidth="1"/>
    <col min="16131" max="16131" width="4.5" style="16" customWidth="1"/>
    <col min="16132" max="16132" width="5.5" style="16" customWidth="1"/>
    <col min="16133" max="16133" width="9.5" style="16" customWidth="1"/>
    <col min="16134" max="16134" width="5.19921875" style="16" customWidth="1"/>
    <col min="16135" max="16135" width="10.59765625" style="16" customWidth="1"/>
    <col min="16136" max="16136" width="7.59765625" style="16" customWidth="1"/>
    <col min="16137" max="16376" width="0" style="16" hidden="1" customWidth="1"/>
    <col min="16377" max="16377" width="8.09765625" style="16" customWidth="1"/>
    <col min="16378" max="16378" width="3" style="16" customWidth="1"/>
    <col min="16379" max="16379" width="5.5" style="16" customWidth="1"/>
    <col min="16380" max="16380" width="3.5" style="16" customWidth="1"/>
    <col min="16381" max="16381" width="7.5" style="16" customWidth="1"/>
    <col min="16382" max="16382" width="9.765625E-2" style="16" customWidth="1"/>
    <col min="16383" max="16383" width="0.5" style="16" customWidth="1"/>
    <col min="16384" max="16384" width="36.0976562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2350</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2351</v>
      </c>
      <c r="C13" s="425"/>
      <c r="D13" s="425"/>
      <c r="E13" s="425"/>
      <c r="F13" s="425"/>
      <c r="G13" s="73">
        <f>G14</f>
        <v>20532000</v>
      </c>
      <c r="H13" s="74"/>
    </row>
    <row r="14" spans="1:8" s="131" customFormat="1" ht="156">
      <c r="A14" s="123"/>
      <c r="B14" s="124" t="s">
        <v>2059</v>
      </c>
      <c r="C14" s="125" t="s">
        <v>1753</v>
      </c>
      <c r="D14" s="126">
        <v>8.6999999999999993</v>
      </c>
      <c r="E14" s="127">
        <v>11800000</v>
      </c>
      <c r="F14" s="188">
        <v>0.2</v>
      </c>
      <c r="G14" s="129">
        <f>D14*E14*F14</f>
        <v>20532000</v>
      </c>
      <c r="H14" s="130"/>
    </row>
    <row r="15" spans="1:8" ht="27" customHeight="1">
      <c r="A15" s="75" t="s">
        <v>18</v>
      </c>
      <c r="B15" s="426" t="s">
        <v>1725</v>
      </c>
      <c r="C15" s="426"/>
      <c r="D15" s="426"/>
      <c r="E15" s="426"/>
      <c r="F15" s="426"/>
      <c r="G15" s="76">
        <f>SUM(G16:G20)</f>
        <v>2275136.9440000001</v>
      </c>
      <c r="H15" s="11"/>
    </row>
    <row r="16" spans="1:8" ht="31.2">
      <c r="A16" s="77">
        <v>1</v>
      </c>
      <c r="B16" s="78" t="s">
        <v>2352</v>
      </c>
      <c r="C16" s="14" t="s">
        <v>66</v>
      </c>
      <c r="D16" s="132">
        <f>6.6*2.7</f>
        <v>17.82</v>
      </c>
      <c r="E16" s="15">
        <v>270329</v>
      </c>
      <c r="F16" s="187">
        <v>0.2</v>
      </c>
      <c r="G16" s="79">
        <f>D16*E16*F16</f>
        <v>963452.5560000001</v>
      </c>
      <c r="H16" s="15"/>
    </row>
    <row r="17" spans="1:8" ht="46.8">
      <c r="A17" s="77">
        <v>2</v>
      </c>
      <c r="B17" s="78" t="s">
        <v>2353</v>
      </c>
      <c r="C17" s="14" t="s">
        <v>1754</v>
      </c>
      <c r="D17" s="132">
        <f>(0.1*0.2*2.5)*2+0.1*0.2*6.6</f>
        <v>0.23200000000000004</v>
      </c>
      <c r="E17" s="15">
        <v>7050138</v>
      </c>
      <c r="F17" s="187">
        <v>0.2</v>
      </c>
      <c r="G17" s="79">
        <f t="shared" ref="G17:G18" si="0">D17*E17*F17</f>
        <v>327126.40320000006</v>
      </c>
      <c r="H17" s="15"/>
    </row>
    <row r="18" spans="1:8" ht="46.8">
      <c r="A18" s="77">
        <v>3</v>
      </c>
      <c r="B18" s="78" t="s">
        <v>2354</v>
      </c>
      <c r="C18" s="14" t="s">
        <v>1755</v>
      </c>
      <c r="D18" s="132">
        <f>(23.04/6)*2.5</f>
        <v>9.6</v>
      </c>
      <c r="E18" s="15">
        <v>19900</v>
      </c>
      <c r="F18" s="187">
        <v>0.2</v>
      </c>
      <c r="G18" s="79">
        <f t="shared" si="0"/>
        <v>38208</v>
      </c>
      <c r="H18" s="15"/>
    </row>
    <row r="19" spans="1:8" ht="15.6">
      <c r="A19" s="77">
        <v>4</v>
      </c>
      <c r="B19" s="78" t="s">
        <v>2355</v>
      </c>
      <c r="C19" s="14" t="s">
        <v>1754</v>
      </c>
      <c r="D19" s="132">
        <f>6.6*2.2*0.15</f>
        <v>2.1779999999999999</v>
      </c>
      <c r="E19" s="15">
        <v>1629758</v>
      </c>
      <c r="F19" s="187">
        <v>0.2</v>
      </c>
      <c r="G19" s="79">
        <f>D19*E19*F19</f>
        <v>709922.58480000007</v>
      </c>
      <c r="H19" s="15"/>
    </row>
    <row r="20" spans="1:8" ht="15.6">
      <c r="A20" s="77">
        <v>5</v>
      </c>
      <c r="B20" s="78" t="s">
        <v>2356</v>
      </c>
      <c r="C20" s="14" t="s">
        <v>66</v>
      </c>
      <c r="D20" s="132">
        <f>2.5*2.2</f>
        <v>5.5</v>
      </c>
      <c r="E20" s="15">
        <v>214934</v>
      </c>
      <c r="F20" s="187">
        <v>0.2</v>
      </c>
      <c r="G20" s="79">
        <f>D20*E20*F20</f>
        <v>236427.40000000002</v>
      </c>
      <c r="H20" s="15"/>
    </row>
    <row r="21" spans="1:8" ht="24" customHeight="1">
      <c r="A21" s="75" t="s">
        <v>19</v>
      </c>
      <c r="B21" s="426" t="s">
        <v>1727</v>
      </c>
      <c r="C21" s="426"/>
      <c r="D21" s="426"/>
      <c r="E21" s="426"/>
      <c r="F21" s="426"/>
      <c r="G21" s="76">
        <f>SUM(G22:G22)</f>
        <v>0</v>
      </c>
      <c r="H21" s="11"/>
    </row>
    <row r="22" spans="1:8" ht="30.6" customHeight="1">
      <c r="A22" s="77"/>
      <c r="B22" s="78" t="s">
        <v>1728</v>
      </c>
      <c r="C22" s="13"/>
      <c r="D22" s="13"/>
      <c r="E22" s="13"/>
      <c r="F22" s="13"/>
      <c r="G22" s="79"/>
      <c r="H22" s="15"/>
    </row>
    <row r="23" spans="1:8" ht="15.6">
      <c r="A23" s="80"/>
      <c r="B23" s="427" t="s">
        <v>62</v>
      </c>
      <c r="C23" s="428"/>
      <c r="D23" s="428"/>
      <c r="E23" s="428"/>
      <c r="F23" s="429"/>
      <c r="G23" s="81">
        <f>G13+G15+G21</f>
        <v>22807136.943999998</v>
      </c>
      <c r="H23" s="82"/>
    </row>
    <row r="24" spans="1:8" ht="15.6">
      <c r="A24" s="80"/>
      <c r="B24" s="427" t="s">
        <v>1726</v>
      </c>
      <c r="C24" s="428"/>
      <c r="D24" s="428"/>
      <c r="E24" s="428"/>
      <c r="F24" s="429"/>
      <c r="G24" s="81">
        <f>ROUND(G23,-3)</f>
        <v>22807000</v>
      </c>
      <c r="H24" s="82"/>
    </row>
    <row r="25" spans="1:8" ht="15.6">
      <c r="A25" s="430" t="e" cm="1">
        <f t="array" aca="1" ref="A25" ca="1">[22]!vnd(G24)</f>
        <v>#NAME?</v>
      </c>
      <c r="B25" s="431"/>
      <c r="C25" s="431"/>
      <c r="D25" s="431"/>
      <c r="E25" s="431"/>
      <c r="F25" s="431"/>
      <c r="G25" s="431"/>
      <c r="H25" s="432"/>
    </row>
    <row r="26" spans="1:8">
      <c r="A26" s="17"/>
      <c r="B26" s="17"/>
      <c r="C26" s="97"/>
      <c r="D26" s="20"/>
      <c r="E26" s="19"/>
      <c r="F26" s="97"/>
      <c r="G26" s="19"/>
      <c r="H26" s="17"/>
    </row>
    <row r="27" spans="1:8" s="109" customFormat="1" ht="16.5" customHeight="1">
      <c r="A27" s="108"/>
      <c r="B27" s="108"/>
      <c r="C27" s="424" t="s">
        <v>1742</v>
      </c>
      <c r="D27" s="424"/>
      <c r="E27" s="424"/>
      <c r="F27" s="424"/>
      <c r="G27" s="424"/>
      <c r="H27" s="424"/>
    </row>
    <row r="28" spans="1:8" s="109" customFormat="1" ht="16.5" customHeight="1">
      <c r="A28" s="423" t="s">
        <v>63</v>
      </c>
      <c r="B28" s="423"/>
      <c r="C28" s="424" t="s">
        <v>1743</v>
      </c>
      <c r="D28" s="424"/>
      <c r="E28" s="424"/>
      <c r="F28" s="424" t="s">
        <v>1744</v>
      </c>
      <c r="G28" s="424"/>
      <c r="H28" s="424"/>
    </row>
    <row r="29" spans="1:8" s="109" customFormat="1" ht="15.6">
      <c r="A29" s="108"/>
      <c r="B29" s="108"/>
      <c r="C29" s="108"/>
      <c r="D29" s="110"/>
      <c r="E29" s="111"/>
      <c r="F29" s="112"/>
      <c r="G29" s="111"/>
      <c r="H29" s="113"/>
    </row>
    <row r="30" spans="1:8" s="109" customFormat="1" ht="15.6">
      <c r="A30" s="108"/>
      <c r="B30" s="108"/>
      <c r="C30" s="108"/>
      <c r="D30" s="110"/>
      <c r="E30" s="111"/>
      <c r="F30" s="112"/>
      <c r="G30" s="114"/>
      <c r="H30" s="113"/>
    </row>
    <row r="31" spans="1:8" s="109" customFormat="1" ht="15.6">
      <c r="A31" s="108"/>
      <c r="B31" s="108"/>
      <c r="C31" s="108"/>
      <c r="D31" s="110"/>
      <c r="E31" s="111"/>
      <c r="F31" s="112"/>
      <c r="G31" s="111"/>
      <c r="H31" s="113"/>
    </row>
    <row r="32" spans="1:8" s="109" customFormat="1" ht="15.6">
      <c r="A32" s="108"/>
      <c r="B32" s="108"/>
      <c r="C32" s="108"/>
      <c r="D32" s="110"/>
      <c r="E32" s="111"/>
      <c r="F32" s="112"/>
      <c r="G32" s="111"/>
      <c r="H32" s="113"/>
    </row>
    <row r="33" spans="1:8" s="109" customFormat="1" ht="15.6">
      <c r="A33" s="108"/>
      <c r="B33" s="108"/>
      <c r="C33" s="108"/>
      <c r="D33" s="110"/>
      <c r="E33" s="111"/>
      <c r="F33" s="112"/>
      <c r="G33" s="111"/>
      <c r="H33" s="113"/>
    </row>
    <row r="34" spans="1:8" s="109" customFormat="1" ht="16.5" customHeight="1">
      <c r="A34" s="108"/>
      <c r="B34" s="198" t="s">
        <v>64</v>
      </c>
      <c r="C34" s="424"/>
      <c r="D34" s="424"/>
      <c r="E34" s="424"/>
      <c r="F34" s="424" t="s">
        <v>1745</v>
      </c>
      <c r="G34" s="424"/>
      <c r="H34" s="424"/>
    </row>
    <row r="35" spans="1:8" s="109" customFormat="1" ht="15.6">
      <c r="A35" s="108"/>
      <c r="B35" s="198"/>
      <c r="C35" s="199"/>
      <c r="D35" s="199"/>
      <c r="E35" s="199"/>
      <c r="F35" s="199"/>
      <c r="G35" s="199"/>
      <c r="H35" s="199"/>
    </row>
    <row r="36" spans="1:8" s="109" customFormat="1" ht="15" customHeight="1">
      <c r="A36" s="424" t="s">
        <v>1746</v>
      </c>
      <c r="B36" s="424"/>
      <c r="C36" s="424"/>
      <c r="D36" s="424"/>
      <c r="E36" s="424" t="s">
        <v>1747</v>
      </c>
      <c r="F36" s="424"/>
      <c r="G36" s="424"/>
      <c r="H36" s="424"/>
    </row>
    <row r="37" spans="1:8" s="109" customFormat="1" ht="33.6" customHeight="1">
      <c r="A37" s="424" t="s">
        <v>1748</v>
      </c>
      <c r="B37" s="424"/>
      <c r="C37" s="424"/>
      <c r="D37" s="424"/>
      <c r="E37" s="424" t="s">
        <v>65</v>
      </c>
      <c r="F37" s="424"/>
      <c r="G37" s="424"/>
      <c r="H37" s="424"/>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ustomHeight="1">
      <c r="A43" s="108"/>
      <c r="B43" s="108"/>
      <c r="C43" s="108"/>
      <c r="D43" s="115"/>
      <c r="E43" s="439" t="s">
        <v>1749</v>
      </c>
      <c r="F43" s="439"/>
      <c r="G43" s="439"/>
      <c r="H43" s="439"/>
    </row>
    <row r="44" spans="1:8" s="109" customFormat="1" ht="16.5" customHeight="1">
      <c r="A44" s="424" t="s">
        <v>1751</v>
      </c>
      <c r="B44" s="424"/>
      <c r="C44" s="424"/>
      <c r="D44" s="424"/>
      <c r="E44" s="424" t="s">
        <v>1750</v>
      </c>
      <c r="F44" s="424"/>
      <c r="G44" s="424"/>
      <c r="H44" s="424"/>
    </row>
    <row r="45" spans="1:8" s="118" customFormat="1" ht="16.2" customHeight="1">
      <c r="A45" s="436"/>
      <c r="B45" s="436"/>
      <c r="C45" s="273"/>
      <c r="D45" s="274"/>
      <c r="E45" s="436"/>
      <c r="F45" s="436"/>
      <c r="G45" s="436"/>
      <c r="H45" s="436"/>
    </row>
    <row r="46" spans="1:8" s="118" customFormat="1" ht="15.75" customHeight="1">
      <c r="A46" s="436"/>
      <c r="B46" s="436"/>
      <c r="C46" s="436"/>
      <c r="D46" s="436"/>
      <c r="E46" s="436"/>
      <c r="F46" s="436"/>
      <c r="G46" s="436"/>
      <c r="H46" s="436"/>
    </row>
    <row r="47" spans="1:8" s="98" customFormat="1" ht="16.2" customHeight="1">
      <c r="A47" s="436"/>
      <c r="B47" s="436"/>
      <c r="C47" s="436"/>
      <c r="D47" s="436"/>
      <c r="E47" s="119"/>
      <c r="F47" s="120"/>
      <c r="G47" s="119"/>
      <c r="H47" s="121"/>
    </row>
    <row r="48" spans="1:8" s="98" customFormat="1" ht="16.2" customHeight="1">
      <c r="A48" s="436"/>
      <c r="B48" s="436"/>
      <c r="C48" s="436"/>
      <c r="D48" s="436"/>
      <c r="E48" s="119"/>
      <c r="F48" s="120"/>
      <c r="G48" s="119"/>
      <c r="H48" s="121"/>
    </row>
    <row r="49" spans="1:8" s="98" customFormat="1" ht="16.2" customHeight="1">
      <c r="A49" s="121"/>
      <c r="B49" s="121"/>
      <c r="C49" s="121"/>
      <c r="D49" s="122"/>
      <c r="E49" s="119"/>
      <c r="F49" s="120"/>
      <c r="G49" s="119"/>
      <c r="H49" s="121"/>
    </row>
    <row r="50" spans="1:8" ht="16.2" customHeight="1">
      <c r="A50" s="83"/>
      <c r="B50" s="83"/>
      <c r="C50" s="83"/>
      <c r="D50" s="84"/>
      <c r="E50" s="85"/>
      <c r="F50" s="86"/>
      <c r="G50" s="85"/>
      <c r="H50" s="83"/>
    </row>
    <row r="51" spans="1:8" ht="16.2" customHeight="1">
      <c r="A51" s="83"/>
      <c r="B51" s="83"/>
      <c r="C51" s="83"/>
      <c r="D51" s="84"/>
      <c r="E51" s="85"/>
      <c r="F51" s="86"/>
      <c r="G51" s="85"/>
      <c r="H51" s="83"/>
    </row>
    <row r="52" spans="1:8" ht="16.2" customHeight="1">
      <c r="A52" s="83"/>
      <c r="B52" s="83"/>
      <c r="C52" s="83"/>
      <c r="D52" s="84"/>
      <c r="E52" s="85"/>
      <c r="F52" s="86"/>
      <c r="G52" s="85"/>
      <c r="H52" s="83"/>
    </row>
    <row r="53" spans="1:8" ht="16.2" customHeight="1">
      <c r="A53" s="83"/>
      <c r="B53" s="83"/>
      <c r="C53" s="83"/>
      <c r="D53" s="84"/>
      <c r="E53" s="437"/>
      <c r="F53" s="437"/>
      <c r="G53" s="437"/>
      <c r="H53" s="437"/>
    </row>
    <row r="54" spans="1:8" ht="20.25" customHeight="1">
      <c r="A54" s="438"/>
      <c r="B54" s="438"/>
      <c r="C54" s="438"/>
      <c r="D54" s="438"/>
      <c r="E54" s="438"/>
      <c r="F54" s="438"/>
      <c r="G54" s="438"/>
      <c r="H54" s="438"/>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ht="16.2" customHeight="1"/>
    <row r="84" spans="3:7" ht="16.2" customHeight="1"/>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row r="230"/>
    <row r="231"/>
    <row r="232"/>
    <row r="233"/>
    <row r="234"/>
    <row r="235"/>
    <row r="236"/>
    <row r="237"/>
    <row r="238"/>
    <row r="239"/>
    <row r="240"/>
    <row r="241"/>
    <row r="242"/>
    <row r="243"/>
    <row r="244"/>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sheetData>
  <mergeCells count="40">
    <mergeCell ref="A4:B4"/>
    <mergeCell ref="C4:H4"/>
    <mergeCell ref="A1:B1"/>
    <mergeCell ref="C1:H1"/>
    <mergeCell ref="A2:B2"/>
    <mergeCell ref="C2:H2"/>
    <mergeCell ref="A3:B3"/>
    <mergeCell ref="A25:H25"/>
    <mergeCell ref="A6:H6"/>
    <mergeCell ref="A7:H7"/>
    <mergeCell ref="A8:H8"/>
    <mergeCell ref="A9:H9"/>
    <mergeCell ref="A10:H10"/>
    <mergeCell ref="A11:H11"/>
    <mergeCell ref="B13:F13"/>
    <mergeCell ref="B15:F15"/>
    <mergeCell ref="B21:F21"/>
    <mergeCell ref="B23:F23"/>
    <mergeCell ref="B24:F24"/>
    <mergeCell ref="A44:D44"/>
    <mergeCell ref="E44:H44"/>
    <mergeCell ref="C27:H27"/>
    <mergeCell ref="A28:B28"/>
    <mergeCell ref="C28:E28"/>
    <mergeCell ref="F28:H28"/>
    <mergeCell ref="C34:E34"/>
    <mergeCell ref="F34:H34"/>
    <mergeCell ref="A36:D36"/>
    <mergeCell ref="E36:H36"/>
    <mergeCell ref="A37:D37"/>
    <mergeCell ref="E37:H37"/>
    <mergeCell ref="E43:H43"/>
    <mergeCell ref="E53:H53"/>
    <mergeCell ref="A54:H54"/>
    <mergeCell ref="A45:B45"/>
    <mergeCell ref="E45:H45"/>
    <mergeCell ref="A46:D46"/>
    <mergeCell ref="E46:H46"/>
    <mergeCell ref="A47:D47"/>
    <mergeCell ref="A48:D48"/>
  </mergeCells>
  <dataValidations count="1">
    <dataValidation type="list" allowBlank="1" showInputMessage="1" showErrorMessage="1" sqref="WVJ983046:WVJ983063 B983046:B983063 IX983046:IX983063 ST983046:ST983063 ACP983046:ACP983063 AML983046:AML983063 AWH983046:AWH983063 BGD983046:BGD983063 BPZ983046:BPZ983063 BZV983046:BZV983063 CJR983046:CJR983063 CTN983046:CTN983063 DDJ983046:DDJ983063 DNF983046:DNF983063 DXB983046:DXB983063 EGX983046:EGX983063 EQT983046:EQT983063 FAP983046:FAP983063 FKL983046:FKL983063 FUH983046:FUH983063 GED983046:GED983063 GNZ983046:GNZ983063 GXV983046:GXV983063 HHR983046:HHR983063 HRN983046:HRN983063 IBJ983046:IBJ983063 ILF983046:ILF983063 IVB983046:IVB983063 JEX983046:JEX983063 JOT983046:JOT983063 JYP983046:JYP983063 KIL983046:KIL983063 KSH983046:KSH983063 LCD983046:LCD983063 LLZ983046:LLZ983063 LVV983046:LVV983063 MFR983046:MFR983063 MPN983046:MPN983063 MZJ983046:MZJ983063 NJF983046:NJF983063 NTB983046:NTB983063 OCX983046:OCX983063 OMT983046:OMT983063 OWP983046:OWP983063 PGL983046:PGL983063 PQH983046:PQH983063 QAD983046:QAD983063 QJZ983046:QJZ983063 QTV983046:QTV983063 RDR983046:RDR983063 RNN983046:RNN983063 RXJ983046:RXJ983063 SHF983046:SHF983063 SRB983046:SRB983063 TAX983046:TAX983063 TKT983046:TKT983063 TUP983046:TUP983063 UEL983046:UEL983063 UOH983046:UOH983063 UYD983046:UYD983063 VHZ983046:VHZ983063 VRV983046:VRV983063 WBR983046:WBR983063 WLN983046:WLN983063 B65542:B65559 IX65542:IX65559 ST65542:ST65559 ACP65542:ACP65559 AML65542:AML65559 AWH65542:AWH65559 BGD65542:BGD65559 BPZ65542:BPZ65559 BZV65542:BZV65559 CJR65542:CJR65559 CTN65542:CTN65559 DDJ65542:DDJ65559 DNF65542:DNF65559 DXB65542:DXB65559 EGX65542:EGX65559 EQT65542:EQT65559 FAP65542:FAP65559 FKL65542:FKL65559 FUH65542:FUH65559 GED65542:GED65559 GNZ65542:GNZ65559 GXV65542:GXV65559 HHR65542:HHR65559 HRN65542:HRN65559 IBJ65542:IBJ65559 ILF65542:ILF65559 IVB65542:IVB65559 JEX65542:JEX65559 JOT65542:JOT65559 JYP65542:JYP65559 KIL65542:KIL65559 KSH65542:KSH65559 LCD65542:LCD65559 LLZ65542:LLZ65559 LVV65542:LVV65559 MFR65542:MFR65559 MPN65542:MPN65559 MZJ65542:MZJ65559 NJF65542:NJF65559 NTB65542:NTB65559 OCX65542:OCX65559 OMT65542:OMT65559 OWP65542:OWP65559 PGL65542:PGL65559 PQH65542:PQH65559 QAD65542:QAD65559 QJZ65542:QJZ65559 QTV65542:QTV65559 RDR65542:RDR65559 RNN65542:RNN65559 RXJ65542:RXJ65559 SHF65542:SHF65559 SRB65542:SRB65559 TAX65542:TAX65559 TKT65542:TKT65559 TUP65542:TUP65559 UEL65542:UEL65559 UOH65542:UOH65559 UYD65542:UYD65559 VHZ65542:VHZ65559 VRV65542:VRV65559 WBR65542:WBR65559 WLN65542:WLN65559 WVJ65542:WVJ65559 B131078:B131095 IX131078:IX131095 ST131078:ST131095 ACP131078:ACP131095 AML131078:AML131095 AWH131078:AWH131095 BGD131078:BGD131095 BPZ131078:BPZ131095 BZV131078:BZV131095 CJR131078:CJR131095 CTN131078:CTN131095 DDJ131078:DDJ131095 DNF131078:DNF131095 DXB131078:DXB131095 EGX131078:EGX131095 EQT131078:EQT131095 FAP131078:FAP131095 FKL131078:FKL131095 FUH131078:FUH131095 GED131078:GED131095 GNZ131078:GNZ131095 GXV131078:GXV131095 HHR131078:HHR131095 HRN131078:HRN131095 IBJ131078:IBJ131095 ILF131078:ILF131095 IVB131078:IVB131095 JEX131078:JEX131095 JOT131078:JOT131095 JYP131078:JYP131095 KIL131078:KIL131095 KSH131078:KSH131095 LCD131078:LCD131095 LLZ131078:LLZ131095 LVV131078:LVV131095 MFR131078:MFR131095 MPN131078:MPN131095 MZJ131078:MZJ131095 NJF131078:NJF131095 NTB131078:NTB131095 OCX131078:OCX131095 OMT131078:OMT131095 OWP131078:OWP131095 PGL131078:PGL131095 PQH131078:PQH131095 QAD131078:QAD131095 QJZ131078:QJZ131095 QTV131078:QTV131095 RDR131078:RDR131095 RNN131078:RNN131095 RXJ131078:RXJ131095 SHF131078:SHF131095 SRB131078:SRB131095 TAX131078:TAX131095 TKT131078:TKT131095 TUP131078:TUP131095 UEL131078:UEL131095 UOH131078:UOH131095 UYD131078:UYD131095 VHZ131078:VHZ131095 VRV131078:VRV131095 WBR131078:WBR131095 WLN131078:WLN131095 WVJ131078:WVJ131095 B196614:B196631 IX196614:IX196631 ST196614:ST196631 ACP196614:ACP196631 AML196614:AML196631 AWH196614:AWH196631 BGD196614:BGD196631 BPZ196614:BPZ196631 BZV196614:BZV196631 CJR196614:CJR196631 CTN196614:CTN196631 DDJ196614:DDJ196631 DNF196614:DNF196631 DXB196614:DXB196631 EGX196614:EGX196631 EQT196614:EQT196631 FAP196614:FAP196631 FKL196614:FKL196631 FUH196614:FUH196631 GED196614:GED196631 GNZ196614:GNZ196631 GXV196614:GXV196631 HHR196614:HHR196631 HRN196614:HRN196631 IBJ196614:IBJ196631 ILF196614:ILF196631 IVB196614:IVB196631 JEX196614:JEX196631 JOT196614:JOT196631 JYP196614:JYP196631 KIL196614:KIL196631 KSH196614:KSH196631 LCD196614:LCD196631 LLZ196614:LLZ196631 LVV196614:LVV196631 MFR196614:MFR196631 MPN196614:MPN196631 MZJ196614:MZJ196631 NJF196614:NJF196631 NTB196614:NTB196631 OCX196614:OCX196631 OMT196614:OMT196631 OWP196614:OWP196631 PGL196614:PGL196631 PQH196614:PQH196631 QAD196614:QAD196631 QJZ196614:QJZ196631 QTV196614:QTV196631 RDR196614:RDR196631 RNN196614:RNN196631 RXJ196614:RXJ196631 SHF196614:SHF196631 SRB196614:SRB196631 TAX196614:TAX196631 TKT196614:TKT196631 TUP196614:TUP196631 UEL196614:UEL196631 UOH196614:UOH196631 UYD196614:UYD196631 VHZ196614:VHZ196631 VRV196614:VRV196631 WBR196614:WBR196631 WLN196614:WLN196631 WVJ196614:WVJ196631 B262150:B262167 IX262150:IX262167 ST262150:ST262167 ACP262150:ACP262167 AML262150:AML262167 AWH262150:AWH262167 BGD262150:BGD262167 BPZ262150:BPZ262167 BZV262150:BZV262167 CJR262150:CJR262167 CTN262150:CTN262167 DDJ262150:DDJ262167 DNF262150:DNF262167 DXB262150:DXB262167 EGX262150:EGX262167 EQT262150:EQT262167 FAP262150:FAP262167 FKL262150:FKL262167 FUH262150:FUH262167 GED262150:GED262167 GNZ262150:GNZ262167 GXV262150:GXV262167 HHR262150:HHR262167 HRN262150:HRN262167 IBJ262150:IBJ262167 ILF262150:ILF262167 IVB262150:IVB262167 JEX262150:JEX262167 JOT262150:JOT262167 JYP262150:JYP262167 KIL262150:KIL262167 KSH262150:KSH262167 LCD262150:LCD262167 LLZ262150:LLZ262167 LVV262150:LVV262167 MFR262150:MFR262167 MPN262150:MPN262167 MZJ262150:MZJ262167 NJF262150:NJF262167 NTB262150:NTB262167 OCX262150:OCX262167 OMT262150:OMT262167 OWP262150:OWP262167 PGL262150:PGL262167 PQH262150:PQH262167 QAD262150:QAD262167 QJZ262150:QJZ262167 QTV262150:QTV262167 RDR262150:RDR262167 RNN262150:RNN262167 RXJ262150:RXJ262167 SHF262150:SHF262167 SRB262150:SRB262167 TAX262150:TAX262167 TKT262150:TKT262167 TUP262150:TUP262167 UEL262150:UEL262167 UOH262150:UOH262167 UYD262150:UYD262167 VHZ262150:VHZ262167 VRV262150:VRV262167 WBR262150:WBR262167 WLN262150:WLN262167 WVJ262150:WVJ262167 B327686:B327703 IX327686:IX327703 ST327686:ST327703 ACP327686:ACP327703 AML327686:AML327703 AWH327686:AWH327703 BGD327686:BGD327703 BPZ327686:BPZ327703 BZV327686:BZV327703 CJR327686:CJR327703 CTN327686:CTN327703 DDJ327686:DDJ327703 DNF327686:DNF327703 DXB327686:DXB327703 EGX327686:EGX327703 EQT327686:EQT327703 FAP327686:FAP327703 FKL327686:FKL327703 FUH327686:FUH327703 GED327686:GED327703 GNZ327686:GNZ327703 GXV327686:GXV327703 HHR327686:HHR327703 HRN327686:HRN327703 IBJ327686:IBJ327703 ILF327686:ILF327703 IVB327686:IVB327703 JEX327686:JEX327703 JOT327686:JOT327703 JYP327686:JYP327703 KIL327686:KIL327703 KSH327686:KSH327703 LCD327686:LCD327703 LLZ327686:LLZ327703 LVV327686:LVV327703 MFR327686:MFR327703 MPN327686:MPN327703 MZJ327686:MZJ327703 NJF327686:NJF327703 NTB327686:NTB327703 OCX327686:OCX327703 OMT327686:OMT327703 OWP327686:OWP327703 PGL327686:PGL327703 PQH327686:PQH327703 QAD327686:QAD327703 QJZ327686:QJZ327703 QTV327686:QTV327703 RDR327686:RDR327703 RNN327686:RNN327703 RXJ327686:RXJ327703 SHF327686:SHF327703 SRB327686:SRB327703 TAX327686:TAX327703 TKT327686:TKT327703 TUP327686:TUP327703 UEL327686:UEL327703 UOH327686:UOH327703 UYD327686:UYD327703 VHZ327686:VHZ327703 VRV327686:VRV327703 WBR327686:WBR327703 WLN327686:WLN327703 WVJ327686:WVJ327703 B393222:B393239 IX393222:IX393239 ST393222:ST393239 ACP393222:ACP393239 AML393222:AML393239 AWH393222:AWH393239 BGD393222:BGD393239 BPZ393222:BPZ393239 BZV393222:BZV393239 CJR393222:CJR393239 CTN393222:CTN393239 DDJ393222:DDJ393239 DNF393222:DNF393239 DXB393222:DXB393239 EGX393222:EGX393239 EQT393222:EQT393239 FAP393222:FAP393239 FKL393222:FKL393239 FUH393222:FUH393239 GED393222:GED393239 GNZ393222:GNZ393239 GXV393222:GXV393239 HHR393222:HHR393239 HRN393222:HRN393239 IBJ393222:IBJ393239 ILF393222:ILF393239 IVB393222:IVB393239 JEX393222:JEX393239 JOT393222:JOT393239 JYP393222:JYP393239 KIL393222:KIL393239 KSH393222:KSH393239 LCD393222:LCD393239 LLZ393222:LLZ393239 LVV393222:LVV393239 MFR393222:MFR393239 MPN393222:MPN393239 MZJ393222:MZJ393239 NJF393222:NJF393239 NTB393222:NTB393239 OCX393222:OCX393239 OMT393222:OMT393239 OWP393222:OWP393239 PGL393222:PGL393239 PQH393222:PQH393239 QAD393222:QAD393239 QJZ393222:QJZ393239 QTV393222:QTV393239 RDR393222:RDR393239 RNN393222:RNN393239 RXJ393222:RXJ393239 SHF393222:SHF393239 SRB393222:SRB393239 TAX393222:TAX393239 TKT393222:TKT393239 TUP393222:TUP393239 UEL393222:UEL393239 UOH393222:UOH393239 UYD393222:UYD393239 VHZ393222:VHZ393239 VRV393222:VRV393239 WBR393222:WBR393239 WLN393222:WLN393239 WVJ393222:WVJ393239 B458758:B458775 IX458758:IX458775 ST458758:ST458775 ACP458758:ACP458775 AML458758:AML458775 AWH458758:AWH458775 BGD458758:BGD458775 BPZ458758:BPZ458775 BZV458758:BZV458775 CJR458758:CJR458775 CTN458758:CTN458775 DDJ458758:DDJ458775 DNF458758:DNF458775 DXB458758:DXB458775 EGX458758:EGX458775 EQT458758:EQT458775 FAP458758:FAP458775 FKL458758:FKL458775 FUH458758:FUH458775 GED458758:GED458775 GNZ458758:GNZ458775 GXV458758:GXV458775 HHR458758:HHR458775 HRN458758:HRN458775 IBJ458758:IBJ458775 ILF458758:ILF458775 IVB458758:IVB458775 JEX458758:JEX458775 JOT458758:JOT458775 JYP458758:JYP458775 KIL458758:KIL458775 KSH458758:KSH458775 LCD458758:LCD458775 LLZ458758:LLZ458775 LVV458758:LVV458775 MFR458758:MFR458775 MPN458758:MPN458775 MZJ458758:MZJ458775 NJF458758:NJF458775 NTB458758:NTB458775 OCX458758:OCX458775 OMT458758:OMT458775 OWP458758:OWP458775 PGL458758:PGL458775 PQH458758:PQH458775 QAD458758:QAD458775 QJZ458758:QJZ458775 QTV458758:QTV458775 RDR458758:RDR458775 RNN458758:RNN458775 RXJ458758:RXJ458775 SHF458758:SHF458775 SRB458758:SRB458775 TAX458758:TAX458775 TKT458758:TKT458775 TUP458758:TUP458775 UEL458758:UEL458775 UOH458758:UOH458775 UYD458758:UYD458775 VHZ458758:VHZ458775 VRV458758:VRV458775 WBR458758:WBR458775 WLN458758:WLN458775 WVJ458758:WVJ458775 B524294:B524311 IX524294:IX524311 ST524294:ST524311 ACP524294:ACP524311 AML524294:AML524311 AWH524294:AWH524311 BGD524294:BGD524311 BPZ524294:BPZ524311 BZV524294:BZV524311 CJR524294:CJR524311 CTN524294:CTN524311 DDJ524294:DDJ524311 DNF524294:DNF524311 DXB524294:DXB524311 EGX524294:EGX524311 EQT524294:EQT524311 FAP524294:FAP524311 FKL524294:FKL524311 FUH524294:FUH524311 GED524294:GED524311 GNZ524294:GNZ524311 GXV524294:GXV524311 HHR524294:HHR524311 HRN524294:HRN524311 IBJ524294:IBJ524311 ILF524294:ILF524311 IVB524294:IVB524311 JEX524294:JEX524311 JOT524294:JOT524311 JYP524294:JYP524311 KIL524294:KIL524311 KSH524294:KSH524311 LCD524294:LCD524311 LLZ524294:LLZ524311 LVV524294:LVV524311 MFR524294:MFR524311 MPN524294:MPN524311 MZJ524294:MZJ524311 NJF524294:NJF524311 NTB524294:NTB524311 OCX524294:OCX524311 OMT524294:OMT524311 OWP524294:OWP524311 PGL524294:PGL524311 PQH524294:PQH524311 QAD524294:QAD524311 QJZ524294:QJZ524311 QTV524294:QTV524311 RDR524294:RDR524311 RNN524294:RNN524311 RXJ524294:RXJ524311 SHF524294:SHF524311 SRB524294:SRB524311 TAX524294:TAX524311 TKT524294:TKT524311 TUP524294:TUP524311 UEL524294:UEL524311 UOH524294:UOH524311 UYD524294:UYD524311 VHZ524294:VHZ524311 VRV524294:VRV524311 WBR524294:WBR524311 WLN524294:WLN524311 WVJ524294:WVJ524311 B589830:B589847 IX589830:IX589847 ST589830:ST589847 ACP589830:ACP589847 AML589830:AML589847 AWH589830:AWH589847 BGD589830:BGD589847 BPZ589830:BPZ589847 BZV589830:BZV589847 CJR589830:CJR589847 CTN589830:CTN589847 DDJ589830:DDJ589847 DNF589830:DNF589847 DXB589830:DXB589847 EGX589830:EGX589847 EQT589830:EQT589847 FAP589830:FAP589847 FKL589830:FKL589847 FUH589830:FUH589847 GED589830:GED589847 GNZ589830:GNZ589847 GXV589830:GXV589847 HHR589830:HHR589847 HRN589830:HRN589847 IBJ589830:IBJ589847 ILF589830:ILF589847 IVB589830:IVB589847 JEX589830:JEX589847 JOT589830:JOT589847 JYP589830:JYP589847 KIL589830:KIL589847 KSH589830:KSH589847 LCD589830:LCD589847 LLZ589830:LLZ589847 LVV589830:LVV589847 MFR589830:MFR589847 MPN589830:MPN589847 MZJ589830:MZJ589847 NJF589830:NJF589847 NTB589830:NTB589847 OCX589830:OCX589847 OMT589830:OMT589847 OWP589830:OWP589847 PGL589830:PGL589847 PQH589830:PQH589847 QAD589830:QAD589847 QJZ589830:QJZ589847 QTV589830:QTV589847 RDR589830:RDR589847 RNN589830:RNN589847 RXJ589830:RXJ589847 SHF589830:SHF589847 SRB589830:SRB589847 TAX589830:TAX589847 TKT589830:TKT589847 TUP589830:TUP589847 UEL589830:UEL589847 UOH589830:UOH589847 UYD589830:UYD589847 VHZ589830:VHZ589847 VRV589830:VRV589847 WBR589830:WBR589847 WLN589830:WLN589847 WVJ589830:WVJ589847 B655366:B655383 IX655366:IX655383 ST655366:ST655383 ACP655366:ACP655383 AML655366:AML655383 AWH655366:AWH655383 BGD655366:BGD655383 BPZ655366:BPZ655383 BZV655366:BZV655383 CJR655366:CJR655383 CTN655366:CTN655383 DDJ655366:DDJ655383 DNF655366:DNF655383 DXB655366:DXB655383 EGX655366:EGX655383 EQT655366:EQT655383 FAP655366:FAP655383 FKL655366:FKL655383 FUH655366:FUH655383 GED655366:GED655383 GNZ655366:GNZ655383 GXV655366:GXV655383 HHR655366:HHR655383 HRN655366:HRN655383 IBJ655366:IBJ655383 ILF655366:ILF655383 IVB655366:IVB655383 JEX655366:JEX655383 JOT655366:JOT655383 JYP655366:JYP655383 KIL655366:KIL655383 KSH655366:KSH655383 LCD655366:LCD655383 LLZ655366:LLZ655383 LVV655366:LVV655383 MFR655366:MFR655383 MPN655366:MPN655383 MZJ655366:MZJ655383 NJF655366:NJF655383 NTB655366:NTB655383 OCX655366:OCX655383 OMT655366:OMT655383 OWP655366:OWP655383 PGL655366:PGL655383 PQH655366:PQH655383 QAD655366:QAD655383 QJZ655366:QJZ655383 QTV655366:QTV655383 RDR655366:RDR655383 RNN655366:RNN655383 RXJ655366:RXJ655383 SHF655366:SHF655383 SRB655366:SRB655383 TAX655366:TAX655383 TKT655366:TKT655383 TUP655366:TUP655383 UEL655366:UEL655383 UOH655366:UOH655383 UYD655366:UYD655383 VHZ655366:VHZ655383 VRV655366:VRV655383 WBR655366:WBR655383 WLN655366:WLN655383 WVJ655366:WVJ655383 B720902:B720919 IX720902:IX720919 ST720902:ST720919 ACP720902:ACP720919 AML720902:AML720919 AWH720902:AWH720919 BGD720902:BGD720919 BPZ720902:BPZ720919 BZV720902:BZV720919 CJR720902:CJR720919 CTN720902:CTN720919 DDJ720902:DDJ720919 DNF720902:DNF720919 DXB720902:DXB720919 EGX720902:EGX720919 EQT720902:EQT720919 FAP720902:FAP720919 FKL720902:FKL720919 FUH720902:FUH720919 GED720902:GED720919 GNZ720902:GNZ720919 GXV720902:GXV720919 HHR720902:HHR720919 HRN720902:HRN720919 IBJ720902:IBJ720919 ILF720902:ILF720919 IVB720902:IVB720919 JEX720902:JEX720919 JOT720902:JOT720919 JYP720902:JYP720919 KIL720902:KIL720919 KSH720902:KSH720919 LCD720902:LCD720919 LLZ720902:LLZ720919 LVV720902:LVV720919 MFR720902:MFR720919 MPN720902:MPN720919 MZJ720902:MZJ720919 NJF720902:NJF720919 NTB720902:NTB720919 OCX720902:OCX720919 OMT720902:OMT720919 OWP720902:OWP720919 PGL720902:PGL720919 PQH720902:PQH720919 QAD720902:QAD720919 QJZ720902:QJZ720919 QTV720902:QTV720919 RDR720902:RDR720919 RNN720902:RNN720919 RXJ720902:RXJ720919 SHF720902:SHF720919 SRB720902:SRB720919 TAX720902:TAX720919 TKT720902:TKT720919 TUP720902:TUP720919 UEL720902:UEL720919 UOH720902:UOH720919 UYD720902:UYD720919 VHZ720902:VHZ720919 VRV720902:VRV720919 WBR720902:WBR720919 WLN720902:WLN720919 WVJ720902:WVJ720919 B786438:B786455 IX786438:IX786455 ST786438:ST786455 ACP786438:ACP786455 AML786438:AML786455 AWH786438:AWH786455 BGD786438:BGD786455 BPZ786438:BPZ786455 BZV786438:BZV786455 CJR786438:CJR786455 CTN786438:CTN786455 DDJ786438:DDJ786455 DNF786438:DNF786455 DXB786438:DXB786455 EGX786438:EGX786455 EQT786438:EQT786455 FAP786438:FAP786455 FKL786438:FKL786455 FUH786438:FUH786455 GED786438:GED786455 GNZ786438:GNZ786455 GXV786438:GXV786455 HHR786438:HHR786455 HRN786438:HRN786455 IBJ786438:IBJ786455 ILF786438:ILF786455 IVB786438:IVB786455 JEX786438:JEX786455 JOT786438:JOT786455 JYP786438:JYP786455 KIL786438:KIL786455 KSH786438:KSH786455 LCD786438:LCD786455 LLZ786438:LLZ786455 LVV786438:LVV786455 MFR786438:MFR786455 MPN786438:MPN786455 MZJ786438:MZJ786455 NJF786438:NJF786455 NTB786438:NTB786455 OCX786438:OCX786455 OMT786438:OMT786455 OWP786438:OWP786455 PGL786438:PGL786455 PQH786438:PQH786455 QAD786438:QAD786455 QJZ786438:QJZ786455 QTV786438:QTV786455 RDR786438:RDR786455 RNN786438:RNN786455 RXJ786438:RXJ786455 SHF786438:SHF786455 SRB786438:SRB786455 TAX786438:TAX786455 TKT786438:TKT786455 TUP786438:TUP786455 UEL786438:UEL786455 UOH786438:UOH786455 UYD786438:UYD786455 VHZ786438:VHZ786455 VRV786438:VRV786455 WBR786438:WBR786455 WLN786438:WLN786455 WVJ786438:WVJ786455 B851974:B851991 IX851974:IX851991 ST851974:ST851991 ACP851974:ACP851991 AML851974:AML851991 AWH851974:AWH851991 BGD851974:BGD851991 BPZ851974:BPZ851991 BZV851974:BZV851991 CJR851974:CJR851991 CTN851974:CTN851991 DDJ851974:DDJ851991 DNF851974:DNF851991 DXB851974:DXB851991 EGX851974:EGX851991 EQT851974:EQT851991 FAP851974:FAP851991 FKL851974:FKL851991 FUH851974:FUH851991 GED851974:GED851991 GNZ851974:GNZ851991 GXV851974:GXV851991 HHR851974:HHR851991 HRN851974:HRN851991 IBJ851974:IBJ851991 ILF851974:ILF851991 IVB851974:IVB851991 JEX851974:JEX851991 JOT851974:JOT851991 JYP851974:JYP851991 KIL851974:KIL851991 KSH851974:KSH851991 LCD851974:LCD851991 LLZ851974:LLZ851991 LVV851974:LVV851991 MFR851974:MFR851991 MPN851974:MPN851991 MZJ851974:MZJ851991 NJF851974:NJF851991 NTB851974:NTB851991 OCX851974:OCX851991 OMT851974:OMT851991 OWP851974:OWP851991 PGL851974:PGL851991 PQH851974:PQH851991 QAD851974:QAD851991 QJZ851974:QJZ851991 QTV851974:QTV851991 RDR851974:RDR851991 RNN851974:RNN851991 RXJ851974:RXJ851991 SHF851974:SHF851991 SRB851974:SRB851991 TAX851974:TAX851991 TKT851974:TKT851991 TUP851974:TUP851991 UEL851974:UEL851991 UOH851974:UOH851991 UYD851974:UYD851991 VHZ851974:VHZ851991 VRV851974:VRV851991 WBR851974:WBR851991 WLN851974:WLN851991 WVJ851974:WVJ851991 B917510:B917527 IX917510:IX917527 ST917510:ST917527 ACP917510:ACP917527 AML917510:AML917527 AWH917510:AWH917527 BGD917510:BGD917527 BPZ917510:BPZ917527 BZV917510:BZV917527 CJR917510:CJR917527 CTN917510:CTN917527 DDJ917510:DDJ917527 DNF917510:DNF917527 DXB917510:DXB917527 EGX917510:EGX917527 EQT917510:EQT917527 FAP917510:FAP917527 FKL917510:FKL917527 FUH917510:FUH917527 GED917510:GED917527 GNZ917510:GNZ917527 GXV917510:GXV917527 HHR917510:HHR917527 HRN917510:HRN917527 IBJ917510:IBJ917527 ILF917510:ILF917527 IVB917510:IVB917527 JEX917510:JEX917527 JOT917510:JOT917527 JYP917510:JYP917527 KIL917510:KIL917527 KSH917510:KSH917527 LCD917510:LCD917527 LLZ917510:LLZ917527 LVV917510:LVV917527 MFR917510:MFR917527 MPN917510:MPN917527 MZJ917510:MZJ917527 NJF917510:NJF917527 NTB917510:NTB917527 OCX917510:OCX917527 OMT917510:OMT917527 OWP917510:OWP917527 PGL917510:PGL917527 PQH917510:PQH917527 QAD917510:QAD917527 QJZ917510:QJZ917527 QTV917510:QTV917527 RDR917510:RDR917527 RNN917510:RNN917527 RXJ917510:RXJ917527 SHF917510:SHF917527 SRB917510:SRB917527 TAX917510:TAX917527 TKT917510:TKT917527 TUP917510:TUP917527 UEL917510:UEL917527 UOH917510:UOH917527 UYD917510:UYD917527 VHZ917510:VHZ917527 VRV917510:VRV917527 WBR917510:WBR917527 WLN917510:WLN917527 WVJ917510:WVJ917527" xr:uid="{00000000-0002-0000-3C00-000000000000}">
      <formula1>trung</formula1>
    </dataValidation>
  </dataValidations>
  <pageMargins left="0.7" right="0.7" top="0.75" bottom="0.75" header="0.3" footer="0.3"/>
  <pageSetup paperSize="9" orientation="portrait"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374"/>
  <sheetViews>
    <sheetView topLeftCell="A39"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2357</v>
      </c>
      <c r="B8" s="420"/>
      <c r="C8" s="420"/>
      <c r="D8" s="420"/>
      <c r="E8" s="420"/>
      <c r="F8" s="420"/>
      <c r="G8" s="420"/>
      <c r="H8" s="420"/>
    </row>
    <row r="9" spans="1:8" s="98" customFormat="1" ht="23.25" customHeight="1">
      <c r="A9" s="420" t="s">
        <v>2358</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2359</v>
      </c>
      <c r="C13" s="425"/>
      <c r="D13" s="425"/>
      <c r="E13" s="425"/>
      <c r="F13" s="425"/>
      <c r="G13" s="73">
        <f>G14+G16</f>
        <v>12401600</v>
      </c>
      <c r="H13" s="74"/>
    </row>
    <row r="14" spans="1:8" s="12" customFormat="1" ht="21.75" customHeight="1">
      <c r="A14" s="212">
        <v>1</v>
      </c>
      <c r="B14" s="452" t="s">
        <v>2102</v>
      </c>
      <c r="C14" s="452"/>
      <c r="D14" s="452"/>
      <c r="E14" s="213"/>
      <c r="F14" s="214"/>
      <c r="G14" s="215">
        <f>G15</f>
        <v>5552000</v>
      </c>
      <c r="H14" s="216"/>
    </row>
    <row r="15" spans="1:8" s="131" customFormat="1" ht="46.8">
      <c r="A15" s="123"/>
      <c r="B15" s="124" t="s">
        <v>2360</v>
      </c>
      <c r="C15" s="125" t="s">
        <v>1753</v>
      </c>
      <c r="D15" s="126">
        <v>69.400000000000006</v>
      </c>
      <c r="E15" s="127">
        <v>80000</v>
      </c>
      <c r="F15" s="128">
        <v>1</v>
      </c>
      <c r="G15" s="129">
        <f>D15*E15*F15</f>
        <v>5552000</v>
      </c>
      <c r="H15" s="130"/>
    </row>
    <row r="16" spans="1:8" s="12" customFormat="1" ht="21.75" customHeight="1">
      <c r="A16" s="212">
        <v>2</v>
      </c>
      <c r="B16" s="219" t="s">
        <v>2116</v>
      </c>
      <c r="C16" s="220"/>
      <c r="D16" s="221"/>
      <c r="E16" s="222"/>
      <c r="F16" s="223"/>
      <c r="G16" s="224">
        <f>G18+G19</f>
        <v>6849600</v>
      </c>
      <c r="H16" s="216"/>
    </row>
    <row r="17" spans="1:9" s="229" customFormat="1" ht="204" customHeight="1">
      <c r="A17" s="454" t="s">
        <v>2117</v>
      </c>
      <c r="B17" s="456" t="s">
        <v>2123</v>
      </c>
      <c r="C17" s="227" t="s">
        <v>2124</v>
      </c>
      <c r="D17" s="227" t="s">
        <v>2125</v>
      </c>
      <c r="E17" s="228" t="s">
        <v>2126</v>
      </c>
      <c r="F17" s="227" t="s">
        <v>2127</v>
      </c>
      <c r="G17" s="227" t="s">
        <v>2128</v>
      </c>
      <c r="H17" s="227" t="s">
        <v>2129</v>
      </c>
    </row>
    <row r="18" spans="1:9" s="229" customFormat="1" ht="47.25" customHeight="1">
      <c r="A18" s="455"/>
      <c r="B18" s="457"/>
      <c r="C18" s="278">
        <v>4</v>
      </c>
      <c r="D18" s="279">
        <f>IF(H18&lt;30%,3,IF(H18&lt;70%,6,IF(H18&gt;70%,12,0)))</f>
        <v>3</v>
      </c>
      <c r="E18" s="280">
        <v>14400</v>
      </c>
      <c r="F18" s="281">
        <f>IF(H18&lt;30%,30,IF(H18&gt;30%,30))</f>
        <v>30</v>
      </c>
      <c r="G18" s="282">
        <f>C18*D18*E18*F18</f>
        <v>5184000</v>
      </c>
      <c r="H18" s="283">
        <f>D15/5760</f>
        <v>1.2048611111111112E-2</v>
      </c>
    </row>
    <row r="19" spans="1:9" s="229" customFormat="1" ht="96.6">
      <c r="A19" s="237" t="s">
        <v>2122</v>
      </c>
      <c r="B19" s="238" t="s">
        <v>2131</v>
      </c>
      <c r="C19" s="239" t="s">
        <v>66</v>
      </c>
      <c r="D19" s="240">
        <f>D15</f>
        <v>69.400000000000006</v>
      </c>
      <c r="E19" s="241">
        <v>80000</v>
      </c>
      <c r="F19" s="242">
        <f>30%</f>
        <v>0.3</v>
      </c>
      <c r="G19" s="246">
        <f>D19*E19*F19</f>
        <v>1665600</v>
      </c>
      <c r="H19" s="244"/>
      <c r="I19" s="245"/>
    </row>
    <row r="20" spans="1:9" ht="27" customHeight="1">
      <c r="A20" s="75" t="s">
        <v>18</v>
      </c>
      <c r="B20" s="426" t="s">
        <v>1725</v>
      </c>
      <c r="C20" s="426"/>
      <c r="D20" s="426"/>
      <c r="E20" s="426"/>
      <c r="F20" s="426"/>
      <c r="G20" s="76">
        <f>SUM(G21:G40)</f>
        <v>22683464.21024134</v>
      </c>
      <c r="H20" s="11"/>
    </row>
    <row r="21" spans="1:9" ht="31.2">
      <c r="A21" s="77">
        <v>1</v>
      </c>
      <c r="B21" s="78" t="s">
        <v>2361</v>
      </c>
      <c r="C21" s="14" t="s">
        <v>1754</v>
      </c>
      <c r="D21" s="132">
        <f>(7*5+3.5*16.9)*0.1</f>
        <v>9.4149999999999991</v>
      </c>
      <c r="E21" s="15">
        <v>1629758</v>
      </c>
      <c r="F21" s="187">
        <v>0.2</v>
      </c>
      <c r="G21" s="79">
        <f t="shared" ref="G21:G40" si="0">D21*E21*F21</f>
        <v>3068834.3139999998</v>
      </c>
      <c r="H21" s="15"/>
    </row>
    <row r="22" spans="1:9" ht="46.8">
      <c r="A22" s="77">
        <v>2</v>
      </c>
      <c r="B22" s="78" t="s">
        <v>2362</v>
      </c>
      <c r="C22" s="14" t="s">
        <v>1754</v>
      </c>
      <c r="D22" s="132">
        <f>(2.7*(1.2+0.5)+(3.2*1))*0.11</f>
        <v>0.8569</v>
      </c>
      <c r="E22" s="15">
        <v>1081965</v>
      </c>
      <c r="F22" s="187">
        <v>0.2</v>
      </c>
      <c r="G22" s="79">
        <f>D22*E22*F22</f>
        <v>185427.16170000003</v>
      </c>
      <c r="H22" s="15"/>
    </row>
    <row r="23" spans="1:9" ht="15.6">
      <c r="A23" s="77">
        <v>3</v>
      </c>
      <c r="B23" s="78" t="s">
        <v>2363</v>
      </c>
      <c r="C23" s="14" t="s">
        <v>66</v>
      </c>
      <c r="D23" s="132">
        <f>8.5*2.7</f>
        <v>22.950000000000003</v>
      </c>
      <c r="E23" s="15">
        <v>550000</v>
      </c>
      <c r="F23" s="187">
        <v>0.2</v>
      </c>
      <c r="G23" s="79">
        <f t="shared" si="0"/>
        <v>2524500.0000000005</v>
      </c>
      <c r="H23" s="15"/>
    </row>
    <row r="24" spans="1:9" ht="31.2">
      <c r="A24" s="77">
        <v>4</v>
      </c>
      <c r="B24" s="78" t="s">
        <v>2364</v>
      </c>
      <c r="C24" s="14" t="s">
        <v>66</v>
      </c>
      <c r="D24" s="132">
        <f>16.9*0.5+4.75*4</f>
        <v>27.45</v>
      </c>
      <c r="E24" s="15">
        <v>488333</v>
      </c>
      <c r="F24" s="187">
        <v>0.2</v>
      </c>
      <c r="G24" s="79">
        <f t="shared" si="0"/>
        <v>2680948.17</v>
      </c>
      <c r="H24" s="15"/>
    </row>
    <row r="25" spans="1:9" ht="46.8">
      <c r="A25" s="77">
        <v>5</v>
      </c>
      <c r="B25" s="78" t="s">
        <v>2365</v>
      </c>
      <c r="C25" s="14" t="s">
        <v>1754</v>
      </c>
      <c r="D25" s="132">
        <f>3.1*2.3*0.1+5*3.4*0.1+6.3*4.5*0.1</f>
        <v>5.2480000000000002</v>
      </c>
      <c r="E25" s="15">
        <v>1629758</v>
      </c>
      <c r="F25" s="187">
        <v>0.2</v>
      </c>
      <c r="G25" s="79">
        <f t="shared" si="0"/>
        <v>1710593.9968000003</v>
      </c>
      <c r="H25" s="15"/>
    </row>
    <row r="26" spans="1:9" ht="31.2">
      <c r="A26" s="77">
        <v>6</v>
      </c>
      <c r="B26" s="78" t="s">
        <v>2366</v>
      </c>
      <c r="C26" s="14" t="s">
        <v>66</v>
      </c>
      <c r="D26" s="132">
        <f>6.3*2.6+4.8*3.5</f>
        <v>33.18</v>
      </c>
      <c r="E26" s="15">
        <v>251669</v>
      </c>
      <c r="F26" s="187">
        <v>0.2</v>
      </c>
      <c r="G26" s="79">
        <f t="shared" si="0"/>
        <v>1670075.4840000002</v>
      </c>
      <c r="H26" s="15"/>
    </row>
    <row r="27" spans="1:9" ht="62.4">
      <c r="A27" s="77">
        <v>7</v>
      </c>
      <c r="B27" s="78" t="s">
        <v>2367</v>
      </c>
      <c r="C27" s="14" t="s">
        <v>1754</v>
      </c>
      <c r="D27" s="132">
        <f>0.13*0.14*2.8+2*(0.16*0.12*2.8)+0.13*0.15*2.8+0.1*0.12*2.8</f>
        <v>0.24667999999999998</v>
      </c>
      <c r="E27" s="284">
        <v>7050138</v>
      </c>
      <c r="F27" s="187">
        <v>0.2</v>
      </c>
      <c r="G27" s="79">
        <f t="shared" si="0"/>
        <v>347825.60836800002</v>
      </c>
      <c r="H27" s="15"/>
    </row>
    <row r="28" spans="1:9" ht="31.2">
      <c r="A28" s="77">
        <v>8</v>
      </c>
      <c r="B28" s="78" t="s">
        <v>2368</v>
      </c>
      <c r="C28" s="14" t="s">
        <v>1754</v>
      </c>
      <c r="D28" s="132">
        <f>(4.7*0.7+1.5*1.3)*0.11</f>
        <v>0.57640000000000002</v>
      </c>
      <c r="E28" s="285" t="s">
        <v>2369</v>
      </c>
      <c r="F28" s="187">
        <v>0.2</v>
      </c>
      <c r="G28" s="79">
        <f t="shared" si="0"/>
        <v>245167.47464000003</v>
      </c>
      <c r="H28" s="15"/>
    </row>
    <row r="29" spans="1:9" ht="46.8">
      <c r="A29" s="77">
        <v>9</v>
      </c>
      <c r="B29" s="78" t="s">
        <v>2370</v>
      </c>
      <c r="C29" s="14" t="s">
        <v>66</v>
      </c>
      <c r="D29" s="132">
        <f>4.7*(0.7+0.8)+(0.7+0.8)*3.3+0.8*3.4</f>
        <v>14.72</v>
      </c>
      <c r="E29" s="15">
        <v>103000</v>
      </c>
      <c r="F29" s="187">
        <v>0.2</v>
      </c>
      <c r="G29" s="79">
        <f t="shared" si="0"/>
        <v>303232</v>
      </c>
      <c r="H29" s="15"/>
    </row>
    <row r="30" spans="1:9" ht="15.6">
      <c r="A30" s="77">
        <v>10</v>
      </c>
      <c r="B30" s="78" t="s">
        <v>2371</v>
      </c>
      <c r="C30" s="14" t="s">
        <v>66</v>
      </c>
      <c r="D30" s="132">
        <f>3.4*2</f>
        <v>6.8</v>
      </c>
      <c r="E30" s="15">
        <v>550000</v>
      </c>
      <c r="F30" s="187">
        <v>0.2</v>
      </c>
      <c r="G30" s="79">
        <f t="shared" si="0"/>
        <v>748000</v>
      </c>
      <c r="H30" s="15"/>
    </row>
    <row r="31" spans="1:9" ht="46.8">
      <c r="A31" s="77">
        <v>11</v>
      </c>
      <c r="B31" s="78" t="s">
        <v>2372</v>
      </c>
      <c r="C31" s="14" t="s">
        <v>66</v>
      </c>
      <c r="D31" s="132">
        <f>4.6*3.1</f>
        <v>14.26</v>
      </c>
      <c r="E31" s="15">
        <v>1816290</v>
      </c>
      <c r="F31" s="187">
        <v>0.2</v>
      </c>
      <c r="G31" s="79">
        <f t="shared" si="0"/>
        <v>5180059.08</v>
      </c>
      <c r="H31" s="15"/>
    </row>
    <row r="32" spans="1:9" ht="42.75" customHeight="1">
      <c r="A32" s="77"/>
      <c r="B32" s="78" t="s">
        <v>2373</v>
      </c>
      <c r="C32" s="14" t="s">
        <v>1754</v>
      </c>
      <c r="D32" s="132">
        <f>(3.2-2.5)*(4.6+3.1)*2*0.11</f>
        <v>1.1858000000000002</v>
      </c>
      <c r="E32" s="285" t="s">
        <v>2369</v>
      </c>
      <c r="F32" s="187">
        <v>0.2</v>
      </c>
      <c r="G32" s="79">
        <f t="shared" si="0"/>
        <v>504371.25508000015</v>
      </c>
      <c r="H32" s="15"/>
    </row>
    <row r="33" spans="1:8" ht="31.2">
      <c r="A33" s="77"/>
      <c r="B33" s="78" t="s">
        <v>2374</v>
      </c>
      <c r="C33" s="14" t="s">
        <v>66</v>
      </c>
      <c r="D33" s="132">
        <f>-(3.1*1+4.6*1+3.2*4.6)*2</f>
        <v>-44.839999999999996</v>
      </c>
      <c r="E33" s="15">
        <f>(141099+105359)/2</f>
        <v>123229</v>
      </c>
      <c r="F33" s="187">
        <v>0.2</v>
      </c>
      <c r="G33" s="79">
        <f t="shared" si="0"/>
        <v>-1105117.672</v>
      </c>
      <c r="H33" s="15"/>
    </row>
    <row r="34" spans="1:8" ht="15.6">
      <c r="A34" s="77"/>
      <c r="B34" s="78" t="s">
        <v>2375</v>
      </c>
      <c r="C34" s="14" t="s">
        <v>1754</v>
      </c>
      <c r="D34" s="132">
        <f>-1.8*0.6*0.11</f>
        <v>-0.1188</v>
      </c>
      <c r="E34" s="285" t="s">
        <v>2369</v>
      </c>
      <c r="F34" s="187">
        <v>0.2</v>
      </c>
      <c r="G34" s="79">
        <f t="shared" si="0"/>
        <v>-50530.700880000004</v>
      </c>
      <c r="H34" s="15"/>
    </row>
    <row r="35" spans="1:8" ht="15.6">
      <c r="A35" s="77">
        <v>12</v>
      </c>
      <c r="B35" s="78" t="s">
        <v>2376</v>
      </c>
      <c r="C35" s="14" t="s">
        <v>1754</v>
      </c>
      <c r="D35" s="132">
        <f>0.1*0.1*1.8</f>
        <v>1.8000000000000006E-2</v>
      </c>
      <c r="E35" s="284">
        <v>7050138</v>
      </c>
      <c r="F35" s="187">
        <v>0.2</v>
      </c>
      <c r="G35" s="79">
        <f t="shared" si="0"/>
        <v>25380.496800000008</v>
      </c>
      <c r="H35" s="15"/>
    </row>
    <row r="36" spans="1:8" ht="46.8">
      <c r="A36" s="77">
        <v>13</v>
      </c>
      <c r="B36" s="78" t="s">
        <v>2377</v>
      </c>
      <c r="C36" s="14" t="s">
        <v>66</v>
      </c>
      <c r="D36" s="132">
        <f>2.3*2.9+4.7*2.9+2.6*3+3*1.6+1.9*1.7</f>
        <v>36.130000000000003</v>
      </c>
      <c r="E36" s="15">
        <v>214934</v>
      </c>
      <c r="F36" s="187">
        <v>0.2</v>
      </c>
      <c r="G36" s="79">
        <f t="shared" si="0"/>
        <v>1553113.0840000003</v>
      </c>
      <c r="H36" s="15"/>
    </row>
    <row r="37" spans="1:8" ht="46.8">
      <c r="A37" s="77">
        <v>14</v>
      </c>
      <c r="B37" s="78" t="s">
        <v>2378</v>
      </c>
      <c r="C37" s="14" t="s">
        <v>1755</v>
      </c>
      <c r="D37" s="132">
        <f>(46.61/6)*2.8*5</f>
        <v>108.75666666666666</v>
      </c>
      <c r="E37" s="15">
        <v>19900</v>
      </c>
      <c r="F37" s="187">
        <v>0.2</v>
      </c>
      <c r="G37" s="79">
        <f t="shared" si="0"/>
        <v>432851.53333333333</v>
      </c>
      <c r="H37" s="15"/>
    </row>
    <row r="38" spans="1:8" ht="15.6">
      <c r="A38" s="77">
        <v>15</v>
      </c>
      <c r="B38" s="78" t="s">
        <v>2379</v>
      </c>
      <c r="C38" s="14" t="s">
        <v>66</v>
      </c>
      <c r="D38" s="132">
        <f>2.9*3.1</f>
        <v>8.99</v>
      </c>
      <c r="E38" s="15">
        <v>550000</v>
      </c>
      <c r="F38" s="187">
        <v>0.2</v>
      </c>
      <c r="G38" s="79">
        <f t="shared" si="0"/>
        <v>988900</v>
      </c>
      <c r="H38" s="15"/>
    </row>
    <row r="39" spans="1:8" ht="31.2">
      <c r="A39" s="77">
        <v>16</v>
      </c>
      <c r="B39" s="78" t="s">
        <v>2380</v>
      </c>
      <c r="C39" s="14" t="s">
        <v>1754</v>
      </c>
      <c r="D39" s="132">
        <f>0.3*0.3*1.3*2</f>
        <v>0.23399999999999999</v>
      </c>
      <c r="E39" s="284">
        <v>2623803</v>
      </c>
      <c r="F39" s="187">
        <v>0.2</v>
      </c>
      <c r="G39" s="79">
        <f t="shared" si="0"/>
        <v>122793.9804</v>
      </c>
      <c r="H39" s="15"/>
    </row>
    <row r="40" spans="1:8" ht="31.2">
      <c r="A40" s="77">
        <v>17</v>
      </c>
      <c r="B40" s="78" t="s">
        <v>2381</v>
      </c>
      <c r="C40" s="14" t="s">
        <v>66</v>
      </c>
      <c r="D40" s="132">
        <f>3.6*4.4</f>
        <v>15.840000000000002</v>
      </c>
      <c r="E40" s="15">
        <v>488333</v>
      </c>
      <c r="F40" s="187">
        <v>0.2</v>
      </c>
      <c r="G40" s="79">
        <f t="shared" si="0"/>
        <v>1547038.9440000001</v>
      </c>
      <c r="H40" s="15"/>
    </row>
    <row r="41" spans="1:8" ht="24" customHeight="1">
      <c r="A41" s="75" t="s">
        <v>19</v>
      </c>
      <c r="B41" s="426" t="s">
        <v>1727</v>
      </c>
      <c r="C41" s="426"/>
      <c r="D41" s="426"/>
      <c r="E41" s="426"/>
      <c r="F41" s="426"/>
      <c r="G41" s="76">
        <f>SUM(G42:G43)</f>
        <v>699250</v>
      </c>
      <c r="H41" s="11"/>
    </row>
    <row r="42" spans="1:8" s="12" customFormat="1" ht="34.200000000000003" customHeight="1">
      <c r="A42" s="94">
        <v>1</v>
      </c>
      <c r="B42" s="47" t="s">
        <v>816</v>
      </c>
      <c r="C42" s="14" t="s">
        <v>1724</v>
      </c>
      <c r="D42" s="14">
        <v>1</v>
      </c>
      <c r="E42" s="79" t="str">
        <f>VLOOKUP(B42,'[20]Đơn giá cây cối'!$A$2:$C$1361,3,0)</f>
        <v>2.737.000</v>
      </c>
      <c r="F42" s="132">
        <v>0.25</v>
      </c>
      <c r="G42" s="79">
        <f>D42*E42*F42</f>
        <v>684250</v>
      </c>
      <c r="H42" s="95"/>
    </row>
    <row r="43" spans="1:8" s="12" customFormat="1" ht="34.200000000000003" customHeight="1">
      <c r="A43" s="94">
        <v>2</v>
      </c>
      <c r="B43" s="46" t="s">
        <v>2157</v>
      </c>
      <c r="C43" s="14" t="s">
        <v>66</v>
      </c>
      <c r="D43" s="14">
        <v>3</v>
      </c>
      <c r="E43" s="79" t="str">
        <f>VLOOKUP(B43,'[20]Đơn giá cây cối'!$A$2:$C$1361,3,0)</f>
        <v>20.000</v>
      </c>
      <c r="F43" s="132">
        <v>0.25</v>
      </c>
      <c r="G43" s="79">
        <f t="shared" ref="G43" si="1">D43*E43*F43</f>
        <v>15000</v>
      </c>
      <c r="H43" s="95"/>
    </row>
    <row r="44" spans="1:8" ht="15.6">
      <c r="A44" s="80"/>
      <c r="B44" s="427" t="s">
        <v>62</v>
      </c>
      <c r="C44" s="428"/>
      <c r="D44" s="428"/>
      <c r="E44" s="428"/>
      <c r="F44" s="429"/>
      <c r="G44" s="81">
        <f>G13+G20+G41</f>
        <v>35784314.21024134</v>
      </c>
      <c r="H44" s="82"/>
    </row>
    <row r="45" spans="1:8" ht="15.6">
      <c r="A45" s="80"/>
      <c r="B45" s="427" t="s">
        <v>1726</v>
      </c>
      <c r="C45" s="428"/>
      <c r="D45" s="428"/>
      <c r="E45" s="428"/>
      <c r="F45" s="429"/>
      <c r="G45" s="81">
        <f>ROUND(G44,-3)</f>
        <v>35784000</v>
      </c>
      <c r="H45" s="82"/>
    </row>
    <row r="46" spans="1:8" ht="15.6">
      <c r="A46" s="430" t="str">
        <f>[18]!uni(G45)</f>
        <v xml:space="preserve">Ba mươi lăm triệu bảy trăm tám mươi bốn nghìn đồng </v>
      </c>
      <c r="B46" s="431"/>
      <c r="C46" s="431"/>
      <c r="D46" s="431"/>
      <c r="E46" s="431"/>
      <c r="F46" s="431"/>
      <c r="G46" s="431"/>
      <c r="H46" s="432"/>
    </row>
    <row r="47" spans="1:8">
      <c r="A47" s="17"/>
      <c r="B47" s="17"/>
      <c r="C47" s="97"/>
      <c r="D47" s="20"/>
      <c r="E47" s="19"/>
      <c r="F47" s="97"/>
      <c r="G47" s="19"/>
      <c r="H47" s="17"/>
    </row>
    <row r="48" spans="1:8" s="109" customFormat="1" ht="16.5" customHeight="1">
      <c r="A48" s="108"/>
      <c r="B48" s="108"/>
      <c r="C48" s="424" t="s">
        <v>1742</v>
      </c>
      <c r="D48" s="424"/>
      <c r="E48" s="424"/>
      <c r="F48" s="424"/>
      <c r="G48" s="424"/>
      <c r="H48" s="424"/>
    </row>
    <row r="49" spans="1:8" s="109" customFormat="1" ht="16.5" customHeight="1">
      <c r="A49" s="423" t="s">
        <v>63</v>
      </c>
      <c r="B49" s="423"/>
      <c r="C49" s="424" t="s">
        <v>1743</v>
      </c>
      <c r="D49" s="424"/>
      <c r="E49" s="424"/>
      <c r="F49" s="424" t="s">
        <v>1744</v>
      </c>
      <c r="G49" s="424"/>
      <c r="H49" s="424"/>
    </row>
    <row r="50" spans="1:8" s="109" customFormat="1" ht="15.6">
      <c r="A50" s="108"/>
      <c r="B50" s="108"/>
      <c r="C50" s="108"/>
      <c r="D50" s="110"/>
      <c r="E50" s="111"/>
      <c r="F50" s="112"/>
      <c r="G50" s="111"/>
      <c r="H50" s="113"/>
    </row>
    <row r="51" spans="1:8" s="109" customFormat="1" ht="15.6">
      <c r="A51" s="108"/>
      <c r="B51" s="108"/>
      <c r="C51" s="108"/>
      <c r="D51" s="110"/>
      <c r="E51" s="111"/>
      <c r="F51" s="112"/>
      <c r="G51" s="114"/>
      <c r="H51" s="113"/>
    </row>
    <row r="52" spans="1:8" s="109" customFormat="1" ht="15.6">
      <c r="A52" s="108"/>
      <c r="B52" s="108"/>
      <c r="C52" s="108"/>
      <c r="D52" s="110"/>
      <c r="E52" s="111"/>
      <c r="F52" s="112"/>
      <c r="G52" s="111"/>
      <c r="H52" s="113"/>
    </row>
    <row r="53" spans="1:8" s="109" customFormat="1" ht="15.6">
      <c r="A53" s="108"/>
      <c r="B53" s="108"/>
      <c r="C53" s="108"/>
      <c r="D53" s="110"/>
      <c r="E53" s="111"/>
      <c r="F53" s="112"/>
      <c r="G53" s="111"/>
      <c r="H53" s="113"/>
    </row>
    <row r="54" spans="1:8" s="109" customFormat="1" ht="15.6">
      <c r="A54" s="108"/>
      <c r="B54" s="108"/>
      <c r="C54" s="108"/>
      <c r="D54" s="110"/>
      <c r="E54" s="111"/>
      <c r="F54" s="112"/>
      <c r="G54" s="111"/>
      <c r="H54" s="113"/>
    </row>
    <row r="55" spans="1:8" s="109" customFormat="1" ht="16.5" customHeight="1">
      <c r="A55" s="108"/>
      <c r="B55" s="198" t="s">
        <v>64</v>
      </c>
      <c r="C55" s="424"/>
      <c r="D55" s="424"/>
      <c r="E55" s="424"/>
      <c r="F55" s="424" t="s">
        <v>1745</v>
      </c>
      <c r="G55" s="424"/>
      <c r="H55" s="424"/>
    </row>
    <row r="56" spans="1:8" s="109" customFormat="1" ht="15.6">
      <c r="A56" s="108"/>
      <c r="B56" s="198"/>
      <c r="C56" s="199"/>
      <c r="D56" s="199"/>
      <c r="E56" s="199"/>
      <c r="F56" s="199"/>
      <c r="G56" s="199"/>
      <c r="H56" s="199"/>
    </row>
    <row r="57" spans="1:8" s="109" customFormat="1" ht="15" customHeight="1">
      <c r="A57" s="424" t="s">
        <v>1746</v>
      </c>
      <c r="B57" s="424"/>
      <c r="C57" s="424"/>
      <c r="D57" s="424"/>
      <c r="E57" s="424" t="s">
        <v>1747</v>
      </c>
      <c r="F57" s="424"/>
      <c r="G57" s="424"/>
      <c r="H57" s="424"/>
    </row>
    <row r="58" spans="1:8" s="109" customFormat="1" ht="33.6" customHeight="1">
      <c r="A58" s="424" t="s">
        <v>1748</v>
      </c>
      <c r="B58" s="424"/>
      <c r="C58" s="424"/>
      <c r="D58" s="424"/>
      <c r="E58" s="424" t="s">
        <v>65</v>
      </c>
      <c r="F58" s="424"/>
      <c r="G58" s="424"/>
      <c r="H58" s="424"/>
    </row>
    <row r="59" spans="1:8" s="109" customFormat="1" ht="15.6">
      <c r="A59" s="108"/>
      <c r="B59" s="108"/>
      <c r="C59" s="108"/>
      <c r="D59" s="110"/>
      <c r="E59" s="111"/>
      <c r="F59" s="112"/>
      <c r="G59" s="111"/>
      <c r="H59" s="113"/>
    </row>
    <row r="60" spans="1:8" s="109" customFormat="1" ht="15.6">
      <c r="A60" s="108"/>
      <c r="B60" s="108"/>
      <c r="C60" s="108"/>
      <c r="D60" s="110"/>
      <c r="E60" s="111"/>
      <c r="F60" s="112"/>
      <c r="G60" s="111"/>
      <c r="H60" s="113"/>
    </row>
    <row r="61" spans="1:8" s="109" customFormat="1" ht="15.6">
      <c r="A61" s="108"/>
      <c r="B61" s="108"/>
      <c r="C61" s="108"/>
      <c r="D61" s="110"/>
      <c r="E61" s="111"/>
      <c r="F61" s="112"/>
      <c r="G61" s="111"/>
      <c r="H61" s="113"/>
    </row>
    <row r="62" spans="1:8" s="109" customFormat="1" ht="15.6">
      <c r="A62" s="108"/>
      <c r="B62" s="108"/>
      <c r="C62" s="108"/>
      <c r="D62" s="110"/>
      <c r="E62" s="111"/>
      <c r="F62" s="112"/>
      <c r="G62" s="111"/>
      <c r="H62" s="113"/>
    </row>
    <row r="63" spans="1:8" s="109" customFormat="1" ht="15.6">
      <c r="A63" s="108"/>
      <c r="B63" s="108"/>
      <c r="C63" s="108"/>
      <c r="D63" s="110"/>
      <c r="E63" s="111"/>
      <c r="F63" s="112"/>
      <c r="G63" s="111"/>
      <c r="H63" s="113"/>
    </row>
    <row r="64" spans="1:8" s="109" customFormat="1" ht="15.6" customHeight="1">
      <c r="A64" s="108"/>
      <c r="B64" s="108"/>
      <c r="C64" s="108"/>
      <c r="D64" s="115"/>
      <c r="E64" s="439" t="s">
        <v>1749</v>
      </c>
      <c r="F64" s="439"/>
      <c r="G64" s="439"/>
      <c r="H64" s="439"/>
    </row>
    <row r="65" spans="1:8" s="109" customFormat="1" ht="16.5" customHeight="1">
      <c r="A65" s="424" t="s">
        <v>1751</v>
      </c>
      <c r="B65" s="424"/>
      <c r="C65" s="424"/>
      <c r="D65" s="424"/>
      <c r="E65" s="424" t="s">
        <v>1750</v>
      </c>
      <c r="F65" s="424"/>
      <c r="G65" s="424"/>
      <c r="H65" s="424"/>
    </row>
    <row r="66" spans="1:8" s="118" customFormat="1" ht="16.2" customHeight="1">
      <c r="A66" s="440"/>
      <c r="B66" s="440"/>
      <c r="C66" s="116"/>
      <c r="D66" s="117"/>
      <c r="E66" s="440"/>
      <c r="F66" s="440"/>
      <c r="G66" s="440"/>
      <c r="H66" s="440"/>
    </row>
    <row r="67" spans="1:8" s="118" customFormat="1" ht="15.75" customHeight="1">
      <c r="A67" s="440"/>
      <c r="B67" s="440"/>
      <c r="C67" s="440"/>
      <c r="D67" s="440"/>
      <c r="E67" s="440"/>
      <c r="F67" s="440"/>
      <c r="G67" s="440"/>
      <c r="H67" s="440"/>
    </row>
    <row r="68" spans="1:8" s="98" customFormat="1" ht="16.2" customHeight="1">
      <c r="A68" s="436"/>
      <c r="B68" s="436"/>
      <c r="C68" s="436"/>
      <c r="D68" s="436"/>
      <c r="E68" s="119"/>
      <c r="F68" s="120"/>
      <c r="G68" s="119"/>
      <c r="H68" s="121"/>
    </row>
    <row r="69" spans="1:8" s="98" customFormat="1" ht="16.2" customHeight="1">
      <c r="A69" s="436"/>
      <c r="B69" s="436"/>
      <c r="C69" s="436"/>
      <c r="D69" s="436"/>
      <c r="E69" s="119"/>
      <c r="F69" s="120"/>
      <c r="G69" s="119"/>
      <c r="H69" s="121"/>
    </row>
    <row r="70" spans="1:8" s="98" customFormat="1" ht="16.2" customHeight="1">
      <c r="A70" s="121"/>
      <c r="B70" s="121"/>
      <c r="C70" s="121"/>
      <c r="D70" s="122"/>
      <c r="E70" s="119"/>
      <c r="F70" s="120"/>
      <c r="G70" s="119"/>
      <c r="H70" s="121"/>
    </row>
    <row r="71" spans="1:8" ht="16.2" customHeight="1">
      <c r="A71" s="83"/>
      <c r="B71" s="83"/>
      <c r="C71" s="83"/>
      <c r="D71" s="84"/>
      <c r="E71" s="85"/>
      <c r="F71" s="86"/>
      <c r="G71" s="85"/>
      <c r="H71" s="83"/>
    </row>
    <row r="72" spans="1:8" ht="16.2" customHeight="1">
      <c r="A72" s="83"/>
      <c r="B72" s="83"/>
      <c r="C72" s="83"/>
      <c r="D72" s="84"/>
      <c r="E72" s="85"/>
      <c r="F72" s="86"/>
      <c r="G72" s="85"/>
      <c r="H72" s="83"/>
    </row>
    <row r="73" spans="1:8" ht="16.2" customHeight="1">
      <c r="A73" s="83"/>
      <c r="B73" s="83"/>
      <c r="C73" s="83"/>
      <c r="D73" s="84"/>
      <c r="E73" s="85"/>
      <c r="F73" s="86"/>
      <c r="G73" s="85"/>
      <c r="H73" s="83"/>
    </row>
    <row r="74" spans="1:8" ht="16.2" customHeight="1">
      <c r="A74" s="83"/>
      <c r="B74" s="83"/>
      <c r="C74" s="83"/>
      <c r="D74" s="84"/>
      <c r="E74" s="437"/>
      <c r="F74" s="437"/>
      <c r="G74" s="437"/>
      <c r="H74" s="437"/>
    </row>
    <row r="75" spans="1:8" ht="20.25" customHeight="1">
      <c r="A75" s="438"/>
      <c r="B75" s="438"/>
      <c r="C75" s="438"/>
      <c r="D75" s="438"/>
      <c r="E75" s="438"/>
      <c r="F75" s="438"/>
      <c r="G75" s="438"/>
      <c r="H75" s="438"/>
    </row>
    <row r="76" spans="1:8" s="17" customFormat="1" ht="16.2" customHeight="1">
      <c r="D76" s="18"/>
      <c r="E76" s="19"/>
      <c r="F76" s="97"/>
      <c r="G76" s="19"/>
    </row>
    <row r="77" spans="1:8" s="17" customFormat="1" ht="16.2" customHeight="1">
      <c r="D77" s="18"/>
      <c r="E77" s="19"/>
      <c r="F77" s="97"/>
      <c r="G77" s="19"/>
    </row>
    <row r="78" spans="1:8" s="17" customFormat="1" ht="16.2" customHeight="1">
      <c r="D78" s="18"/>
      <c r="E78" s="19"/>
      <c r="F78" s="97"/>
      <c r="G78" s="19"/>
    </row>
    <row r="79" spans="1:8" s="17" customFormat="1" ht="16.2" customHeight="1">
      <c r="D79" s="18"/>
      <c r="E79" s="19"/>
      <c r="F79" s="97"/>
      <c r="G79" s="19"/>
    </row>
    <row r="80" spans="1:8" s="17" customFormat="1" ht="16.2" customHeight="1">
      <c r="D80" s="18"/>
      <c r="E80" s="19"/>
      <c r="F80" s="97"/>
      <c r="G80" s="19"/>
    </row>
    <row r="81" spans="3:7" s="17" customFormat="1" ht="16.2" customHeight="1">
      <c r="D81" s="18"/>
      <c r="E81" s="19"/>
      <c r="F81" s="97"/>
      <c r="G81" s="19"/>
    </row>
    <row r="82" spans="3:7" s="17" customFormat="1" ht="16.2" customHeight="1">
      <c r="D82" s="18"/>
      <c r="E82" s="19"/>
      <c r="F82" s="97"/>
      <c r="G82" s="19"/>
    </row>
    <row r="83" spans="3:7" s="17" customFormat="1" ht="16.2" customHeight="1">
      <c r="D83" s="18"/>
      <c r="E83" s="19"/>
      <c r="F83" s="97"/>
      <c r="G83" s="19"/>
    </row>
    <row r="84" spans="3:7" s="17" customFormat="1" ht="16.2" customHeight="1">
      <c r="D84" s="18"/>
      <c r="E84" s="19"/>
      <c r="F84" s="97"/>
      <c r="G84" s="19"/>
    </row>
    <row r="85" spans="3:7" s="17" customFormat="1" ht="16.2" customHeight="1">
      <c r="D85" s="18"/>
      <c r="E85" s="19"/>
      <c r="F85" s="97"/>
      <c r="G85" s="19"/>
    </row>
    <row r="86" spans="3:7" s="17" customFormat="1" ht="16.2" customHeight="1">
      <c r="D86" s="18"/>
      <c r="E86" s="19"/>
      <c r="F86" s="97"/>
      <c r="G86" s="19"/>
    </row>
    <row r="87" spans="3:7" s="17" customFormat="1" ht="16.2" customHeight="1">
      <c r="D87" s="18"/>
      <c r="E87" s="19"/>
      <c r="F87" s="97"/>
      <c r="G87" s="19"/>
    </row>
    <row r="88" spans="3:7" s="17" customFormat="1" ht="16.2" customHeight="1">
      <c r="D88" s="18"/>
      <c r="E88" s="19"/>
      <c r="F88" s="97"/>
      <c r="G88" s="19"/>
    </row>
    <row r="89" spans="3:7" s="17" customFormat="1" ht="16.2" customHeight="1">
      <c r="D89" s="18"/>
      <c r="E89" s="19"/>
      <c r="F89" s="97"/>
      <c r="G89" s="19"/>
    </row>
    <row r="90" spans="3:7" s="17" customFormat="1" ht="16.2" customHeight="1">
      <c r="D90" s="18"/>
      <c r="E90" s="19"/>
      <c r="F90" s="97"/>
      <c r="G90" s="19"/>
    </row>
    <row r="91" spans="3:7" s="17" customFormat="1" ht="16.2" customHeight="1">
      <c r="D91" s="18"/>
      <c r="E91" s="19"/>
      <c r="F91" s="97"/>
      <c r="G91" s="19"/>
    </row>
    <row r="92" spans="3:7" s="17" customFormat="1" ht="16.2" customHeight="1">
      <c r="C92" s="97"/>
      <c r="D92" s="20"/>
      <c r="E92" s="19"/>
      <c r="F92" s="97"/>
      <c r="G92" s="19"/>
    </row>
    <row r="93" spans="3:7" s="17" customFormat="1" ht="16.2" customHeight="1">
      <c r="C93" s="97"/>
      <c r="D93" s="20"/>
      <c r="E93" s="19"/>
      <c r="F93" s="97"/>
      <c r="G93" s="19"/>
    </row>
    <row r="94" spans="3:7" s="17" customFormat="1" ht="16.2" customHeight="1">
      <c r="C94" s="97"/>
      <c r="D94" s="20"/>
      <c r="E94" s="19"/>
      <c r="F94" s="97"/>
      <c r="G94" s="19"/>
    </row>
    <row r="95" spans="3:7" s="17" customFormat="1" ht="16.2" customHeight="1">
      <c r="C95" s="97"/>
      <c r="D95" s="20"/>
      <c r="E95" s="19"/>
      <c r="F95" s="97"/>
      <c r="G95" s="19"/>
    </row>
    <row r="96" spans="3:7" s="17" customFormat="1" ht="16.2" customHeight="1">
      <c r="C96" s="97"/>
      <c r="D96" s="20"/>
      <c r="E96" s="19"/>
      <c r="F96" s="97"/>
      <c r="G96" s="19"/>
    </row>
    <row r="97" spans="3:7" s="17" customFormat="1" ht="16.2" customHeight="1">
      <c r="C97" s="97"/>
      <c r="D97" s="20"/>
      <c r="E97" s="19"/>
      <c r="F97" s="97"/>
      <c r="G97" s="19"/>
    </row>
    <row r="98" spans="3:7" s="17" customFormat="1" ht="16.2" customHeight="1">
      <c r="C98" s="97"/>
      <c r="D98" s="20"/>
      <c r="E98" s="19"/>
      <c r="F98" s="97"/>
      <c r="G98" s="19"/>
    </row>
    <row r="99" spans="3:7" s="17" customFormat="1" ht="16.2" customHeight="1">
      <c r="C99" s="97"/>
      <c r="D99" s="20"/>
      <c r="E99" s="19"/>
      <c r="F99" s="97"/>
      <c r="G99" s="19"/>
    </row>
    <row r="100" spans="3:7" s="17" customFormat="1" ht="16.2" customHeight="1">
      <c r="C100" s="97"/>
      <c r="D100" s="20"/>
      <c r="E100" s="19"/>
      <c r="F100" s="97"/>
      <c r="G100" s="19"/>
    </row>
    <row r="101" spans="3:7" s="17" customFormat="1" ht="16.2" customHeight="1">
      <c r="C101" s="97"/>
      <c r="D101" s="20"/>
      <c r="E101" s="19"/>
      <c r="F101" s="97"/>
      <c r="G101" s="19"/>
    </row>
    <row r="102" spans="3:7" s="17" customFormat="1" ht="16.2" customHeight="1">
      <c r="C102" s="97"/>
      <c r="D102" s="20"/>
      <c r="E102" s="19"/>
      <c r="F102" s="97"/>
      <c r="G102" s="19"/>
    </row>
    <row r="103" spans="3:7" s="17" customFormat="1" ht="16.2" customHeight="1">
      <c r="C103" s="97"/>
      <c r="D103" s="20"/>
      <c r="E103" s="19"/>
      <c r="F103" s="97"/>
      <c r="G103" s="19"/>
    </row>
    <row r="104" spans="3:7" ht="16.2" customHeight="1"/>
    <row r="105" spans="3:7" ht="16.2" customHeight="1"/>
    <row r="106" spans="3:7" ht="16.2" customHeight="1"/>
    <row r="107" spans="3:7" ht="16.2" customHeight="1"/>
    <row r="108" spans="3:7" ht="16.2" customHeight="1"/>
    <row r="109" spans="3:7" ht="16.2" customHeight="1"/>
    <row r="110" spans="3:7" ht="16.2" customHeight="1"/>
    <row r="111" spans="3:7" ht="16.2" customHeight="1"/>
    <row r="112" spans="3:7"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ht="16.2" customHeight="1"/>
    <row r="235" ht="16.2" customHeight="1"/>
    <row r="236" ht="16.2" customHeight="1"/>
    <row r="237" ht="16.2" customHeight="1"/>
    <row r="238" ht="16.2" customHeight="1"/>
    <row r="239" ht="16.2" customHeight="1"/>
    <row r="240" ht="16.2" customHeight="1"/>
    <row r="241" ht="16.2" customHeight="1"/>
    <row r="242" ht="16.2" customHeight="1"/>
    <row r="243" ht="16.2" customHeight="1"/>
    <row r="244" ht="16.2" customHeight="1"/>
    <row r="245" ht="16.2" customHeight="1"/>
    <row r="246" ht="16.2" customHeight="1"/>
    <row r="247" ht="16.2" customHeight="1"/>
    <row r="248" ht="16.2" customHeight="1"/>
    <row r="249" ht="16.2" customHeight="1"/>
    <row r="250"/>
    <row r="251"/>
    <row r="252"/>
    <row r="253"/>
    <row r="254"/>
    <row r="255"/>
    <row r="256"/>
    <row r="257"/>
    <row r="258"/>
    <row r="259"/>
    <row r="260"/>
    <row r="261"/>
    <row r="262"/>
    <row r="263"/>
    <row r="264"/>
    <row r="265"/>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sheetData>
  <mergeCells count="43">
    <mergeCell ref="A4:B4"/>
    <mergeCell ref="C4:H4"/>
    <mergeCell ref="A1:B1"/>
    <mergeCell ref="C1:H1"/>
    <mergeCell ref="A2:B2"/>
    <mergeCell ref="C2:H2"/>
    <mergeCell ref="A3:B3"/>
    <mergeCell ref="B41:F41"/>
    <mergeCell ref="A6:H6"/>
    <mergeCell ref="A7:H7"/>
    <mergeCell ref="A8:H8"/>
    <mergeCell ref="A9:H9"/>
    <mergeCell ref="A10:H10"/>
    <mergeCell ref="A11:H11"/>
    <mergeCell ref="B13:F13"/>
    <mergeCell ref="B14:D14"/>
    <mergeCell ref="A17:A18"/>
    <mergeCell ref="B17:B18"/>
    <mergeCell ref="B20:F20"/>
    <mergeCell ref="B44:F44"/>
    <mergeCell ref="B45:F45"/>
    <mergeCell ref="A46:H46"/>
    <mergeCell ref="C48:H48"/>
    <mergeCell ref="A49:B49"/>
    <mergeCell ref="C49:E49"/>
    <mergeCell ref="F49:H49"/>
    <mergeCell ref="C55:E55"/>
    <mergeCell ref="F55:H55"/>
    <mergeCell ref="A57:D57"/>
    <mergeCell ref="E57:H57"/>
    <mergeCell ref="A58:D58"/>
    <mergeCell ref="E58:H58"/>
    <mergeCell ref="A68:D68"/>
    <mergeCell ref="A69:D69"/>
    <mergeCell ref="E74:H74"/>
    <mergeCell ref="A75:H75"/>
    <mergeCell ref="E64:H64"/>
    <mergeCell ref="A65:D65"/>
    <mergeCell ref="E65:H65"/>
    <mergeCell ref="A66:B66"/>
    <mergeCell ref="E66:H66"/>
    <mergeCell ref="A67:D67"/>
    <mergeCell ref="E67:H67"/>
  </mergeCells>
  <dataValidations count="2">
    <dataValidation type="list" allowBlank="1" showInputMessage="1" showErrorMessage="1" sqref="B42:B43" xr:uid="{00000000-0002-0000-3D00-000000000000}">
      <formula1>bichphuong</formula1>
    </dataValidation>
    <dataValidation type="list" allowBlank="1" showInputMessage="1" showErrorMessage="1" sqref="WVJ983067:WVJ983084 B983067:B983084 IX983067:IX983084 ST983067:ST983084 ACP983067:ACP983084 AML983067:AML983084 AWH983067:AWH983084 BGD983067:BGD983084 BPZ983067:BPZ983084 BZV983067:BZV983084 CJR983067:CJR983084 CTN983067:CTN983084 DDJ983067:DDJ983084 DNF983067:DNF983084 DXB983067:DXB983084 EGX983067:EGX983084 EQT983067:EQT983084 FAP983067:FAP983084 FKL983067:FKL983084 FUH983067:FUH983084 GED983067:GED983084 GNZ983067:GNZ983084 GXV983067:GXV983084 HHR983067:HHR983084 HRN983067:HRN983084 IBJ983067:IBJ983084 ILF983067:ILF983084 IVB983067:IVB983084 JEX983067:JEX983084 JOT983067:JOT983084 JYP983067:JYP983084 KIL983067:KIL983084 KSH983067:KSH983084 LCD983067:LCD983084 LLZ983067:LLZ983084 LVV983067:LVV983084 MFR983067:MFR983084 MPN983067:MPN983084 MZJ983067:MZJ983084 NJF983067:NJF983084 NTB983067:NTB983084 OCX983067:OCX983084 OMT983067:OMT983084 OWP983067:OWP983084 PGL983067:PGL983084 PQH983067:PQH983084 QAD983067:QAD983084 QJZ983067:QJZ983084 QTV983067:QTV983084 RDR983067:RDR983084 RNN983067:RNN983084 RXJ983067:RXJ983084 SHF983067:SHF983084 SRB983067:SRB983084 TAX983067:TAX983084 TKT983067:TKT983084 TUP983067:TUP983084 UEL983067:UEL983084 UOH983067:UOH983084 UYD983067:UYD983084 VHZ983067:VHZ983084 VRV983067:VRV983084 WBR983067:WBR983084 WLN983067:WLN983084 B65563:B65580 IX65563:IX65580 ST65563:ST65580 ACP65563:ACP65580 AML65563:AML65580 AWH65563:AWH65580 BGD65563:BGD65580 BPZ65563:BPZ65580 BZV65563:BZV65580 CJR65563:CJR65580 CTN65563:CTN65580 DDJ65563:DDJ65580 DNF65563:DNF65580 DXB65563:DXB65580 EGX65563:EGX65580 EQT65563:EQT65580 FAP65563:FAP65580 FKL65563:FKL65580 FUH65563:FUH65580 GED65563:GED65580 GNZ65563:GNZ65580 GXV65563:GXV65580 HHR65563:HHR65580 HRN65563:HRN65580 IBJ65563:IBJ65580 ILF65563:ILF65580 IVB65563:IVB65580 JEX65563:JEX65580 JOT65563:JOT65580 JYP65563:JYP65580 KIL65563:KIL65580 KSH65563:KSH65580 LCD65563:LCD65580 LLZ65563:LLZ65580 LVV65563:LVV65580 MFR65563:MFR65580 MPN65563:MPN65580 MZJ65563:MZJ65580 NJF65563:NJF65580 NTB65563:NTB65580 OCX65563:OCX65580 OMT65563:OMT65580 OWP65563:OWP65580 PGL65563:PGL65580 PQH65563:PQH65580 QAD65563:QAD65580 QJZ65563:QJZ65580 QTV65563:QTV65580 RDR65563:RDR65580 RNN65563:RNN65580 RXJ65563:RXJ65580 SHF65563:SHF65580 SRB65563:SRB65580 TAX65563:TAX65580 TKT65563:TKT65580 TUP65563:TUP65580 UEL65563:UEL65580 UOH65563:UOH65580 UYD65563:UYD65580 VHZ65563:VHZ65580 VRV65563:VRV65580 WBR65563:WBR65580 WLN65563:WLN65580 WVJ65563:WVJ65580 B131099:B131116 IX131099:IX131116 ST131099:ST131116 ACP131099:ACP131116 AML131099:AML131116 AWH131099:AWH131116 BGD131099:BGD131116 BPZ131099:BPZ131116 BZV131099:BZV131116 CJR131099:CJR131116 CTN131099:CTN131116 DDJ131099:DDJ131116 DNF131099:DNF131116 DXB131099:DXB131116 EGX131099:EGX131116 EQT131099:EQT131116 FAP131099:FAP131116 FKL131099:FKL131116 FUH131099:FUH131116 GED131099:GED131116 GNZ131099:GNZ131116 GXV131099:GXV131116 HHR131099:HHR131116 HRN131099:HRN131116 IBJ131099:IBJ131116 ILF131099:ILF131116 IVB131099:IVB131116 JEX131099:JEX131116 JOT131099:JOT131116 JYP131099:JYP131116 KIL131099:KIL131116 KSH131099:KSH131116 LCD131099:LCD131116 LLZ131099:LLZ131116 LVV131099:LVV131116 MFR131099:MFR131116 MPN131099:MPN131116 MZJ131099:MZJ131116 NJF131099:NJF131116 NTB131099:NTB131116 OCX131099:OCX131116 OMT131099:OMT131116 OWP131099:OWP131116 PGL131099:PGL131116 PQH131099:PQH131116 QAD131099:QAD131116 QJZ131099:QJZ131116 QTV131099:QTV131116 RDR131099:RDR131116 RNN131099:RNN131116 RXJ131099:RXJ131116 SHF131099:SHF131116 SRB131099:SRB131116 TAX131099:TAX131116 TKT131099:TKT131116 TUP131099:TUP131116 UEL131099:UEL131116 UOH131099:UOH131116 UYD131099:UYD131116 VHZ131099:VHZ131116 VRV131099:VRV131116 WBR131099:WBR131116 WLN131099:WLN131116 WVJ131099:WVJ131116 B196635:B196652 IX196635:IX196652 ST196635:ST196652 ACP196635:ACP196652 AML196635:AML196652 AWH196635:AWH196652 BGD196635:BGD196652 BPZ196635:BPZ196652 BZV196635:BZV196652 CJR196635:CJR196652 CTN196635:CTN196652 DDJ196635:DDJ196652 DNF196635:DNF196652 DXB196635:DXB196652 EGX196635:EGX196652 EQT196635:EQT196652 FAP196635:FAP196652 FKL196635:FKL196652 FUH196635:FUH196652 GED196635:GED196652 GNZ196635:GNZ196652 GXV196635:GXV196652 HHR196635:HHR196652 HRN196635:HRN196652 IBJ196635:IBJ196652 ILF196635:ILF196652 IVB196635:IVB196652 JEX196635:JEX196652 JOT196635:JOT196652 JYP196635:JYP196652 KIL196635:KIL196652 KSH196635:KSH196652 LCD196635:LCD196652 LLZ196635:LLZ196652 LVV196635:LVV196652 MFR196635:MFR196652 MPN196635:MPN196652 MZJ196635:MZJ196652 NJF196635:NJF196652 NTB196635:NTB196652 OCX196635:OCX196652 OMT196635:OMT196652 OWP196635:OWP196652 PGL196635:PGL196652 PQH196635:PQH196652 QAD196635:QAD196652 QJZ196635:QJZ196652 QTV196635:QTV196652 RDR196635:RDR196652 RNN196635:RNN196652 RXJ196635:RXJ196652 SHF196635:SHF196652 SRB196635:SRB196652 TAX196635:TAX196652 TKT196635:TKT196652 TUP196635:TUP196652 UEL196635:UEL196652 UOH196635:UOH196652 UYD196635:UYD196652 VHZ196635:VHZ196652 VRV196635:VRV196652 WBR196635:WBR196652 WLN196635:WLN196652 WVJ196635:WVJ196652 B262171:B262188 IX262171:IX262188 ST262171:ST262188 ACP262171:ACP262188 AML262171:AML262188 AWH262171:AWH262188 BGD262171:BGD262188 BPZ262171:BPZ262188 BZV262171:BZV262188 CJR262171:CJR262188 CTN262171:CTN262188 DDJ262171:DDJ262188 DNF262171:DNF262188 DXB262171:DXB262188 EGX262171:EGX262188 EQT262171:EQT262188 FAP262171:FAP262188 FKL262171:FKL262188 FUH262171:FUH262188 GED262171:GED262188 GNZ262171:GNZ262188 GXV262171:GXV262188 HHR262171:HHR262188 HRN262171:HRN262188 IBJ262171:IBJ262188 ILF262171:ILF262188 IVB262171:IVB262188 JEX262171:JEX262188 JOT262171:JOT262188 JYP262171:JYP262188 KIL262171:KIL262188 KSH262171:KSH262188 LCD262171:LCD262188 LLZ262171:LLZ262188 LVV262171:LVV262188 MFR262171:MFR262188 MPN262171:MPN262188 MZJ262171:MZJ262188 NJF262171:NJF262188 NTB262171:NTB262188 OCX262171:OCX262188 OMT262171:OMT262188 OWP262171:OWP262188 PGL262171:PGL262188 PQH262171:PQH262188 QAD262171:QAD262188 QJZ262171:QJZ262188 QTV262171:QTV262188 RDR262171:RDR262188 RNN262171:RNN262188 RXJ262171:RXJ262188 SHF262171:SHF262188 SRB262171:SRB262188 TAX262171:TAX262188 TKT262171:TKT262188 TUP262171:TUP262188 UEL262171:UEL262188 UOH262171:UOH262188 UYD262171:UYD262188 VHZ262171:VHZ262188 VRV262171:VRV262188 WBR262171:WBR262188 WLN262171:WLN262188 WVJ262171:WVJ262188 B327707:B327724 IX327707:IX327724 ST327707:ST327724 ACP327707:ACP327724 AML327707:AML327724 AWH327707:AWH327724 BGD327707:BGD327724 BPZ327707:BPZ327724 BZV327707:BZV327724 CJR327707:CJR327724 CTN327707:CTN327724 DDJ327707:DDJ327724 DNF327707:DNF327724 DXB327707:DXB327724 EGX327707:EGX327724 EQT327707:EQT327724 FAP327707:FAP327724 FKL327707:FKL327724 FUH327707:FUH327724 GED327707:GED327724 GNZ327707:GNZ327724 GXV327707:GXV327724 HHR327707:HHR327724 HRN327707:HRN327724 IBJ327707:IBJ327724 ILF327707:ILF327724 IVB327707:IVB327724 JEX327707:JEX327724 JOT327707:JOT327724 JYP327707:JYP327724 KIL327707:KIL327724 KSH327707:KSH327724 LCD327707:LCD327724 LLZ327707:LLZ327724 LVV327707:LVV327724 MFR327707:MFR327724 MPN327707:MPN327724 MZJ327707:MZJ327724 NJF327707:NJF327724 NTB327707:NTB327724 OCX327707:OCX327724 OMT327707:OMT327724 OWP327707:OWP327724 PGL327707:PGL327724 PQH327707:PQH327724 QAD327707:QAD327724 QJZ327707:QJZ327724 QTV327707:QTV327724 RDR327707:RDR327724 RNN327707:RNN327724 RXJ327707:RXJ327724 SHF327707:SHF327724 SRB327707:SRB327724 TAX327707:TAX327724 TKT327707:TKT327724 TUP327707:TUP327724 UEL327707:UEL327724 UOH327707:UOH327724 UYD327707:UYD327724 VHZ327707:VHZ327724 VRV327707:VRV327724 WBR327707:WBR327724 WLN327707:WLN327724 WVJ327707:WVJ327724 B393243:B393260 IX393243:IX393260 ST393243:ST393260 ACP393243:ACP393260 AML393243:AML393260 AWH393243:AWH393260 BGD393243:BGD393260 BPZ393243:BPZ393260 BZV393243:BZV393260 CJR393243:CJR393260 CTN393243:CTN393260 DDJ393243:DDJ393260 DNF393243:DNF393260 DXB393243:DXB393260 EGX393243:EGX393260 EQT393243:EQT393260 FAP393243:FAP393260 FKL393243:FKL393260 FUH393243:FUH393260 GED393243:GED393260 GNZ393243:GNZ393260 GXV393243:GXV393260 HHR393243:HHR393260 HRN393243:HRN393260 IBJ393243:IBJ393260 ILF393243:ILF393260 IVB393243:IVB393260 JEX393243:JEX393260 JOT393243:JOT393260 JYP393243:JYP393260 KIL393243:KIL393260 KSH393243:KSH393260 LCD393243:LCD393260 LLZ393243:LLZ393260 LVV393243:LVV393260 MFR393243:MFR393260 MPN393243:MPN393260 MZJ393243:MZJ393260 NJF393243:NJF393260 NTB393243:NTB393260 OCX393243:OCX393260 OMT393243:OMT393260 OWP393243:OWP393260 PGL393243:PGL393260 PQH393243:PQH393260 QAD393243:QAD393260 QJZ393243:QJZ393260 QTV393243:QTV393260 RDR393243:RDR393260 RNN393243:RNN393260 RXJ393243:RXJ393260 SHF393243:SHF393260 SRB393243:SRB393260 TAX393243:TAX393260 TKT393243:TKT393260 TUP393243:TUP393260 UEL393243:UEL393260 UOH393243:UOH393260 UYD393243:UYD393260 VHZ393243:VHZ393260 VRV393243:VRV393260 WBR393243:WBR393260 WLN393243:WLN393260 WVJ393243:WVJ393260 B458779:B458796 IX458779:IX458796 ST458779:ST458796 ACP458779:ACP458796 AML458779:AML458796 AWH458779:AWH458796 BGD458779:BGD458796 BPZ458779:BPZ458796 BZV458779:BZV458796 CJR458779:CJR458796 CTN458779:CTN458796 DDJ458779:DDJ458796 DNF458779:DNF458796 DXB458779:DXB458796 EGX458779:EGX458796 EQT458779:EQT458796 FAP458779:FAP458796 FKL458779:FKL458796 FUH458779:FUH458796 GED458779:GED458796 GNZ458779:GNZ458796 GXV458779:GXV458796 HHR458779:HHR458796 HRN458779:HRN458796 IBJ458779:IBJ458796 ILF458779:ILF458796 IVB458779:IVB458796 JEX458779:JEX458796 JOT458779:JOT458796 JYP458779:JYP458796 KIL458779:KIL458796 KSH458779:KSH458796 LCD458779:LCD458796 LLZ458779:LLZ458796 LVV458779:LVV458796 MFR458779:MFR458796 MPN458779:MPN458796 MZJ458779:MZJ458796 NJF458779:NJF458796 NTB458779:NTB458796 OCX458779:OCX458796 OMT458779:OMT458796 OWP458779:OWP458796 PGL458779:PGL458796 PQH458779:PQH458796 QAD458779:QAD458796 QJZ458779:QJZ458796 QTV458779:QTV458796 RDR458779:RDR458796 RNN458779:RNN458796 RXJ458779:RXJ458796 SHF458779:SHF458796 SRB458779:SRB458796 TAX458779:TAX458796 TKT458779:TKT458796 TUP458779:TUP458796 UEL458779:UEL458796 UOH458779:UOH458796 UYD458779:UYD458796 VHZ458779:VHZ458796 VRV458779:VRV458796 WBR458779:WBR458796 WLN458779:WLN458796 WVJ458779:WVJ458796 B524315:B524332 IX524315:IX524332 ST524315:ST524332 ACP524315:ACP524332 AML524315:AML524332 AWH524315:AWH524332 BGD524315:BGD524332 BPZ524315:BPZ524332 BZV524315:BZV524332 CJR524315:CJR524332 CTN524315:CTN524332 DDJ524315:DDJ524332 DNF524315:DNF524332 DXB524315:DXB524332 EGX524315:EGX524332 EQT524315:EQT524332 FAP524315:FAP524332 FKL524315:FKL524332 FUH524315:FUH524332 GED524315:GED524332 GNZ524315:GNZ524332 GXV524315:GXV524332 HHR524315:HHR524332 HRN524315:HRN524332 IBJ524315:IBJ524332 ILF524315:ILF524332 IVB524315:IVB524332 JEX524315:JEX524332 JOT524315:JOT524332 JYP524315:JYP524332 KIL524315:KIL524332 KSH524315:KSH524332 LCD524315:LCD524332 LLZ524315:LLZ524332 LVV524315:LVV524332 MFR524315:MFR524332 MPN524315:MPN524332 MZJ524315:MZJ524332 NJF524315:NJF524332 NTB524315:NTB524332 OCX524315:OCX524332 OMT524315:OMT524332 OWP524315:OWP524332 PGL524315:PGL524332 PQH524315:PQH524332 QAD524315:QAD524332 QJZ524315:QJZ524332 QTV524315:QTV524332 RDR524315:RDR524332 RNN524315:RNN524332 RXJ524315:RXJ524332 SHF524315:SHF524332 SRB524315:SRB524332 TAX524315:TAX524332 TKT524315:TKT524332 TUP524315:TUP524332 UEL524315:UEL524332 UOH524315:UOH524332 UYD524315:UYD524332 VHZ524315:VHZ524332 VRV524315:VRV524332 WBR524315:WBR524332 WLN524315:WLN524332 WVJ524315:WVJ524332 B589851:B589868 IX589851:IX589868 ST589851:ST589868 ACP589851:ACP589868 AML589851:AML589868 AWH589851:AWH589868 BGD589851:BGD589868 BPZ589851:BPZ589868 BZV589851:BZV589868 CJR589851:CJR589868 CTN589851:CTN589868 DDJ589851:DDJ589868 DNF589851:DNF589868 DXB589851:DXB589868 EGX589851:EGX589868 EQT589851:EQT589868 FAP589851:FAP589868 FKL589851:FKL589868 FUH589851:FUH589868 GED589851:GED589868 GNZ589851:GNZ589868 GXV589851:GXV589868 HHR589851:HHR589868 HRN589851:HRN589868 IBJ589851:IBJ589868 ILF589851:ILF589868 IVB589851:IVB589868 JEX589851:JEX589868 JOT589851:JOT589868 JYP589851:JYP589868 KIL589851:KIL589868 KSH589851:KSH589868 LCD589851:LCD589868 LLZ589851:LLZ589868 LVV589851:LVV589868 MFR589851:MFR589868 MPN589851:MPN589868 MZJ589851:MZJ589868 NJF589851:NJF589868 NTB589851:NTB589868 OCX589851:OCX589868 OMT589851:OMT589868 OWP589851:OWP589868 PGL589851:PGL589868 PQH589851:PQH589868 QAD589851:QAD589868 QJZ589851:QJZ589868 QTV589851:QTV589868 RDR589851:RDR589868 RNN589851:RNN589868 RXJ589851:RXJ589868 SHF589851:SHF589868 SRB589851:SRB589868 TAX589851:TAX589868 TKT589851:TKT589868 TUP589851:TUP589868 UEL589851:UEL589868 UOH589851:UOH589868 UYD589851:UYD589868 VHZ589851:VHZ589868 VRV589851:VRV589868 WBR589851:WBR589868 WLN589851:WLN589868 WVJ589851:WVJ589868 B655387:B655404 IX655387:IX655404 ST655387:ST655404 ACP655387:ACP655404 AML655387:AML655404 AWH655387:AWH655404 BGD655387:BGD655404 BPZ655387:BPZ655404 BZV655387:BZV655404 CJR655387:CJR655404 CTN655387:CTN655404 DDJ655387:DDJ655404 DNF655387:DNF655404 DXB655387:DXB655404 EGX655387:EGX655404 EQT655387:EQT655404 FAP655387:FAP655404 FKL655387:FKL655404 FUH655387:FUH655404 GED655387:GED655404 GNZ655387:GNZ655404 GXV655387:GXV655404 HHR655387:HHR655404 HRN655387:HRN655404 IBJ655387:IBJ655404 ILF655387:ILF655404 IVB655387:IVB655404 JEX655387:JEX655404 JOT655387:JOT655404 JYP655387:JYP655404 KIL655387:KIL655404 KSH655387:KSH655404 LCD655387:LCD655404 LLZ655387:LLZ655404 LVV655387:LVV655404 MFR655387:MFR655404 MPN655387:MPN655404 MZJ655387:MZJ655404 NJF655387:NJF655404 NTB655387:NTB655404 OCX655387:OCX655404 OMT655387:OMT655404 OWP655387:OWP655404 PGL655387:PGL655404 PQH655387:PQH655404 QAD655387:QAD655404 QJZ655387:QJZ655404 QTV655387:QTV655404 RDR655387:RDR655404 RNN655387:RNN655404 RXJ655387:RXJ655404 SHF655387:SHF655404 SRB655387:SRB655404 TAX655387:TAX655404 TKT655387:TKT655404 TUP655387:TUP655404 UEL655387:UEL655404 UOH655387:UOH655404 UYD655387:UYD655404 VHZ655387:VHZ655404 VRV655387:VRV655404 WBR655387:WBR655404 WLN655387:WLN655404 WVJ655387:WVJ655404 B720923:B720940 IX720923:IX720940 ST720923:ST720940 ACP720923:ACP720940 AML720923:AML720940 AWH720923:AWH720940 BGD720923:BGD720940 BPZ720923:BPZ720940 BZV720923:BZV720940 CJR720923:CJR720940 CTN720923:CTN720940 DDJ720923:DDJ720940 DNF720923:DNF720940 DXB720923:DXB720940 EGX720923:EGX720940 EQT720923:EQT720940 FAP720923:FAP720940 FKL720923:FKL720940 FUH720923:FUH720940 GED720923:GED720940 GNZ720923:GNZ720940 GXV720923:GXV720940 HHR720923:HHR720940 HRN720923:HRN720940 IBJ720923:IBJ720940 ILF720923:ILF720940 IVB720923:IVB720940 JEX720923:JEX720940 JOT720923:JOT720940 JYP720923:JYP720940 KIL720923:KIL720940 KSH720923:KSH720940 LCD720923:LCD720940 LLZ720923:LLZ720940 LVV720923:LVV720940 MFR720923:MFR720940 MPN720923:MPN720940 MZJ720923:MZJ720940 NJF720923:NJF720940 NTB720923:NTB720940 OCX720923:OCX720940 OMT720923:OMT720940 OWP720923:OWP720940 PGL720923:PGL720940 PQH720923:PQH720940 QAD720923:QAD720940 QJZ720923:QJZ720940 QTV720923:QTV720940 RDR720923:RDR720940 RNN720923:RNN720940 RXJ720923:RXJ720940 SHF720923:SHF720940 SRB720923:SRB720940 TAX720923:TAX720940 TKT720923:TKT720940 TUP720923:TUP720940 UEL720923:UEL720940 UOH720923:UOH720940 UYD720923:UYD720940 VHZ720923:VHZ720940 VRV720923:VRV720940 WBR720923:WBR720940 WLN720923:WLN720940 WVJ720923:WVJ720940 B786459:B786476 IX786459:IX786476 ST786459:ST786476 ACP786459:ACP786476 AML786459:AML786476 AWH786459:AWH786476 BGD786459:BGD786476 BPZ786459:BPZ786476 BZV786459:BZV786476 CJR786459:CJR786476 CTN786459:CTN786476 DDJ786459:DDJ786476 DNF786459:DNF786476 DXB786459:DXB786476 EGX786459:EGX786476 EQT786459:EQT786476 FAP786459:FAP786476 FKL786459:FKL786476 FUH786459:FUH786476 GED786459:GED786476 GNZ786459:GNZ786476 GXV786459:GXV786476 HHR786459:HHR786476 HRN786459:HRN786476 IBJ786459:IBJ786476 ILF786459:ILF786476 IVB786459:IVB786476 JEX786459:JEX786476 JOT786459:JOT786476 JYP786459:JYP786476 KIL786459:KIL786476 KSH786459:KSH786476 LCD786459:LCD786476 LLZ786459:LLZ786476 LVV786459:LVV786476 MFR786459:MFR786476 MPN786459:MPN786476 MZJ786459:MZJ786476 NJF786459:NJF786476 NTB786459:NTB786476 OCX786459:OCX786476 OMT786459:OMT786476 OWP786459:OWP786476 PGL786459:PGL786476 PQH786459:PQH786476 QAD786459:QAD786476 QJZ786459:QJZ786476 QTV786459:QTV786476 RDR786459:RDR786476 RNN786459:RNN786476 RXJ786459:RXJ786476 SHF786459:SHF786476 SRB786459:SRB786476 TAX786459:TAX786476 TKT786459:TKT786476 TUP786459:TUP786476 UEL786459:UEL786476 UOH786459:UOH786476 UYD786459:UYD786476 VHZ786459:VHZ786476 VRV786459:VRV786476 WBR786459:WBR786476 WLN786459:WLN786476 WVJ786459:WVJ786476 B851995:B852012 IX851995:IX852012 ST851995:ST852012 ACP851995:ACP852012 AML851995:AML852012 AWH851995:AWH852012 BGD851995:BGD852012 BPZ851995:BPZ852012 BZV851995:BZV852012 CJR851995:CJR852012 CTN851995:CTN852012 DDJ851995:DDJ852012 DNF851995:DNF852012 DXB851995:DXB852012 EGX851995:EGX852012 EQT851995:EQT852012 FAP851995:FAP852012 FKL851995:FKL852012 FUH851995:FUH852012 GED851995:GED852012 GNZ851995:GNZ852012 GXV851995:GXV852012 HHR851995:HHR852012 HRN851995:HRN852012 IBJ851995:IBJ852012 ILF851995:ILF852012 IVB851995:IVB852012 JEX851995:JEX852012 JOT851995:JOT852012 JYP851995:JYP852012 KIL851995:KIL852012 KSH851995:KSH852012 LCD851995:LCD852012 LLZ851995:LLZ852012 LVV851995:LVV852012 MFR851995:MFR852012 MPN851995:MPN852012 MZJ851995:MZJ852012 NJF851995:NJF852012 NTB851995:NTB852012 OCX851995:OCX852012 OMT851995:OMT852012 OWP851995:OWP852012 PGL851995:PGL852012 PQH851995:PQH852012 QAD851995:QAD852012 QJZ851995:QJZ852012 QTV851995:QTV852012 RDR851995:RDR852012 RNN851995:RNN852012 RXJ851995:RXJ852012 SHF851995:SHF852012 SRB851995:SRB852012 TAX851995:TAX852012 TKT851995:TKT852012 TUP851995:TUP852012 UEL851995:UEL852012 UOH851995:UOH852012 UYD851995:UYD852012 VHZ851995:VHZ852012 VRV851995:VRV852012 WBR851995:WBR852012 WLN851995:WLN852012 WVJ851995:WVJ852012 B917531:B917548 IX917531:IX917548 ST917531:ST917548 ACP917531:ACP917548 AML917531:AML917548 AWH917531:AWH917548 BGD917531:BGD917548 BPZ917531:BPZ917548 BZV917531:BZV917548 CJR917531:CJR917548 CTN917531:CTN917548 DDJ917531:DDJ917548 DNF917531:DNF917548 DXB917531:DXB917548 EGX917531:EGX917548 EQT917531:EQT917548 FAP917531:FAP917548 FKL917531:FKL917548 FUH917531:FUH917548 GED917531:GED917548 GNZ917531:GNZ917548 GXV917531:GXV917548 HHR917531:HHR917548 HRN917531:HRN917548 IBJ917531:IBJ917548 ILF917531:ILF917548 IVB917531:IVB917548 JEX917531:JEX917548 JOT917531:JOT917548 JYP917531:JYP917548 KIL917531:KIL917548 KSH917531:KSH917548 LCD917531:LCD917548 LLZ917531:LLZ917548 LVV917531:LVV917548 MFR917531:MFR917548 MPN917531:MPN917548 MZJ917531:MZJ917548 NJF917531:NJF917548 NTB917531:NTB917548 OCX917531:OCX917548 OMT917531:OMT917548 OWP917531:OWP917548 PGL917531:PGL917548 PQH917531:PQH917548 QAD917531:QAD917548 QJZ917531:QJZ917548 QTV917531:QTV917548 RDR917531:RDR917548 RNN917531:RNN917548 RXJ917531:RXJ917548 SHF917531:SHF917548 SRB917531:SRB917548 TAX917531:TAX917548 TKT917531:TKT917548 TUP917531:TUP917548 UEL917531:UEL917548 UOH917531:UOH917548 UYD917531:UYD917548 VHZ917531:VHZ917548 VRV917531:VRV917548 WBR917531:WBR917548 WLN917531:WLN917548 WVJ917531:WVJ917548" xr:uid="{00000000-0002-0000-3D00-000001000000}">
      <formula1>trung</formula1>
    </dataValidation>
  </dataValidations>
  <pageMargins left="0.7" right="0.7" top="0.75" bottom="0.61"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XEV353"/>
  <sheetViews>
    <sheetView topLeftCell="A35" workbookViewId="0">
      <selection activeCell="C35" sqref="C35"/>
    </sheetView>
  </sheetViews>
  <sheetFormatPr defaultColWidth="39.5" defaultRowHeight="15" customHeight="1" zeroHeight="1"/>
  <cols>
    <col min="1" max="1" width="4.09765625" style="286" customWidth="1"/>
    <col min="2" max="2" width="28.09765625" style="286" customWidth="1"/>
    <col min="3" max="3" width="4.8984375" style="303" customWidth="1"/>
    <col min="4" max="4" width="7.5" style="347" customWidth="1"/>
    <col min="5" max="5" width="10.5" style="348" customWidth="1"/>
    <col min="6" max="6" width="5.59765625" style="303" customWidth="1"/>
    <col min="7" max="7" width="11.8984375" style="348" customWidth="1"/>
    <col min="8" max="8" width="6.69921875" style="286" customWidth="1"/>
    <col min="9" max="248" width="39.5" style="286" hidden="1" customWidth="1"/>
    <col min="249" max="249" width="8.8984375" style="286" customWidth="1"/>
    <col min="250" max="250" width="3.5" style="286" customWidth="1"/>
    <col min="251" max="251" width="5.8984375" style="286" customWidth="1"/>
    <col min="252" max="252" width="3.8984375" style="286" customWidth="1"/>
    <col min="253" max="253" width="8.19921875" style="286" customWidth="1"/>
    <col min="254" max="254" width="9.765625E-2" style="286" customWidth="1"/>
    <col min="255" max="255" width="0.5" style="286" customWidth="1"/>
    <col min="256" max="256" width="10.5" style="286" customWidth="1"/>
    <col min="257" max="257" width="4.09765625" style="286" customWidth="1"/>
    <col min="258" max="258" width="9.8984375" style="286" customWidth="1"/>
    <col min="259" max="259" width="4.8984375" style="286" customWidth="1"/>
    <col min="260" max="260" width="6" style="286" customWidth="1"/>
    <col min="261" max="261" width="10.5" style="286" customWidth="1"/>
    <col min="262" max="262" width="5.59765625" style="286" customWidth="1"/>
    <col min="263" max="263" width="11.59765625" style="286" customWidth="1"/>
    <col min="264" max="264" width="8.5" style="286" customWidth="1"/>
    <col min="265" max="504" width="39.5" style="286" hidden="1" customWidth="1"/>
    <col min="505" max="505" width="8.8984375" style="286" customWidth="1"/>
    <col min="506" max="506" width="3.5" style="286" customWidth="1"/>
    <col min="507" max="507" width="5.8984375" style="286" customWidth="1"/>
    <col min="508" max="508" width="3.8984375" style="286" customWidth="1"/>
    <col min="509" max="509" width="8.19921875" style="286" customWidth="1"/>
    <col min="510" max="510" width="9.765625E-2" style="286" customWidth="1"/>
    <col min="511" max="511" width="0.5" style="286" customWidth="1"/>
    <col min="512" max="512" width="39.5" style="286"/>
    <col min="513" max="513" width="4.09765625" style="286" customWidth="1"/>
    <col min="514" max="514" width="24.8984375" style="286" customWidth="1"/>
    <col min="515" max="515" width="4.8984375" style="286" customWidth="1"/>
    <col min="516" max="516" width="6" style="286" customWidth="1"/>
    <col min="517" max="517" width="10.5" style="286" customWidth="1"/>
    <col min="518" max="518" width="5.59765625" style="286" customWidth="1"/>
    <col min="519" max="519" width="11.59765625" style="286" customWidth="1"/>
    <col min="520" max="520" width="8.5" style="286" customWidth="1"/>
    <col min="521" max="760" width="39.5" style="286" hidden="1" customWidth="1"/>
    <col min="761" max="761" width="8.8984375" style="286" customWidth="1"/>
    <col min="762" max="762" width="3.5" style="286" customWidth="1"/>
    <col min="763" max="763" width="5.8984375" style="286" customWidth="1"/>
    <col min="764" max="764" width="3.8984375" style="286" customWidth="1"/>
    <col min="765" max="765" width="8.19921875" style="286" customWidth="1"/>
    <col min="766" max="766" width="9.765625E-2" style="286" customWidth="1"/>
    <col min="767" max="767" width="0.5" style="286" customWidth="1"/>
    <col min="768" max="768" width="39.5" style="286"/>
    <col min="769" max="769" width="4.09765625" style="286" customWidth="1"/>
    <col min="770" max="770" width="24.8984375" style="286" customWidth="1"/>
    <col min="771" max="771" width="4.8984375" style="286" customWidth="1"/>
    <col min="772" max="772" width="6" style="286" customWidth="1"/>
    <col min="773" max="773" width="10.5" style="286" customWidth="1"/>
    <col min="774" max="774" width="5.59765625" style="286" customWidth="1"/>
    <col min="775" max="775" width="11.59765625" style="286" customWidth="1"/>
    <col min="776" max="776" width="8.5" style="286" customWidth="1"/>
    <col min="777" max="1016" width="39.5" style="286" hidden="1" customWidth="1"/>
    <col min="1017" max="1017" width="8.8984375" style="286" customWidth="1"/>
    <col min="1018" max="1018" width="3.5" style="286" customWidth="1"/>
    <col min="1019" max="1019" width="5.8984375" style="286" customWidth="1"/>
    <col min="1020" max="1020" width="3.8984375" style="286" customWidth="1"/>
    <col min="1021" max="1021" width="8.19921875" style="286" customWidth="1"/>
    <col min="1022" max="1022" width="9.765625E-2" style="286" customWidth="1"/>
    <col min="1023" max="1023" width="0.5" style="286" customWidth="1"/>
    <col min="1024" max="1024" width="39.5" style="286"/>
    <col min="1025" max="1025" width="4.09765625" style="286" customWidth="1"/>
    <col min="1026" max="1026" width="24.8984375" style="286" customWidth="1"/>
    <col min="1027" max="1027" width="4.8984375" style="286" customWidth="1"/>
    <col min="1028" max="1028" width="6" style="286" customWidth="1"/>
    <col min="1029" max="1029" width="10.5" style="286" customWidth="1"/>
    <col min="1030" max="1030" width="5.59765625" style="286" customWidth="1"/>
    <col min="1031" max="1031" width="11.59765625" style="286" customWidth="1"/>
    <col min="1032" max="1032" width="8.5" style="286" customWidth="1"/>
    <col min="1033" max="1272" width="39.5" style="286" hidden="1" customWidth="1"/>
    <col min="1273" max="1273" width="8.8984375" style="286" customWidth="1"/>
    <col min="1274" max="1274" width="3.5" style="286" customWidth="1"/>
    <col min="1275" max="1275" width="5.8984375" style="286" customWidth="1"/>
    <col min="1276" max="1276" width="3.8984375" style="286" customWidth="1"/>
    <col min="1277" max="1277" width="8.19921875" style="286" customWidth="1"/>
    <col min="1278" max="1278" width="9.765625E-2" style="286" customWidth="1"/>
    <col min="1279" max="1279" width="0.5" style="286" customWidth="1"/>
    <col min="1280" max="1280" width="39.5" style="286"/>
    <col min="1281" max="1281" width="4.09765625" style="286" customWidth="1"/>
    <col min="1282" max="1282" width="24.8984375" style="286" customWidth="1"/>
    <col min="1283" max="1283" width="4.8984375" style="286" customWidth="1"/>
    <col min="1284" max="1284" width="6" style="286" customWidth="1"/>
    <col min="1285" max="1285" width="10.5" style="286" customWidth="1"/>
    <col min="1286" max="1286" width="5.59765625" style="286" customWidth="1"/>
    <col min="1287" max="1287" width="11.59765625" style="286" customWidth="1"/>
    <col min="1288" max="1288" width="8.5" style="286" customWidth="1"/>
    <col min="1289" max="1528" width="39.5" style="286" hidden="1" customWidth="1"/>
    <col min="1529" max="1529" width="8.8984375" style="286" customWidth="1"/>
    <col min="1530" max="1530" width="3.5" style="286" customWidth="1"/>
    <col min="1531" max="1531" width="5.8984375" style="286" customWidth="1"/>
    <col min="1532" max="1532" width="3.8984375" style="286" customWidth="1"/>
    <col min="1533" max="1533" width="8.19921875" style="286" customWidth="1"/>
    <col min="1534" max="1534" width="9.765625E-2" style="286" customWidth="1"/>
    <col min="1535" max="1535" width="0.5" style="286" customWidth="1"/>
    <col min="1536" max="1536" width="39.5" style="286"/>
    <col min="1537" max="1537" width="4.09765625" style="286" customWidth="1"/>
    <col min="1538" max="1538" width="24.8984375" style="286" customWidth="1"/>
    <col min="1539" max="1539" width="4.8984375" style="286" customWidth="1"/>
    <col min="1540" max="1540" width="6" style="286" customWidth="1"/>
    <col min="1541" max="1541" width="10.5" style="286" customWidth="1"/>
    <col min="1542" max="1542" width="5.59765625" style="286" customWidth="1"/>
    <col min="1543" max="1543" width="11.59765625" style="286" customWidth="1"/>
    <col min="1544" max="1544" width="8.5" style="286" customWidth="1"/>
    <col min="1545" max="1784" width="39.5" style="286" hidden="1" customWidth="1"/>
    <col min="1785" max="1785" width="8.8984375" style="286" customWidth="1"/>
    <col min="1786" max="1786" width="3.5" style="286" customWidth="1"/>
    <col min="1787" max="1787" width="5.8984375" style="286" customWidth="1"/>
    <col min="1788" max="1788" width="3.8984375" style="286" customWidth="1"/>
    <col min="1789" max="1789" width="8.19921875" style="286" customWidth="1"/>
    <col min="1790" max="1790" width="9.765625E-2" style="286" customWidth="1"/>
    <col min="1791" max="1791" width="0.5" style="286" customWidth="1"/>
    <col min="1792" max="1792" width="39.5" style="286"/>
    <col min="1793" max="1793" width="4.09765625" style="286" customWidth="1"/>
    <col min="1794" max="1794" width="24.8984375" style="286" customWidth="1"/>
    <col min="1795" max="1795" width="4.8984375" style="286" customWidth="1"/>
    <col min="1796" max="1796" width="6" style="286" customWidth="1"/>
    <col min="1797" max="1797" width="10.5" style="286" customWidth="1"/>
    <col min="1798" max="1798" width="5.59765625" style="286" customWidth="1"/>
    <col min="1799" max="1799" width="11.59765625" style="286" customWidth="1"/>
    <col min="1800" max="1800" width="8.5" style="286" customWidth="1"/>
    <col min="1801" max="2040" width="39.5" style="286" hidden="1" customWidth="1"/>
    <col min="2041" max="2041" width="8.8984375" style="286" customWidth="1"/>
    <col min="2042" max="2042" width="3.5" style="286" customWidth="1"/>
    <col min="2043" max="2043" width="5.8984375" style="286" customWidth="1"/>
    <col min="2044" max="2044" width="3.8984375" style="286" customWidth="1"/>
    <col min="2045" max="2045" width="8.19921875" style="286" customWidth="1"/>
    <col min="2046" max="2046" width="9.765625E-2" style="286" customWidth="1"/>
    <col min="2047" max="2047" width="0.5" style="286" customWidth="1"/>
    <col min="2048" max="2048" width="39.5" style="286"/>
    <col min="2049" max="2049" width="4.09765625" style="286" customWidth="1"/>
    <col min="2050" max="2050" width="24.8984375" style="286" customWidth="1"/>
    <col min="2051" max="2051" width="4.8984375" style="286" customWidth="1"/>
    <col min="2052" max="2052" width="6" style="286" customWidth="1"/>
    <col min="2053" max="2053" width="10.5" style="286" customWidth="1"/>
    <col min="2054" max="2054" width="5.59765625" style="286" customWidth="1"/>
    <col min="2055" max="2055" width="11.59765625" style="286" customWidth="1"/>
    <col min="2056" max="2056" width="8.5" style="286" customWidth="1"/>
    <col min="2057" max="2296" width="39.5" style="286" hidden="1" customWidth="1"/>
    <col min="2297" max="2297" width="8.8984375" style="286" customWidth="1"/>
    <col min="2298" max="2298" width="3.5" style="286" customWidth="1"/>
    <col min="2299" max="2299" width="5.8984375" style="286" customWidth="1"/>
    <col min="2300" max="2300" width="3.8984375" style="286" customWidth="1"/>
    <col min="2301" max="2301" width="8.19921875" style="286" customWidth="1"/>
    <col min="2302" max="2302" width="9.765625E-2" style="286" customWidth="1"/>
    <col min="2303" max="2303" width="0.5" style="286" customWidth="1"/>
    <col min="2304" max="2304" width="39.5" style="286"/>
    <col min="2305" max="2305" width="4.09765625" style="286" customWidth="1"/>
    <col min="2306" max="2306" width="24.8984375" style="286" customWidth="1"/>
    <col min="2307" max="2307" width="4.8984375" style="286" customWidth="1"/>
    <col min="2308" max="2308" width="6" style="286" customWidth="1"/>
    <col min="2309" max="2309" width="10.5" style="286" customWidth="1"/>
    <col min="2310" max="2310" width="5.59765625" style="286" customWidth="1"/>
    <col min="2311" max="2311" width="11.59765625" style="286" customWidth="1"/>
    <col min="2312" max="2312" width="8.5" style="286" customWidth="1"/>
    <col min="2313" max="2552" width="39.5" style="286" hidden="1" customWidth="1"/>
    <col min="2553" max="2553" width="8.8984375" style="286" customWidth="1"/>
    <col min="2554" max="2554" width="3.5" style="286" customWidth="1"/>
    <col min="2555" max="2555" width="5.8984375" style="286" customWidth="1"/>
    <col min="2556" max="2556" width="3.8984375" style="286" customWidth="1"/>
    <col min="2557" max="2557" width="8.19921875" style="286" customWidth="1"/>
    <col min="2558" max="2558" width="9.765625E-2" style="286" customWidth="1"/>
    <col min="2559" max="2559" width="0.5" style="286" customWidth="1"/>
    <col min="2560" max="2560" width="39.5" style="286"/>
    <col min="2561" max="2561" width="4.09765625" style="286" customWidth="1"/>
    <col min="2562" max="2562" width="24.8984375" style="286" customWidth="1"/>
    <col min="2563" max="2563" width="4.8984375" style="286" customWidth="1"/>
    <col min="2564" max="2564" width="6" style="286" customWidth="1"/>
    <col min="2565" max="2565" width="10.5" style="286" customWidth="1"/>
    <col min="2566" max="2566" width="5.59765625" style="286" customWidth="1"/>
    <col min="2567" max="2567" width="11.59765625" style="286" customWidth="1"/>
    <col min="2568" max="2568" width="8.5" style="286" customWidth="1"/>
    <col min="2569" max="2808" width="39.5" style="286" hidden="1" customWidth="1"/>
    <col min="2809" max="2809" width="8.8984375" style="286" customWidth="1"/>
    <col min="2810" max="2810" width="3.5" style="286" customWidth="1"/>
    <col min="2811" max="2811" width="5.8984375" style="286" customWidth="1"/>
    <col min="2812" max="2812" width="3.8984375" style="286" customWidth="1"/>
    <col min="2813" max="2813" width="8.19921875" style="286" customWidth="1"/>
    <col min="2814" max="2814" width="9.765625E-2" style="286" customWidth="1"/>
    <col min="2815" max="2815" width="0.5" style="286" customWidth="1"/>
    <col min="2816" max="2816" width="39.5" style="286"/>
    <col min="2817" max="2817" width="4.09765625" style="286" customWidth="1"/>
    <col min="2818" max="2818" width="24.8984375" style="286" customWidth="1"/>
    <col min="2819" max="2819" width="4.8984375" style="286" customWidth="1"/>
    <col min="2820" max="2820" width="6" style="286" customWidth="1"/>
    <col min="2821" max="2821" width="10.5" style="286" customWidth="1"/>
    <col min="2822" max="2822" width="5.59765625" style="286" customWidth="1"/>
    <col min="2823" max="2823" width="11.59765625" style="286" customWidth="1"/>
    <col min="2824" max="2824" width="8.5" style="286" customWidth="1"/>
    <col min="2825" max="3064" width="39.5" style="286" hidden="1" customWidth="1"/>
    <col min="3065" max="3065" width="8.8984375" style="286" customWidth="1"/>
    <col min="3066" max="3066" width="3.5" style="286" customWidth="1"/>
    <col min="3067" max="3067" width="5.8984375" style="286" customWidth="1"/>
    <col min="3068" max="3068" width="3.8984375" style="286" customWidth="1"/>
    <col min="3069" max="3069" width="8.19921875" style="286" customWidth="1"/>
    <col min="3070" max="3070" width="9.765625E-2" style="286" customWidth="1"/>
    <col min="3071" max="3071" width="0.5" style="286" customWidth="1"/>
    <col min="3072" max="3072" width="39.5" style="286"/>
    <col min="3073" max="3073" width="4.09765625" style="286" customWidth="1"/>
    <col min="3074" max="3074" width="24.8984375" style="286" customWidth="1"/>
    <col min="3075" max="3075" width="4.8984375" style="286" customWidth="1"/>
    <col min="3076" max="3076" width="6" style="286" customWidth="1"/>
    <col min="3077" max="3077" width="10.5" style="286" customWidth="1"/>
    <col min="3078" max="3078" width="5.59765625" style="286" customWidth="1"/>
    <col min="3079" max="3079" width="11.59765625" style="286" customWidth="1"/>
    <col min="3080" max="3080" width="8.5" style="286" customWidth="1"/>
    <col min="3081" max="3320" width="39.5" style="286" hidden="1" customWidth="1"/>
    <col min="3321" max="3321" width="8.8984375" style="286" customWidth="1"/>
    <col min="3322" max="3322" width="3.5" style="286" customWidth="1"/>
    <col min="3323" max="3323" width="5.8984375" style="286" customWidth="1"/>
    <col min="3324" max="3324" width="3.8984375" style="286" customWidth="1"/>
    <col min="3325" max="3325" width="8.19921875" style="286" customWidth="1"/>
    <col min="3326" max="3326" width="9.765625E-2" style="286" customWidth="1"/>
    <col min="3327" max="3327" width="0.5" style="286" customWidth="1"/>
    <col min="3328" max="3328" width="39.5" style="286"/>
    <col min="3329" max="3329" width="4.09765625" style="286" customWidth="1"/>
    <col min="3330" max="3330" width="24.8984375" style="286" customWidth="1"/>
    <col min="3331" max="3331" width="4.8984375" style="286" customWidth="1"/>
    <col min="3332" max="3332" width="6" style="286" customWidth="1"/>
    <col min="3333" max="3333" width="10.5" style="286" customWidth="1"/>
    <col min="3334" max="3334" width="5.59765625" style="286" customWidth="1"/>
    <col min="3335" max="3335" width="11.59765625" style="286" customWidth="1"/>
    <col min="3336" max="3336" width="8.5" style="286" customWidth="1"/>
    <col min="3337" max="3576" width="39.5" style="286" hidden="1" customWidth="1"/>
    <col min="3577" max="3577" width="8.8984375" style="286" customWidth="1"/>
    <col min="3578" max="3578" width="3.5" style="286" customWidth="1"/>
    <col min="3579" max="3579" width="5.8984375" style="286" customWidth="1"/>
    <col min="3580" max="3580" width="3.8984375" style="286" customWidth="1"/>
    <col min="3581" max="3581" width="8.19921875" style="286" customWidth="1"/>
    <col min="3582" max="3582" width="9.765625E-2" style="286" customWidth="1"/>
    <col min="3583" max="3583" width="0.5" style="286" customWidth="1"/>
    <col min="3584" max="3584" width="39.5" style="286"/>
    <col min="3585" max="3585" width="4.09765625" style="286" customWidth="1"/>
    <col min="3586" max="3586" width="24.8984375" style="286" customWidth="1"/>
    <col min="3587" max="3587" width="4.8984375" style="286" customWidth="1"/>
    <col min="3588" max="3588" width="6" style="286" customWidth="1"/>
    <col min="3589" max="3589" width="10.5" style="286" customWidth="1"/>
    <col min="3590" max="3590" width="5.59765625" style="286" customWidth="1"/>
    <col min="3591" max="3591" width="11.59765625" style="286" customWidth="1"/>
    <col min="3592" max="3592" width="8.5" style="286" customWidth="1"/>
    <col min="3593" max="3832" width="39.5" style="286" hidden="1" customWidth="1"/>
    <col min="3833" max="3833" width="8.8984375" style="286" customWidth="1"/>
    <col min="3834" max="3834" width="3.5" style="286" customWidth="1"/>
    <col min="3835" max="3835" width="5.8984375" style="286" customWidth="1"/>
    <col min="3836" max="3836" width="3.8984375" style="286" customWidth="1"/>
    <col min="3837" max="3837" width="8.19921875" style="286" customWidth="1"/>
    <col min="3838" max="3838" width="9.765625E-2" style="286" customWidth="1"/>
    <col min="3839" max="3839" width="0.5" style="286" customWidth="1"/>
    <col min="3840" max="3840" width="39.5" style="286"/>
    <col min="3841" max="3841" width="4.09765625" style="286" customWidth="1"/>
    <col min="3842" max="3842" width="24.8984375" style="286" customWidth="1"/>
    <col min="3843" max="3843" width="4.8984375" style="286" customWidth="1"/>
    <col min="3844" max="3844" width="6" style="286" customWidth="1"/>
    <col min="3845" max="3845" width="10.5" style="286" customWidth="1"/>
    <col min="3846" max="3846" width="5.59765625" style="286" customWidth="1"/>
    <col min="3847" max="3847" width="11.59765625" style="286" customWidth="1"/>
    <col min="3848" max="3848" width="8.5" style="286" customWidth="1"/>
    <col min="3849" max="4088" width="39.5" style="286" hidden="1" customWidth="1"/>
    <col min="4089" max="4089" width="8.8984375" style="286" customWidth="1"/>
    <col min="4090" max="4090" width="3.5" style="286" customWidth="1"/>
    <col min="4091" max="4091" width="5.8984375" style="286" customWidth="1"/>
    <col min="4092" max="4092" width="3.8984375" style="286" customWidth="1"/>
    <col min="4093" max="4093" width="8.19921875" style="286" customWidth="1"/>
    <col min="4094" max="4094" width="9.765625E-2" style="286" customWidth="1"/>
    <col min="4095" max="4095" width="0.5" style="286" customWidth="1"/>
    <col min="4096" max="4096" width="39.5" style="286"/>
    <col min="4097" max="4097" width="4.09765625" style="286" customWidth="1"/>
    <col min="4098" max="4098" width="24.8984375" style="286" customWidth="1"/>
    <col min="4099" max="4099" width="4.8984375" style="286" customWidth="1"/>
    <col min="4100" max="4100" width="6" style="286" customWidth="1"/>
    <col min="4101" max="4101" width="10.5" style="286" customWidth="1"/>
    <col min="4102" max="4102" width="5.59765625" style="286" customWidth="1"/>
    <col min="4103" max="4103" width="11.59765625" style="286" customWidth="1"/>
    <col min="4104" max="4104" width="8.5" style="286" customWidth="1"/>
    <col min="4105" max="4344" width="39.5" style="286" hidden="1" customWidth="1"/>
    <col min="4345" max="4345" width="8.8984375" style="286" customWidth="1"/>
    <col min="4346" max="4346" width="3.5" style="286" customWidth="1"/>
    <col min="4347" max="4347" width="5.8984375" style="286" customWidth="1"/>
    <col min="4348" max="4348" width="3.8984375" style="286" customWidth="1"/>
    <col min="4349" max="4349" width="8.19921875" style="286" customWidth="1"/>
    <col min="4350" max="4350" width="9.765625E-2" style="286" customWidth="1"/>
    <col min="4351" max="4351" width="0.5" style="286" customWidth="1"/>
    <col min="4352" max="4352" width="39.5" style="286"/>
    <col min="4353" max="4353" width="4.09765625" style="286" customWidth="1"/>
    <col min="4354" max="4354" width="24.8984375" style="286" customWidth="1"/>
    <col min="4355" max="4355" width="4.8984375" style="286" customWidth="1"/>
    <col min="4356" max="4356" width="6" style="286" customWidth="1"/>
    <col min="4357" max="4357" width="10.5" style="286" customWidth="1"/>
    <col min="4358" max="4358" width="5.59765625" style="286" customWidth="1"/>
    <col min="4359" max="4359" width="11.59765625" style="286" customWidth="1"/>
    <col min="4360" max="4360" width="8.5" style="286" customWidth="1"/>
    <col min="4361" max="4600" width="39.5" style="286" hidden="1" customWidth="1"/>
    <col min="4601" max="4601" width="8.8984375" style="286" customWidth="1"/>
    <col min="4602" max="4602" width="3.5" style="286" customWidth="1"/>
    <col min="4603" max="4603" width="5.8984375" style="286" customWidth="1"/>
    <col min="4604" max="4604" width="3.8984375" style="286" customWidth="1"/>
    <col min="4605" max="4605" width="8.19921875" style="286" customWidth="1"/>
    <col min="4606" max="4606" width="9.765625E-2" style="286" customWidth="1"/>
    <col min="4607" max="4607" width="0.5" style="286" customWidth="1"/>
    <col min="4608" max="4608" width="39.5" style="286"/>
    <col min="4609" max="4609" width="4.09765625" style="286" customWidth="1"/>
    <col min="4610" max="4610" width="24.8984375" style="286" customWidth="1"/>
    <col min="4611" max="4611" width="4.8984375" style="286" customWidth="1"/>
    <col min="4612" max="4612" width="6" style="286" customWidth="1"/>
    <col min="4613" max="4613" width="10.5" style="286" customWidth="1"/>
    <col min="4614" max="4614" width="5.59765625" style="286" customWidth="1"/>
    <col min="4615" max="4615" width="11.59765625" style="286" customWidth="1"/>
    <col min="4616" max="4616" width="8.5" style="286" customWidth="1"/>
    <col min="4617" max="4856" width="39.5" style="286" hidden="1" customWidth="1"/>
    <col min="4857" max="4857" width="8.8984375" style="286" customWidth="1"/>
    <col min="4858" max="4858" width="3.5" style="286" customWidth="1"/>
    <col min="4859" max="4859" width="5.8984375" style="286" customWidth="1"/>
    <col min="4860" max="4860" width="3.8984375" style="286" customWidth="1"/>
    <col min="4861" max="4861" width="8.19921875" style="286" customWidth="1"/>
    <col min="4862" max="4862" width="9.765625E-2" style="286" customWidth="1"/>
    <col min="4863" max="4863" width="0.5" style="286" customWidth="1"/>
    <col min="4864" max="4864" width="39.5" style="286"/>
    <col min="4865" max="4865" width="4.09765625" style="286" customWidth="1"/>
    <col min="4866" max="4866" width="24.8984375" style="286" customWidth="1"/>
    <col min="4867" max="4867" width="4.8984375" style="286" customWidth="1"/>
    <col min="4868" max="4868" width="6" style="286" customWidth="1"/>
    <col min="4869" max="4869" width="10.5" style="286" customWidth="1"/>
    <col min="4870" max="4870" width="5.59765625" style="286" customWidth="1"/>
    <col min="4871" max="4871" width="11.59765625" style="286" customWidth="1"/>
    <col min="4872" max="4872" width="8.5" style="286" customWidth="1"/>
    <col min="4873" max="5112" width="39.5" style="286" hidden="1" customWidth="1"/>
    <col min="5113" max="5113" width="8.8984375" style="286" customWidth="1"/>
    <col min="5114" max="5114" width="3.5" style="286" customWidth="1"/>
    <col min="5115" max="5115" width="5.8984375" style="286" customWidth="1"/>
    <col min="5116" max="5116" width="3.8984375" style="286" customWidth="1"/>
    <col min="5117" max="5117" width="8.19921875" style="286" customWidth="1"/>
    <col min="5118" max="5118" width="9.765625E-2" style="286" customWidth="1"/>
    <col min="5119" max="5119" width="0.5" style="286" customWidth="1"/>
    <col min="5120" max="5120" width="39.5" style="286"/>
    <col min="5121" max="5121" width="4.09765625" style="286" customWidth="1"/>
    <col min="5122" max="5122" width="24.8984375" style="286" customWidth="1"/>
    <col min="5123" max="5123" width="4.8984375" style="286" customWidth="1"/>
    <col min="5124" max="5124" width="6" style="286" customWidth="1"/>
    <col min="5125" max="5125" width="10.5" style="286" customWidth="1"/>
    <col min="5126" max="5126" width="5.59765625" style="286" customWidth="1"/>
    <col min="5127" max="5127" width="11.59765625" style="286" customWidth="1"/>
    <col min="5128" max="5128" width="8.5" style="286" customWidth="1"/>
    <col min="5129" max="5368" width="39.5" style="286" hidden="1" customWidth="1"/>
    <col min="5369" max="5369" width="8.8984375" style="286" customWidth="1"/>
    <col min="5370" max="5370" width="3.5" style="286" customWidth="1"/>
    <col min="5371" max="5371" width="5.8984375" style="286" customWidth="1"/>
    <col min="5372" max="5372" width="3.8984375" style="286" customWidth="1"/>
    <col min="5373" max="5373" width="8.19921875" style="286" customWidth="1"/>
    <col min="5374" max="5374" width="9.765625E-2" style="286" customWidth="1"/>
    <col min="5375" max="5375" width="0.5" style="286" customWidth="1"/>
    <col min="5376" max="5376" width="39.5" style="286"/>
    <col min="5377" max="5377" width="4.09765625" style="286" customWidth="1"/>
    <col min="5378" max="5378" width="24.8984375" style="286" customWidth="1"/>
    <col min="5379" max="5379" width="4.8984375" style="286" customWidth="1"/>
    <col min="5380" max="5380" width="6" style="286" customWidth="1"/>
    <col min="5381" max="5381" width="10.5" style="286" customWidth="1"/>
    <col min="5382" max="5382" width="5.59765625" style="286" customWidth="1"/>
    <col min="5383" max="5383" width="11.59765625" style="286" customWidth="1"/>
    <col min="5384" max="5384" width="8.5" style="286" customWidth="1"/>
    <col min="5385" max="5624" width="39.5" style="286" hidden="1" customWidth="1"/>
    <col min="5625" max="5625" width="8.8984375" style="286" customWidth="1"/>
    <col min="5626" max="5626" width="3.5" style="286" customWidth="1"/>
    <col min="5627" max="5627" width="5.8984375" style="286" customWidth="1"/>
    <col min="5628" max="5628" width="3.8984375" style="286" customWidth="1"/>
    <col min="5629" max="5629" width="8.19921875" style="286" customWidth="1"/>
    <col min="5630" max="5630" width="9.765625E-2" style="286" customWidth="1"/>
    <col min="5631" max="5631" width="0.5" style="286" customWidth="1"/>
    <col min="5632" max="5632" width="39.5" style="286"/>
    <col min="5633" max="5633" width="4.09765625" style="286" customWidth="1"/>
    <col min="5634" max="5634" width="24.8984375" style="286" customWidth="1"/>
    <col min="5635" max="5635" width="4.8984375" style="286" customWidth="1"/>
    <col min="5636" max="5636" width="6" style="286" customWidth="1"/>
    <col min="5637" max="5637" width="10.5" style="286" customWidth="1"/>
    <col min="5638" max="5638" width="5.59765625" style="286" customWidth="1"/>
    <col min="5639" max="5639" width="11.59765625" style="286" customWidth="1"/>
    <col min="5640" max="5640" width="8.5" style="286" customWidth="1"/>
    <col min="5641" max="5880" width="39.5" style="286" hidden="1" customWidth="1"/>
    <col min="5881" max="5881" width="8.8984375" style="286" customWidth="1"/>
    <col min="5882" max="5882" width="3.5" style="286" customWidth="1"/>
    <col min="5883" max="5883" width="5.8984375" style="286" customWidth="1"/>
    <col min="5884" max="5884" width="3.8984375" style="286" customWidth="1"/>
    <col min="5885" max="5885" width="8.19921875" style="286" customWidth="1"/>
    <col min="5886" max="5886" width="9.765625E-2" style="286" customWidth="1"/>
    <col min="5887" max="5887" width="0.5" style="286" customWidth="1"/>
    <col min="5888" max="5888" width="39.5" style="286"/>
    <col min="5889" max="5889" width="4.09765625" style="286" customWidth="1"/>
    <col min="5890" max="5890" width="24.8984375" style="286" customWidth="1"/>
    <col min="5891" max="5891" width="4.8984375" style="286" customWidth="1"/>
    <col min="5892" max="5892" width="6" style="286" customWidth="1"/>
    <col min="5893" max="5893" width="10.5" style="286" customWidth="1"/>
    <col min="5894" max="5894" width="5.59765625" style="286" customWidth="1"/>
    <col min="5895" max="5895" width="11.59765625" style="286" customWidth="1"/>
    <col min="5896" max="5896" width="8.5" style="286" customWidth="1"/>
    <col min="5897" max="6136" width="39.5" style="286" hidden="1" customWidth="1"/>
    <col min="6137" max="6137" width="8.8984375" style="286" customWidth="1"/>
    <col min="6138" max="6138" width="3.5" style="286" customWidth="1"/>
    <col min="6139" max="6139" width="5.8984375" style="286" customWidth="1"/>
    <col min="6140" max="6140" width="3.8984375" style="286" customWidth="1"/>
    <col min="6141" max="6141" width="8.19921875" style="286" customWidth="1"/>
    <col min="6142" max="6142" width="9.765625E-2" style="286" customWidth="1"/>
    <col min="6143" max="6143" width="0.5" style="286" customWidth="1"/>
    <col min="6144" max="6144" width="39.5" style="286"/>
    <col min="6145" max="6145" width="4.09765625" style="286" customWidth="1"/>
    <col min="6146" max="6146" width="24.8984375" style="286" customWidth="1"/>
    <col min="6147" max="6147" width="4.8984375" style="286" customWidth="1"/>
    <col min="6148" max="6148" width="6" style="286" customWidth="1"/>
    <col min="6149" max="6149" width="10.5" style="286" customWidth="1"/>
    <col min="6150" max="6150" width="5.59765625" style="286" customWidth="1"/>
    <col min="6151" max="6151" width="11.59765625" style="286" customWidth="1"/>
    <col min="6152" max="6152" width="8.5" style="286" customWidth="1"/>
    <col min="6153" max="6392" width="39.5" style="286" hidden="1" customWidth="1"/>
    <col min="6393" max="6393" width="8.8984375" style="286" customWidth="1"/>
    <col min="6394" max="6394" width="3.5" style="286" customWidth="1"/>
    <col min="6395" max="6395" width="5.8984375" style="286" customWidth="1"/>
    <col min="6396" max="6396" width="3.8984375" style="286" customWidth="1"/>
    <col min="6397" max="6397" width="8.19921875" style="286" customWidth="1"/>
    <col min="6398" max="6398" width="9.765625E-2" style="286" customWidth="1"/>
    <col min="6399" max="6399" width="0.5" style="286" customWidth="1"/>
    <col min="6400" max="6400" width="39.5" style="286"/>
    <col min="6401" max="6401" width="4.09765625" style="286" customWidth="1"/>
    <col min="6402" max="6402" width="24.8984375" style="286" customWidth="1"/>
    <col min="6403" max="6403" width="4.8984375" style="286" customWidth="1"/>
    <col min="6404" max="6404" width="6" style="286" customWidth="1"/>
    <col min="6405" max="6405" width="10.5" style="286" customWidth="1"/>
    <col min="6406" max="6406" width="5.59765625" style="286" customWidth="1"/>
    <col min="6407" max="6407" width="11.59765625" style="286" customWidth="1"/>
    <col min="6408" max="6408" width="8.5" style="286" customWidth="1"/>
    <col min="6409" max="6648" width="39.5" style="286" hidden="1" customWidth="1"/>
    <col min="6649" max="6649" width="8.8984375" style="286" customWidth="1"/>
    <col min="6650" max="6650" width="3.5" style="286" customWidth="1"/>
    <col min="6651" max="6651" width="5.8984375" style="286" customWidth="1"/>
    <col min="6652" max="6652" width="3.8984375" style="286" customWidth="1"/>
    <col min="6653" max="6653" width="8.19921875" style="286" customWidth="1"/>
    <col min="6654" max="6654" width="9.765625E-2" style="286" customWidth="1"/>
    <col min="6655" max="6655" width="0.5" style="286" customWidth="1"/>
    <col min="6656" max="6656" width="39.5" style="286"/>
    <col min="6657" max="6657" width="4.09765625" style="286" customWidth="1"/>
    <col min="6658" max="6658" width="24.8984375" style="286" customWidth="1"/>
    <col min="6659" max="6659" width="4.8984375" style="286" customWidth="1"/>
    <col min="6660" max="6660" width="6" style="286" customWidth="1"/>
    <col min="6661" max="6661" width="10.5" style="286" customWidth="1"/>
    <col min="6662" max="6662" width="5.59765625" style="286" customWidth="1"/>
    <col min="6663" max="6663" width="11.59765625" style="286" customWidth="1"/>
    <col min="6664" max="6664" width="8.5" style="286" customWidth="1"/>
    <col min="6665" max="6904" width="39.5" style="286" hidden="1" customWidth="1"/>
    <col min="6905" max="6905" width="8.8984375" style="286" customWidth="1"/>
    <col min="6906" max="6906" width="3.5" style="286" customWidth="1"/>
    <col min="6907" max="6907" width="5.8984375" style="286" customWidth="1"/>
    <col min="6908" max="6908" width="3.8984375" style="286" customWidth="1"/>
    <col min="6909" max="6909" width="8.19921875" style="286" customWidth="1"/>
    <col min="6910" max="6910" width="9.765625E-2" style="286" customWidth="1"/>
    <col min="6911" max="6911" width="0.5" style="286" customWidth="1"/>
    <col min="6912" max="6912" width="39.5" style="286"/>
    <col min="6913" max="6913" width="4.09765625" style="286" customWidth="1"/>
    <col min="6914" max="6914" width="24.8984375" style="286" customWidth="1"/>
    <col min="6915" max="6915" width="4.8984375" style="286" customWidth="1"/>
    <col min="6916" max="6916" width="6" style="286" customWidth="1"/>
    <col min="6917" max="6917" width="10.5" style="286" customWidth="1"/>
    <col min="6918" max="6918" width="5.59765625" style="286" customWidth="1"/>
    <col min="6919" max="6919" width="11.59765625" style="286" customWidth="1"/>
    <col min="6920" max="6920" width="8.5" style="286" customWidth="1"/>
    <col min="6921" max="7160" width="39.5" style="286" hidden="1" customWidth="1"/>
    <col min="7161" max="7161" width="8.8984375" style="286" customWidth="1"/>
    <col min="7162" max="7162" width="3.5" style="286" customWidth="1"/>
    <col min="7163" max="7163" width="5.8984375" style="286" customWidth="1"/>
    <col min="7164" max="7164" width="3.8984375" style="286" customWidth="1"/>
    <col min="7165" max="7165" width="8.19921875" style="286" customWidth="1"/>
    <col min="7166" max="7166" width="9.765625E-2" style="286" customWidth="1"/>
    <col min="7167" max="7167" width="0.5" style="286" customWidth="1"/>
    <col min="7168" max="7168" width="39.5" style="286"/>
    <col min="7169" max="7169" width="4.09765625" style="286" customWidth="1"/>
    <col min="7170" max="7170" width="24.8984375" style="286" customWidth="1"/>
    <col min="7171" max="7171" width="4.8984375" style="286" customWidth="1"/>
    <col min="7172" max="7172" width="6" style="286" customWidth="1"/>
    <col min="7173" max="7173" width="10.5" style="286" customWidth="1"/>
    <col min="7174" max="7174" width="5.59765625" style="286" customWidth="1"/>
    <col min="7175" max="7175" width="11.59765625" style="286" customWidth="1"/>
    <col min="7176" max="7176" width="8.5" style="286" customWidth="1"/>
    <col min="7177" max="7416" width="39.5" style="286" hidden="1" customWidth="1"/>
    <col min="7417" max="7417" width="8.8984375" style="286" customWidth="1"/>
    <col min="7418" max="7418" width="3.5" style="286" customWidth="1"/>
    <col min="7419" max="7419" width="5.8984375" style="286" customWidth="1"/>
    <col min="7420" max="7420" width="3.8984375" style="286" customWidth="1"/>
    <col min="7421" max="7421" width="8.19921875" style="286" customWidth="1"/>
    <col min="7422" max="7422" width="9.765625E-2" style="286" customWidth="1"/>
    <col min="7423" max="7423" width="0.5" style="286" customWidth="1"/>
    <col min="7424" max="7424" width="39.5" style="286"/>
    <col min="7425" max="7425" width="4.09765625" style="286" customWidth="1"/>
    <col min="7426" max="7426" width="24.8984375" style="286" customWidth="1"/>
    <col min="7427" max="7427" width="4.8984375" style="286" customWidth="1"/>
    <col min="7428" max="7428" width="6" style="286" customWidth="1"/>
    <col min="7429" max="7429" width="10.5" style="286" customWidth="1"/>
    <col min="7430" max="7430" width="5.59765625" style="286" customWidth="1"/>
    <col min="7431" max="7431" width="11.59765625" style="286" customWidth="1"/>
    <col min="7432" max="7432" width="8.5" style="286" customWidth="1"/>
    <col min="7433" max="7672" width="39.5" style="286" hidden="1" customWidth="1"/>
    <col min="7673" max="7673" width="8.8984375" style="286" customWidth="1"/>
    <col min="7674" max="7674" width="3.5" style="286" customWidth="1"/>
    <col min="7675" max="7675" width="5.8984375" style="286" customWidth="1"/>
    <col min="7676" max="7676" width="3.8984375" style="286" customWidth="1"/>
    <col min="7677" max="7677" width="8.19921875" style="286" customWidth="1"/>
    <col min="7678" max="7678" width="9.765625E-2" style="286" customWidth="1"/>
    <col min="7679" max="7679" width="0.5" style="286" customWidth="1"/>
    <col min="7680" max="7680" width="39.5" style="286"/>
    <col min="7681" max="7681" width="4.09765625" style="286" customWidth="1"/>
    <col min="7682" max="7682" width="24.8984375" style="286" customWidth="1"/>
    <col min="7683" max="7683" width="4.8984375" style="286" customWidth="1"/>
    <col min="7684" max="7684" width="6" style="286" customWidth="1"/>
    <col min="7685" max="7685" width="10.5" style="286" customWidth="1"/>
    <col min="7686" max="7686" width="5.59765625" style="286" customWidth="1"/>
    <col min="7687" max="7687" width="11.59765625" style="286" customWidth="1"/>
    <col min="7688" max="7688" width="8.5" style="286" customWidth="1"/>
    <col min="7689" max="7928" width="39.5" style="286" hidden="1" customWidth="1"/>
    <col min="7929" max="7929" width="8.8984375" style="286" customWidth="1"/>
    <col min="7930" max="7930" width="3.5" style="286" customWidth="1"/>
    <col min="7931" max="7931" width="5.8984375" style="286" customWidth="1"/>
    <col min="7932" max="7932" width="3.8984375" style="286" customWidth="1"/>
    <col min="7933" max="7933" width="8.19921875" style="286" customWidth="1"/>
    <col min="7934" max="7934" width="9.765625E-2" style="286" customWidth="1"/>
    <col min="7935" max="7935" width="0.5" style="286" customWidth="1"/>
    <col min="7936" max="7936" width="39.5" style="286"/>
    <col min="7937" max="7937" width="4.09765625" style="286" customWidth="1"/>
    <col min="7938" max="7938" width="24.8984375" style="286" customWidth="1"/>
    <col min="7939" max="7939" width="4.8984375" style="286" customWidth="1"/>
    <col min="7940" max="7940" width="6" style="286" customWidth="1"/>
    <col min="7941" max="7941" width="10.5" style="286" customWidth="1"/>
    <col min="7942" max="7942" width="5.59765625" style="286" customWidth="1"/>
    <col min="7943" max="7943" width="11.59765625" style="286" customWidth="1"/>
    <col min="7944" max="7944" width="8.5" style="286" customWidth="1"/>
    <col min="7945" max="8184" width="39.5" style="286" hidden="1" customWidth="1"/>
    <col min="8185" max="8185" width="8.8984375" style="286" customWidth="1"/>
    <col min="8186" max="8186" width="3.5" style="286" customWidth="1"/>
    <col min="8187" max="8187" width="5.8984375" style="286" customWidth="1"/>
    <col min="8188" max="8188" width="3.8984375" style="286" customWidth="1"/>
    <col min="8189" max="8189" width="8.19921875" style="286" customWidth="1"/>
    <col min="8190" max="8190" width="9.765625E-2" style="286" customWidth="1"/>
    <col min="8191" max="8191" width="0.5" style="286" customWidth="1"/>
    <col min="8192" max="8192" width="39.5" style="286"/>
    <col min="8193" max="8193" width="4.09765625" style="286" customWidth="1"/>
    <col min="8194" max="8194" width="24.8984375" style="286" customWidth="1"/>
    <col min="8195" max="8195" width="4.8984375" style="286" customWidth="1"/>
    <col min="8196" max="8196" width="6" style="286" customWidth="1"/>
    <col min="8197" max="8197" width="10.5" style="286" customWidth="1"/>
    <col min="8198" max="8198" width="5.59765625" style="286" customWidth="1"/>
    <col min="8199" max="8199" width="11.59765625" style="286" customWidth="1"/>
    <col min="8200" max="8200" width="8.5" style="286" customWidth="1"/>
    <col min="8201" max="8440" width="39.5" style="286" hidden="1" customWidth="1"/>
    <col min="8441" max="8441" width="8.8984375" style="286" customWidth="1"/>
    <col min="8442" max="8442" width="3.5" style="286" customWidth="1"/>
    <col min="8443" max="8443" width="5.8984375" style="286" customWidth="1"/>
    <col min="8444" max="8444" width="3.8984375" style="286" customWidth="1"/>
    <col min="8445" max="8445" width="8.19921875" style="286" customWidth="1"/>
    <col min="8446" max="8446" width="9.765625E-2" style="286" customWidth="1"/>
    <col min="8447" max="8447" width="0.5" style="286" customWidth="1"/>
    <col min="8448" max="8448" width="39.5" style="286"/>
    <col min="8449" max="8449" width="4.09765625" style="286" customWidth="1"/>
    <col min="8450" max="8450" width="24.8984375" style="286" customWidth="1"/>
    <col min="8451" max="8451" width="4.8984375" style="286" customWidth="1"/>
    <col min="8452" max="8452" width="6" style="286" customWidth="1"/>
    <col min="8453" max="8453" width="10.5" style="286" customWidth="1"/>
    <col min="8454" max="8454" width="5.59765625" style="286" customWidth="1"/>
    <col min="8455" max="8455" width="11.59765625" style="286" customWidth="1"/>
    <col min="8456" max="8456" width="8.5" style="286" customWidth="1"/>
    <col min="8457" max="8696" width="39.5" style="286" hidden="1" customWidth="1"/>
    <col min="8697" max="8697" width="8.8984375" style="286" customWidth="1"/>
    <col min="8698" max="8698" width="3.5" style="286" customWidth="1"/>
    <col min="8699" max="8699" width="5.8984375" style="286" customWidth="1"/>
    <col min="8700" max="8700" width="3.8984375" style="286" customWidth="1"/>
    <col min="8701" max="8701" width="8.19921875" style="286" customWidth="1"/>
    <col min="8702" max="8702" width="9.765625E-2" style="286" customWidth="1"/>
    <col min="8703" max="8703" width="0.5" style="286" customWidth="1"/>
    <col min="8704" max="8704" width="39.5" style="286"/>
    <col min="8705" max="8705" width="4.09765625" style="286" customWidth="1"/>
    <col min="8706" max="8706" width="24.8984375" style="286" customWidth="1"/>
    <col min="8707" max="8707" width="4.8984375" style="286" customWidth="1"/>
    <col min="8708" max="8708" width="6" style="286" customWidth="1"/>
    <col min="8709" max="8709" width="10.5" style="286" customWidth="1"/>
    <col min="8710" max="8710" width="5.59765625" style="286" customWidth="1"/>
    <col min="8711" max="8711" width="11.59765625" style="286" customWidth="1"/>
    <col min="8712" max="8712" width="8.5" style="286" customWidth="1"/>
    <col min="8713" max="8952" width="39.5" style="286" hidden="1" customWidth="1"/>
    <col min="8953" max="8953" width="8.8984375" style="286" customWidth="1"/>
    <col min="8954" max="8954" width="3.5" style="286" customWidth="1"/>
    <col min="8955" max="8955" width="5.8984375" style="286" customWidth="1"/>
    <col min="8956" max="8956" width="3.8984375" style="286" customWidth="1"/>
    <col min="8957" max="8957" width="8.19921875" style="286" customWidth="1"/>
    <col min="8958" max="8958" width="9.765625E-2" style="286" customWidth="1"/>
    <col min="8959" max="8959" width="0.5" style="286" customWidth="1"/>
    <col min="8960" max="8960" width="39.5" style="286"/>
    <col min="8961" max="8961" width="4.09765625" style="286" customWidth="1"/>
    <col min="8962" max="8962" width="24.8984375" style="286" customWidth="1"/>
    <col min="8963" max="8963" width="4.8984375" style="286" customWidth="1"/>
    <col min="8964" max="8964" width="6" style="286" customWidth="1"/>
    <col min="8965" max="8965" width="10.5" style="286" customWidth="1"/>
    <col min="8966" max="8966" width="5.59765625" style="286" customWidth="1"/>
    <col min="8967" max="8967" width="11.59765625" style="286" customWidth="1"/>
    <col min="8968" max="8968" width="8.5" style="286" customWidth="1"/>
    <col min="8969" max="9208" width="39.5" style="286" hidden="1" customWidth="1"/>
    <col min="9209" max="9209" width="8.8984375" style="286" customWidth="1"/>
    <col min="9210" max="9210" width="3.5" style="286" customWidth="1"/>
    <col min="9211" max="9211" width="5.8984375" style="286" customWidth="1"/>
    <col min="9212" max="9212" width="3.8984375" style="286" customWidth="1"/>
    <col min="9213" max="9213" width="8.19921875" style="286" customWidth="1"/>
    <col min="9214" max="9214" width="9.765625E-2" style="286" customWidth="1"/>
    <col min="9215" max="9215" width="0.5" style="286" customWidth="1"/>
    <col min="9216" max="9216" width="39.5" style="286"/>
    <col min="9217" max="9217" width="4.09765625" style="286" customWidth="1"/>
    <col min="9218" max="9218" width="24.8984375" style="286" customWidth="1"/>
    <col min="9219" max="9219" width="4.8984375" style="286" customWidth="1"/>
    <col min="9220" max="9220" width="6" style="286" customWidth="1"/>
    <col min="9221" max="9221" width="10.5" style="286" customWidth="1"/>
    <col min="9222" max="9222" width="5.59765625" style="286" customWidth="1"/>
    <col min="9223" max="9223" width="11.59765625" style="286" customWidth="1"/>
    <col min="9224" max="9224" width="8.5" style="286" customWidth="1"/>
    <col min="9225" max="9464" width="39.5" style="286" hidden="1" customWidth="1"/>
    <col min="9465" max="9465" width="8.8984375" style="286" customWidth="1"/>
    <col min="9466" max="9466" width="3.5" style="286" customWidth="1"/>
    <col min="9467" max="9467" width="5.8984375" style="286" customWidth="1"/>
    <col min="9468" max="9468" width="3.8984375" style="286" customWidth="1"/>
    <col min="9469" max="9469" width="8.19921875" style="286" customWidth="1"/>
    <col min="9470" max="9470" width="9.765625E-2" style="286" customWidth="1"/>
    <col min="9471" max="9471" width="0.5" style="286" customWidth="1"/>
    <col min="9472" max="9472" width="39.5" style="286"/>
    <col min="9473" max="9473" width="4.09765625" style="286" customWidth="1"/>
    <col min="9474" max="9474" width="24.8984375" style="286" customWidth="1"/>
    <col min="9475" max="9475" width="4.8984375" style="286" customWidth="1"/>
    <col min="9476" max="9476" width="6" style="286" customWidth="1"/>
    <col min="9477" max="9477" width="10.5" style="286" customWidth="1"/>
    <col min="9478" max="9478" width="5.59765625" style="286" customWidth="1"/>
    <col min="9479" max="9479" width="11.59765625" style="286" customWidth="1"/>
    <col min="9480" max="9480" width="8.5" style="286" customWidth="1"/>
    <col min="9481" max="9720" width="39.5" style="286" hidden="1" customWidth="1"/>
    <col min="9721" max="9721" width="8.8984375" style="286" customWidth="1"/>
    <col min="9722" max="9722" width="3.5" style="286" customWidth="1"/>
    <col min="9723" max="9723" width="5.8984375" style="286" customWidth="1"/>
    <col min="9724" max="9724" width="3.8984375" style="286" customWidth="1"/>
    <col min="9725" max="9725" width="8.19921875" style="286" customWidth="1"/>
    <col min="9726" max="9726" width="9.765625E-2" style="286" customWidth="1"/>
    <col min="9727" max="9727" width="0.5" style="286" customWidth="1"/>
    <col min="9728" max="9728" width="39.5" style="286"/>
    <col min="9729" max="9729" width="4.09765625" style="286" customWidth="1"/>
    <col min="9730" max="9730" width="24.8984375" style="286" customWidth="1"/>
    <col min="9731" max="9731" width="4.8984375" style="286" customWidth="1"/>
    <col min="9732" max="9732" width="6" style="286" customWidth="1"/>
    <col min="9733" max="9733" width="10.5" style="286" customWidth="1"/>
    <col min="9734" max="9734" width="5.59765625" style="286" customWidth="1"/>
    <col min="9735" max="9735" width="11.59765625" style="286" customWidth="1"/>
    <col min="9736" max="9736" width="8.5" style="286" customWidth="1"/>
    <col min="9737" max="9976" width="39.5" style="286" hidden="1" customWidth="1"/>
    <col min="9977" max="9977" width="8.8984375" style="286" customWidth="1"/>
    <col min="9978" max="9978" width="3.5" style="286" customWidth="1"/>
    <col min="9979" max="9979" width="5.8984375" style="286" customWidth="1"/>
    <col min="9980" max="9980" width="3.8984375" style="286" customWidth="1"/>
    <col min="9981" max="9981" width="8.19921875" style="286" customWidth="1"/>
    <col min="9982" max="9982" width="9.765625E-2" style="286" customWidth="1"/>
    <col min="9983" max="9983" width="0.5" style="286" customWidth="1"/>
    <col min="9984" max="9984" width="39.5" style="286"/>
    <col min="9985" max="9985" width="4.09765625" style="286" customWidth="1"/>
    <col min="9986" max="9986" width="24.8984375" style="286" customWidth="1"/>
    <col min="9987" max="9987" width="4.8984375" style="286" customWidth="1"/>
    <col min="9988" max="9988" width="6" style="286" customWidth="1"/>
    <col min="9989" max="9989" width="10.5" style="286" customWidth="1"/>
    <col min="9990" max="9990" width="5.59765625" style="286" customWidth="1"/>
    <col min="9991" max="9991" width="11.59765625" style="286" customWidth="1"/>
    <col min="9992" max="9992" width="8.5" style="286" customWidth="1"/>
    <col min="9993" max="10232" width="39.5" style="286" hidden="1" customWidth="1"/>
    <col min="10233" max="10233" width="8.8984375" style="286" customWidth="1"/>
    <col min="10234" max="10234" width="3.5" style="286" customWidth="1"/>
    <col min="10235" max="10235" width="5.8984375" style="286" customWidth="1"/>
    <col min="10236" max="10236" width="3.8984375" style="286" customWidth="1"/>
    <col min="10237" max="10237" width="8.19921875" style="286" customWidth="1"/>
    <col min="10238" max="10238" width="9.765625E-2" style="286" customWidth="1"/>
    <col min="10239" max="10239" width="0.5" style="286" customWidth="1"/>
    <col min="10240" max="10240" width="39.5" style="286"/>
    <col min="10241" max="10241" width="4.09765625" style="286" customWidth="1"/>
    <col min="10242" max="10242" width="24.8984375" style="286" customWidth="1"/>
    <col min="10243" max="10243" width="4.8984375" style="286" customWidth="1"/>
    <col min="10244" max="10244" width="6" style="286" customWidth="1"/>
    <col min="10245" max="10245" width="10.5" style="286" customWidth="1"/>
    <col min="10246" max="10246" width="5.59765625" style="286" customWidth="1"/>
    <col min="10247" max="10247" width="11.59765625" style="286" customWidth="1"/>
    <col min="10248" max="10248" width="8.5" style="286" customWidth="1"/>
    <col min="10249" max="10488" width="39.5" style="286" hidden="1" customWidth="1"/>
    <col min="10489" max="10489" width="8.8984375" style="286" customWidth="1"/>
    <col min="10490" max="10490" width="3.5" style="286" customWidth="1"/>
    <col min="10491" max="10491" width="5.8984375" style="286" customWidth="1"/>
    <col min="10492" max="10492" width="3.8984375" style="286" customWidth="1"/>
    <col min="10493" max="10493" width="8.19921875" style="286" customWidth="1"/>
    <col min="10494" max="10494" width="9.765625E-2" style="286" customWidth="1"/>
    <col min="10495" max="10495" width="0.5" style="286" customWidth="1"/>
    <col min="10496" max="10496" width="39.5" style="286"/>
    <col min="10497" max="10497" width="4.09765625" style="286" customWidth="1"/>
    <col min="10498" max="10498" width="24.8984375" style="286" customWidth="1"/>
    <col min="10499" max="10499" width="4.8984375" style="286" customWidth="1"/>
    <col min="10500" max="10500" width="6" style="286" customWidth="1"/>
    <col min="10501" max="10501" width="10.5" style="286" customWidth="1"/>
    <col min="10502" max="10502" width="5.59765625" style="286" customWidth="1"/>
    <col min="10503" max="10503" width="11.59765625" style="286" customWidth="1"/>
    <col min="10504" max="10504" width="8.5" style="286" customWidth="1"/>
    <col min="10505" max="10744" width="39.5" style="286" hidden="1" customWidth="1"/>
    <col min="10745" max="10745" width="8.8984375" style="286" customWidth="1"/>
    <col min="10746" max="10746" width="3.5" style="286" customWidth="1"/>
    <col min="10747" max="10747" width="5.8984375" style="286" customWidth="1"/>
    <col min="10748" max="10748" width="3.8984375" style="286" customWidth="1"/>
    <col min="10749" max="10749" width="8.19921875" style="286" customWidth="1"/>
    <col min="10750" max="10750" width="9.765625E-2" style="286" customWidth="1"/>
    <col min="10751" max="10751" width="0.5" style="286" customWidth="1"/>
    <col min="10752" max="10752" width="39.5" style="286"/>
    <col min="10753" max="10753" width="4.09765625" style="286" customWidth="1"/>
    <col min="10754" max="10754" width="24.8984375" style="286" customWidth="1"/>
    <col min="10755" max="10755" width="4.8984375" style="286" customWidth="1"/>
    <col min="10756" max="10756" width="6" style="286" customWidth="1"/>
    <col min="10757" max="10757" width="10.5" style="286" customWidth="1"/>
    <col min="10758" max="10758" width="5.59765625" style="286" customWidth="1"/>
    <col min="10759" max="10759" width="11.59765625" style="286" customWidth="1"/>
    <col min="10760" max="10760" width="8.5" style="286" customWidth="1"/>
    <col min="10761" max="11000" width="39.5" style="286" hidden="1" customWidth="1"/>
    <col min="11001" max="11001" width="8.8984375" style="286" customWidth="1"/>
    <col min="11002" max="11002" width="3.5" style="286" customWidth="1"/>
    <col min="11003" max="11003" width="5.8984375" style="286" customWidth="1"/>
    <col min="11004" max="11004" width="3.8984375" style="286" customWidth="1"/>
    <col min="11005" max="11005" width="8.19921875" style="286" customWidth="1"/>
    <col min="11006" max="11006" width="9.765625E-2" style="286" customWidth="1"/>
    <col min="11007" max="11007" width="0.5" style="286" customWidth="1"/>
    <col min="11008" max="11008" width="39.5" style="286"/>
    <col min="11009" max="11009" width="4.09765625" style="286" customWidth="1"/>
    <col min="11010" max="11010" width="24.8984375" style="286" customWidth="1"/>
    <col min="11011" max="11011" width="4.8984375" style="286" customWidth="1"/>
    <col min="11012" max="11012" width="6" style="286" customWidth="1"/>
    <col min="11013" max="11013" width="10.5" style="286" customWidth="1"/>
    <col min="11014" max="11014" width="5.59765625" style="286" customWidth="1"/>
    <col min="11015" max="11015" width="11.59765625" style="286" customWidth="1"/>
    <col min="11016" max="11016" width="8.5" style="286" customWidth="1"/>
    <col min="11017" max="11256" width="39.5" style="286" hidden="1" customWidth="1"/>
    <col min="11257" max="11257" width="8.8984375" style="286" customWidth="1"/>
    <col min="11258" max="11258" width="3.5" style="286" customWidth="1"/>
    <col min="11259" max="11259" width="5.8984375" style="286" customWidth="1"/>
    <col min="11260" max="11260" width="3.8984375" style="286" customWidth="1"/>
    <col min="11261" max="11261" width="8.19921875" style="286" customWidth="1"/>
    <col min="11262" max="11262" width="9.765625E-2" style="286" customWidth="1"/>
    <col min="11263" max="11263" width="0.5" style="286" customWidth="1"/>
    <col min="11264" max="11264" width="39.5" style="286"/>
    <col min="11265" max="11265" width="4.09765625" style="286" customWidth="1"/>
    <col min="11266" max="11266" width="24.8984375" style="286" customWidth="1"/>
    <col min="11267" max="11267" width="4.8984375" style="286" customWidth="1"/>
    <col min="11268" max="11268" width="6" style="286" customWidth="1"/>
    <col min="11269" max="11269" width="10.5" style="286" customWidth="1"/>
    <col min="11270" max="11270" width="5.59765625" style="286" customWidth="1"/>
    <col min="11271" max="11271" width="11.59765625" style="286" customWidth="1"/>
    <col min="11272" max="11272" width="8.5" style="286" customWidth="1"/>
    <col min="11273" max="11512" width="39.5" style="286" hidden="1" customWidth="1"/>
    <col min="11513" max="11513" width="8.8984375" style="286" customWidth="1"/>
    <col min="11514" max="11514" width="3.5" style="286" customWidth="1"/>
    <col min="11515" max="11515" width="5.8984375" style="286" customWidth="1"/>
    <col min="11516" max="11516" width="3.8984375" style="286" customWidth="1"/>
    <col min="11517" max="11517" width="8.19921875" style="286" customWidth="1"/>
    <col min="11518" max="11518" width="9.765625E-2" style="286" customWidth="1"/>
    <col min="11519" max="11519" width="0.5" style="286" customWidth="1"/>
    <col min="11520" max="11520" width="39.5" style="286"/>
    <col min="11521" max="11521" width="4.09765625" style="286" customWidth="1"/>
    <col min="11522" max="11522" width="24.8984375" style="286" customWidth="1"/>
    <col min="11523" max="11523" width="4.8984375" style="286" customWidth="1"/>
    <col min="11524" max="11524" width="6" style="286" customWidth="1"/>
    <col min="11525" max="11525" width="10.5" style="286" customWidth="1"/>
    <col min="11526" max="11526" width="5.59765625" style="286" customWidth="1"/>
    <col min="11527" max="11527" width="11.59765625" style="286" customWidth="1"/>
    <col min="11528" max="11528" width="8.5" style="286" customWidth="1"/>
    <col min="11529" max="11768" width="39.5" style="286" hidden="1" customWidth="1"/>
    <col min="11769" max="11769" width="8.8984375" style="286" customWidth="1"/>
    <col min="11770" max="11770" width="3.5" style="286" customWidth="1"/>
    <col min="11771" max="11771" width="5.8984375" style="286" customWidth="1"/>
    <col min="11772" max="11772" width="3.8984375" style="286" customWidth="1"/>
    <col min="11773" max="11773" width="8.19921875" style="286" customWidth="1"/>
    <col min="11774" max="11774" width="9.765625E-2" style="286" customWidth="1"/>
    <col min="11775" max="11775" width="0.5" style="286" customWidth="1"/>
    <col min="11776" max="11776" width="39.5" style="286"/>
    <col min="11777" max="11777" width="4.09765625" style="286" customWidth="1"/>
    <col min="11778" max="11778" width="24.8984375" style="286" customWidth="1"/>
    <col min="11779" max="11779" width="4.8984375" style="286" customWidth="1"/>
    <col min="11780" max="11780" width="6" style="286" customWidth="1"/>
    <col min="11781" max="11781" width="10.5" style="286" customWidth="1"/>
    <col min="11782" max="11782" width="5.59765625" style="286" customWidth="1"/>
    <col min="11783" max="11783" width="11.59765625" style="286" customWidth="1"/>
    <col min="11784" max="11784" width="8.5" style="286" customWidth="1"/>
    <col min="11785" max="12024" width="39.5" style="286" hidden="1" customWidth="1"/>
    <col min="12025" max="12025" width="8.8984375" style="286" customWidth="1"/>
    <col min="12026" max="12026" width="3.5" style="286" customWidth="1"/>
    <col min="12027" max="12027" width="5.8984375" style="286" customWidth="1"/>
    <col min="12028" max="12028" width="3.8984375" style="286" customWidth="1"/>
    <col min="12029" max="12029" width="8.19921875" style="286" customWidth="1"/>
    <col min="12030" max="12030" width="9.765625E-2" style="286" customWidth="1"/>
    <col min="12031" max="12031" width="0.5" style="286" customWidth="1"/>
    <col min="12032" max="12032" width="39.5" style="286"/>
    <col min="12033" max="12033" width="4.09765625" style="286" customWidth="1"/>
    <col min="12034" max="12034" width="24.8984375" style="286" customWidth="1"/>
    <col min="12035" max="12035" width="4.8984375" style="286" customWidth="1"/>
    <col min="12036" max="12036" width="6" style="286" customWidth="1"/>
    <col min="12037" max="12037" width="10.5" style="286" customWidth="1"/>
    <col min="12038" max="12038" width="5.59765625" style="286" customWidth="1"/>
    <col min="12039" max="12039" width="11.59765625" style="286" customWidth="1"/>
    <col min="12040" max="12040" width="8.5" style="286" customWidth="1"/>
    <col min="12041" max="12280" width="39.5" style="286" hidden="1" customWidth="1"/>
    <col min="12281" max="12281" width="8.8984375" style="286" customWidth="1"/>
    <col min="12282" max="12282" width="3.5" style="286" customWidth="1"/>
    <col min="12283" max="12283" width="5.8984375" style="286" customWidth="1"/>
    <col min="12284" max="12284" width="3.8984375" style="286" customWidth="1"/>
    <col min="12285" max="12285" width="8.19921875" style="286" customWidth="1"/>
    <col min="12286" max="12286" width="9.765625E-2" style="286" customWidth="1"/>
    <col min="12287" max="12287" width="0.5" style="286" customWidth="1"/>
    <col min="12288" max="12288" width="39.5" style="286"/>
    <col min="12289" max="12289" width="4.09765625" style="286" customWidth="1"/>
    <col min="12290" max="12290" width="24.8984375" style="286" customWidth="1"/>
    <col min="12291" max="12291" width="4.8984375" style="286" customWidth="1"/>
    <col min="12292" max="12292" width="6" style="286" customWidth="1"/>
    <col min="12293" max="12293" width="10.5" style="286" customWidth="1"/>
    <col min="12294" max="12294" width="5.59765625" style="286" customWidth="1"/>
    <col min="12295" max="12295" width="11.59765625" style="286" customWidth="1"/>
    <col min="12296" max="12296" width="8.5" style="286" customWidth="1"/>
    <col min="12297" max="12536" width="39.5" style="286" hidden="1" customWidth="1"/>
    <col min="12537" max="12537" width="8.8984375" style="286" customWidth="1"/>
    <col min="12538" max="12538" width="3.5" style="286" customWidth="1"/>
    <col min="12539" max="12539" width="5.8984375" style="286" customWidth="1"/>
    <col min="12540" max="12540" width="3.8984375" style="286" customWidth="1"/>
    <col min="12541" max="12541" width="8.19921875" style="286" customWidth="1"/>
    <col min="12542" max="12542" width="9.765625E-2" style="286" customWidth="1"/>
    <col min="12543" max="12543" width="0.5" style="286" customWidth="1"/>
    <col min="12544" max="12544" width="39.5" style="286"/>
    <col min="12545" max="12545" width="4.09765625" style="286" customWidth="1"/>
    <col min="12546" max="12546" width="24.8984375" style="286" customWidth="1"/>
    <col min="12547" max="12547" width="4.8984375" style="286" customWidth="1"/>
    <col min="12548" max="12548" width="6" style="286" customWidth="1"/>
    <col min="12549" max="12549" width="10.5" style="286" customWidth="1"/>
    <col min="12550" max="12550" width="5.59765625" style="286" customWidth="1"/>
    <col min="12551" max="12551" width="11.59765625" style="286" customWidth="1"/>
    <col min="12552" max="12552" width="8.5" style="286" customWidth="1"/>
    <col min="12553" max="12792" width="39.5" style="286" hidden="1" customWidth="1"/>
    <col min="12793" max="12793" width="8.8984375" style="286" customWidth="1"/>
    <col min="12794" max="12794" width="3.5" style="286" customWidth="1"/>
    <col min="12795" max="12795" width="5.8984375" style="286" customWidth="1"/>
    <col min="12796" max="12796" width="3.8984375" style="286" customWidth="1"/>
    <col min="12797" max="12797" width="8.19921875" style="286" customWidth="1"/>
    <col min="12798" max="12798" width="9.765625E-2" style="286" customWidth="1"/>
    <col min="12799" max="12799" width="0.5" style="286" customWidth="1"/>
    <col min="12800" max="12800" width="39.5" style="286"/>
    <col min="12801" max="12801" width="4.09765625" style="286" customWidth="1"/>
    <col min="12802" max="12802" width="24.8984375" style="286" customWidth="1"/>
    <col min="12803" max="12803" width="4.8984375" style="286" customWidth="1"/>
    <col min="12804" max="12804" width="6" style="286" customWidth="1"/>
    <col min="12805" max="12805" width="10.5" style="286" customWidth="1"/>
    <col min="12806" max="12806" width="5.59765625" style="286" customWidth="1"/>
    <col min="12807" max="12807" width="11.59765625" style="286" customWidth="1"/>
    <col min="12808" max="12808" width="8.5" style="286" customWidth="1"/>
    <col min="12809" max="13048" width="39.5" style="286" hidden="1" customWidth="1"/>
    <col min="13049" max="13049" width="8.8984375" style="286" customWidth="1"/>
    <col min="13050" max="13050" width="3.5" style="286" customWidth="1"/>
    <col min="13051" max="13051" width="5.8984375" style="286" customWidth="1"/>
    <col min="13052" max="13052" width="3.8984375" style="286" customWidth="1"/>
    <col min="13053" max="13053" width="8.19921875" style="286" customWidth="1"/>
    <col min="13054" max="13054" width="9.765625E-2" style="286" customWidth="1"/>
    <col min="13055" max="13055" width="0.5" style="286" customWidth="1"/>
    <col min="13056" max="13056" width="39.5" style="286"/>
    <col min="13057" max="13057" width="4.09765625" style="286" customWidth="1"/>
    <col min="13058" max="13058" width="24.8984375" style="286" customWidth="1"/>
    <col min="13059" max="13059" width="4.8984375" style="286" customWidth="1"/>
    <col min="13060" max="13060" width="6" style="286" customWidth="1"/>
    <col min="13061" max="13061" width="10.5" style="286" customWidth="1"/>
    <col min="13062" max="13062" width="5.59765625" style="286" customWidth="1"/>
    <col min="13063" max="13063" width="11.59765625" style="286" customWidth="1"/>
    <col min="13064" max="13064" width="8.5" style="286" customWidth="1"/>
    <col min="13065" max="13304" width="39.5" style="286" hidden="1" customWidth="1"/>
    <col min="13305" max="13305" width="8.8984375" style="286" customWidth="1"/>
    <col min="13306" max="13306" width="3.5" style="286" customWidth="1"/>
    <col min="13307" max="13307" width="5.8984375" style="286" customWidth="1"/>
    <col min="13308" max="13308" width="3.8984375" style="286" customWidth="1"/>
    <col min="13309" max="13309" width="8.19921875" style="286" customWidth="1"/>
    <col min="13310" max="13310" width="9.765625E-2" style="286" customWidth="1"/>
    <col min="13311" max="13311" width="0.5" style="286" customWidth="1"/>
    <col min="13312" max="13312" width="39.5" style="286"/>
    <col min="13313" max="13313" width="4.09765625" style="286" customWidth="1"/>
    <col min="13314" max="13314" width="24.8984375" style="286" customWidth="1"/>
    <col min="13315" max="13315" width="4.8984375" style="286" customWidth="1"/>
    <col min="13316" max="13316" width="6" style="286" customWidth="1"/>
    <col min="13317" max="13317" width="10.5" style="286" customWidth="1"/>
    <col min="13318" max="13318" width="5.59765625" style="286" customWidth="1"/>
    <col min="13319" max="13319" width="11.59765625" style="286" customWidth="1"/>
    <col min="13320" max="13320" width="8.5" style="286" customWidth="1"/>
    <col min="13321" max="13560" width="39.5" style="286" hidden="1" customWidth="1"/>
    <col min="13561" max="13561" width="8.8984375" style="286" customWidth="1"/>
    <col min="13562" max="13562" width="3.5" style="286" customWidth="1"/>
    <col min="13563" max="13563" width="5.8984375" style="286" customWidth="1"/>
    <col min="13564" max="13564" width="3.8984375" style="286" customWidth="1"/>
    <col min="13565" max="13565" width="8.19921875" style="286" customWidth="1"/>
    <col min="13566" max="13566" width="9.765625E-2" style="286" customWidth="1"/>
    <col min="13567" max="13567" width="0.5" style="286" customWidth="1"/>
    <col min="13568" max="13568" width="39.5" style="286"/>
    <col min="13569" max="13569" width="4.09765625" style="286" customWidth="1"/>
    <col min="13570" max="13570" width="24.8984375" style="286" customWidth="1"/>
    <col min="13571" max="13571" width="4.8984375" style="286" customWidth="1"/>
    <col min="13572" max="13572" width="6" style="286" customWidth="1"/>
    <col min="13573" max="13573" width="10.5" style="286" customWidth="1"/>
    <col min="13574" max="13574" width="5.59765625" style="286" customWidth="1"/>
    <col min="13575" max="13575" width="11.59765625" style="286" customWidth="1"/>
    <col min="13576" max="13576" width="8.5" style="286" customWidth="1"/>
    <col min="13577" max="13816" width="39.5" style="286" hidden="1" customWidth="1"/>
    <col min="13817" max="13817" width="8.8984375" style="286" customWidth="1"/>
    <col min="13818" max="13818" width="3.5" style="286" customWidth="1"/>
    <col min="13819" max="13819" width="5.8984375" style="286" customWidth="1"/>
    <col min="13820" max="13820" width="3.8984375" style="286" customWidth="1"/>
    <col min="13821" max="13821" width="8.19921875" style="286" customWidth="1"/>
    <col min="13822" max="13822" width="9.765625E-2" style="286" customWidth="1"/>
    <col min="13823" max="13823" width="0.5" style="286" customWidth="1"/>
    <col min="13824" max="13824" width="39.5" style="286"/>
    <col min="13825" max="13825" width="4.09765625" style="286" customWidth="1"/>
    <col min="13826" max="13826" width="24.8984375" style="286" customWidth="1"/>
    <col min="13827" max="13827" width="4.8984375" style="286" customWidth="1"/>
    <col min="13828" max="13828" width="6" style="286" customWidth="1"/>
    <col min="13829" max="13829" width="10.5" style="286" customWidth="1"/>
    <col min="13830" max="13830" width="5.59765625" style="286" customWidth="1"/>
    <col min="13831" max="13831" width="11.59765625" style="286" customWidth="1"/>
    <col min="13832" max="13832" width="8.5" style="286" customWidth="1"/>
    <col min="13833" max="14072" width="39.5" style="286" hidden="1" customWidth="1"/>
    <col min="14073" max="14073" width="8.8984375" style="286" customWidth="1"/>
    <col min="14074" max="14074" width="3.5" style="286" customWidth="1"/>
    <col min="14075" max="14075" width="5.8984375" style="286" customWidth="1"/>
    <col min="14076" max="14076" width="3.8984375" style="286" customWidth="1"/>
    <col min="14077" max="14077" width="8.19921875" style="286" customWidth="1"/>
    <col min="14078" max="14078" width="9.765625E-2" style="286" customWidth="1"/>
    <col min="14079" max="14079" width="0.5" style="286" customWidth="1"/>
    <col min="14080" max="14080" width="39.5" style="286"/>
    <col min="14081" max="14081" width="4.09765625" style="286" customWidth="1"/>
    <col min="14082" max="14082" width="24.8984375" style="286" customWidth="1"/>
    <col min="14083" max="14083" width="4.8984375" style="286" customWidth="1"/>
    <col min="14084" max="14084" width="6" style="286" customWidth="1"/>
    <col min="14085" max="14085" width="10.5" style="286" customWidth="1"/>
    <col min="14086" max="14086" width="5.59765625" style="286" customWidth="1"/>
    <col min="14087" max="14087" width="11.59765625" style="286" customWidth="1"/>
    <col min="14088" max="14088" width="8.5" style="286" customWidth="1"/>
    <col min="14089" max="14328" width="39.5" style="286" hidden="1" customWidth="1"/>
    <col min="14329" max="14329" width="8.8984375" style="286" customWidth="1"/>
    <col min="14330" max="14330" width="3.5" style="286" customWidth="1"/>
    <col min="14331" max="14331" width="5.8984375" style="286" customWidth="1"/>
    <col min="14332" max="14332" width="3.8984375" style="286" customWidth="1"/>
    <col min="14333" max="14333" width="8.19921875" style="286" customWidth="1"/>
    <col min="14334" max="14334" width="9.765625E-2" style="286" customWidth="1"/>
    <col min="14335" max="14335" width="0.5" style="286" customWidth="1"/>
    <col min="14336" max="14336" width="39.5" style="286"/>
    <col min="14337" max="14337" width="4.09765625" style="286" customWidth="1"/>
    <col min="14338" max="14338" width="24.8984375" style="286" customWidth="1"/>
    <col min="14339" max="14339" width="4.8984375" style="286" customWidth="1"/>
    <col min="14340" max="14340" width="6" style="286" customWidth="1"/>
    <col min="14341" max="14341" width="10.5" style="286" customWidth="1"/>
    <col min="14342" max="14342" width="5.59765625" style="286" customWidth="1"/>
    <col min="14343" max="14343" width="11.59765625" style="286" customWidth="1"/>
    <col min="14344" max="14344" width="8.5" style="286" customWidth="1"/>
    <col min="14345" max="14584" width="39.5" style="286" hidden="1" customWidth="1"/>
    <col min="14585" max="14585" width="8.8984375" style="286" customWidth="1"/>
    <col min="14586" max="14586" width="3.5" style="286" customWidth="1"/>
    <col min="14587" max="14587" width="5.8984375" style="286" customWidth="1"/>
    <col min="14588" max="14588" width="3.8984375" style="286" customWidth="1"/>
    <col min="14589" max="14589" width="8.19921875" style="286" customWidth="1"/>
    <col min="14590" max="14590" width="9.765625E-2" style="286" customWidth="1"/>
    <col min="14591" max="14591" width="0.5" style="286" customWidth="1"/>
    <col min="14592" max="14592" width="39.5" style="286"/>
    <col min="14593" max="14593" width="4.09765625" style="286" customWidth="1"/>
    <col min="14594" max="14594" width="24.8984375" style="286" customWidth="1"/>
    <col min="14595" max="14595" width="4.8984375" style="286" customWidth="1"/>
    <col min="14596" max="14596" width="6" style="286" customWidth="1"/>
    <col min="14597" max="14597" width="10.5" style="286" customWidth="1"/>
    <col min="14598" max="14598" width="5.59765625" style="286" customWidth="1"/>
    <col min="14599" max="14599" width="11.59765625" style="286" customWidth="1"/>
    <col min="14600" max="14600" width="8.5" style="286" customWidth="1"/>
    <col min="14601" max="14840" width="39.5" style="286" hidden="1" customWidth="1"/>
    <col min="14841" max="14841" width="8.8984375" style="286" customWidth="1"/>
    <col min="14842" max="14842" width="3.5" style="286" customWidth="1"/>
    <col min="14843" max="14843" width="5.8984375" style="286" customWidth="1"/>
    <col min="14844" max="14844" width="3.8984375" style="286" customWidth="1"/>
    <col min="14845" max="14845" width="8.19921875" style="286" customWidth="1"/>
    <col min="14846" max="14846" width="9.765625E-2" style="286" customWidth="1"/>
    <col min="14847" max="14847" width="0.5" style="286" customWidth="1"/>
    <col min="14848" max="14848" width="39.5" style="286"/>
    <col min="14849" max="14849" width="4.09765625" style="286" customWidth="1"/>
    <col min="14850" max="14850" width="24.8984375" style="286" customWidth="1"/>
    <col min="14851" max="14851" width="4.8984375" style="286" customWidth="1"/>
    <col min="14852" max="14852" width="6" style="286" customWidth="1"/>
    <col min="14853" max="14853" width="10.5" style="286" customWidth="1"/>
    <col min="14854" max="14854" width="5.59765625" style="286" customWidth="1"/>
    <col min="14855" max="14855" width="11.59765625" style="286" customWidth="1"/>
    <col min="14856" max="14856" width="8.5" style="286" customWidth="1"/>
    <col min="14857" max="15096" width="39.5" style="286" hidden="1" customWidth="1"/>
    <col min="15097" max="15097" width="8.8984375" style="286" customWidth="1"/>
    <col min="15098" max="15098" width="3.5" style="286" customWidth="1"/>
    <col min="15099" max="15099" width="5.8984375" style="286" customWidth="1"/>
    <col min="15100" max="15100" width="3.8984375" style="286" customWidth="1"/>
    <col min="15101" max="15101" width="8.19921875" style="286" customWidth="1"/>
    <col min="15102" max="15102" width="9.765625E-2" style="286" customWidth="1"/>
    <col min="15103" max="15103" width="0.5" style="286" customWidth="1"/>
    <col min="15104" max="15104" width="39.5" style="286"/>
    <col min="15105" max="15105" width="4.09765625" style="286" customWidth="1"/>
    <col min="15106" max="15106" width="24.8984375" style="286" customWidth="1"/>
    <col min="15107" max="15107" width="4.8984375" style="286" customWidth="1"/>
    <col min="15108" max="15108" width="6" style="286" customWidth="1"/>
    <col min="15109" max="15109" width="10.5" style="286" customWidth="1"/>
    <col min="15110" max="15110" width="5.59765625" style="286" customWidth="1"/>
    <col min="15111" max="15111" width="11.59765625" style="286" customWidth="1"/>
    <col min="15112" max="15112" width="8.5" style="286" customWidth="1"/>
    <col min="15113" max="15352" width="39.5" style="286" hidden="1" customWidth="1"/>
    <col min="15353" max="15353" width="8.8984375" style="286" customWidth="1"/>
    <col min="15354" max="15354" width="3.5" style="286" customWidth="1"/>
    <col min="15355" max="15355" width="5.8984375" style="286" customWidth="1"/>
    <col min="15356" max="15356" width="3.8984375" style="286" customWidth="1"/>
    <col min="15357" max="15357" width="8.19921875" style="286" customWidth="1"/>
    <col min="15358" max="15358" width="9.765625E-2" style="286" customWidth="1"/>
    <col min="15359" max="15359" width="0.5" style="286" customWidth="1"/>
    <col min="15360" max="15360" width="39.5" style="286"/>
    <col min="15361" max="15361" width="4.09765625" style="286" customWidth="1"/>
    <col min="15362" max="15362" width="24.8984375" style="286" customWidth="1"/>
    <col min="15363" max="15363" width="4.8984375" style="286" customWidth="1"/>
    <col min="15364" max="15364" width="6" style="286" customWidth="1"/>
    <col min="15365" max="15365" width="10.5" style="286" customWidth="1"/>
    <col min="15366" max="15366" width="5.59765625" style="286" customWidth="1"/>
    <col min="15367" max="15367" width="11.59765625" style="286" customWidth="1"/>
    <col min="15368" max="15368" width="8.5" style="286" customWidth="1"/>
    <col min="15369" max="15608" width="39.5" style="286" hidden="1" customWidth="1"/>
    <col min="15609" max="15609" width="8.8984375" style="286" customWidth="1"/>
    <col min="15610" max="15610" width="3.5" style="286" customWidth="1"/>
    <col min="15611" max="15611" width="5.8984375" style="286" customWidth="1"/>
    <col min="15612" max="15612" width="3.8984375" style="286" customWidth="1"/>
    <col min="15613" max="15613" width="8.19921875" style="286" customWidth="1"/>
    <col min="15614" max="15614" width="9.765625E-2" style="286" customWidth="1"/>
    <col min="15615" max="15615" width="0.5" style="286" customWidth="1"/>
    <col min="15616" max="15616" width="39.5" style="286"/>
    <col min="15617" max="15617" width="4.09765625" style="286" customWidth="1"/>
    <col min="15618" max="15618" width="24.8984375" style="286" customWidth="1"/>
    <col min="15619" max="15619" width="4.8984375" style="286" customWidth="1"/>
    <col min="15620" max="15620" width="6" style="286" customWidth="1"/>
    <col min="15621" max="15621" width="10.5" style="286" customWidth="1"/>
    <col min="15622" max="15622" width="5.59765625" style="286" customWidth="1"/>
    <col min="15623" max="15623" width="11.59765625" style="286" customWidth="1"/>
    <col min="15624" max="15624" width="8.5" style="286" customWidth="1"/>
    <col min="15625" max="15864" width="39.5" style="286" hidden="1" customWidth="1"/>
    <col min="15865" max="15865" width="8.8984375" style="286" customWidth="1"/>
    <col min="15866" max="15866" width="3.5" style="286" customWidth="1"/>
    <col min="15867" max="15867" width="5.8984375" style="286" customWidth="1"/>
    <col min="15868" max="15868" width="3.8984375" style="286" customWidth="1"/>
    <col min="15869" max="15869" width="8.19921875" style="286" customWidth="1"/>
    <col min="15870" max="15870" width="9.765625E-2" style="286" customWidth="1"/>
    <col min="15871" max="15871" width="0.5" style="286" customWidth="1"/>
    <col min="15872" max="15872" width="39.5" style="286"/>
    <col min="15873" max="15873" width="4.09765625" style="286" customWidth="1"/>
    <col min="15874" max="15874" width="24.8984375" style="286" customWidth="1"/>
    <col min="15875" max="15875" width="4.8984375" style="286" customWidth="1"/>
    <col min="15876" max="15876" width="6" style="286" customWidth="1"/>
    <col min="15877" max="15877" width="10.5" style="286" customWidth="1"/>
    <col min="15878" max="15878" width="5.59765625" style="286" customWidth="1"/>
    <col min="15879" max="15879" width="11.59765625" style="286" customWidth="1"/>
    <col min="15880" max="15880" width="8.5" style="286" customWidth="1"/>
    <col min="15881" max="16120" width="39.5" style="286" hidden="1" customWidth="1"/>
    <col min="16121" max="16121" width="8.8984375" style="286" customWidth="1"/>
    <col min="16122" max="16122" width="3.5" style="286" customWidth="1"/>
    <col min="16123" max="16123" width="5.8984375" style="286" customWidth="1"/>
    <col min="16124" max="16124" width="3.8984375" style="286" customWidth="1"/>
    <col min="16125" max="16125" width="8.19921875" style="286" customWidth="1"/>
    <col min="16126" max="16126" width="9.765625E-2" style="286" customWidth="1"/>
    <col min="16127" max="16127" width="0.5" style="286" customWidth="1"/>
    <col min="16128" max="16128" width="39.5" style="286"/>
    <col min="16129" max="16129" width="4.09765625" style="286" customWidth="1"/>
    <col min="16130" max="16130" width="24.8984375" style="286" customWidth="1"/>
    <col min="16131" max="16131" width="4.8984375" style="286" customWidth="1"/>
    <col min="16132" max="16132" width="6" style="286" customWidth="1"/>
    <col min="16133" max="16133" width="10.5" style="286" customWidth="1"/>
    <col min="16134" max="16134" width="5.59765625" style="286" customWidth="1"/>
    <col min="16135" max="16135" width="11.59765625" style="286" customWidth="1"/>
    <col min="16136" max="16136" width="8.5" style="286" customWidth="1"/>
    <col min="16137" max="16376" width="39.5" style="286" hidden="1" customWidth="1"/>
    <col min="16377" max="16377" width="8.8984375" style="286" customWidth="1"/>
    <col min="16378" max="16378" width="3.5" style="286" customWidth="1"/>
    <col min="16379" max="16379" width="5.8984375" style="286" customWidth="1"/>
    <col min="16380" max="16380" width="3.8984375" style="286" customWidth="1"/>
    <col min="16381" max="16381" width="8.19921875" style="286" customWidth="1"/>
    <col min="16382" max="16382" width="9.765625E-2" style="286" customWidth="1"/>
    <col min="16383" max="16383" width="0.5" style="286" customWidth="1"/>
    <col min="16384" max="16384" width="39.5" style="286"/>
  </cols>
  <sheetData>
    <row r="1" spans="1:8" ht="16.5" customHeight="1">
      <c r="A1" s="478" t="s">
        <v>1737</v>
      </c>
      <c r="B1" s="480"/>
      <c r="C1" s="481" t="s">
        <v>56</v>
      </c>
      <c r="D1" s="481"/>
      <c r="E1" s="481"/>
      <c r="F1" s="481"/>
      <c r="G1" s="481"/>
      <c r="H1" s="481"/>
    </row>
    <row r="2" spans="1:8" ht="16.95" customHeight="1">
      <c r="A2" s="481" t="s">
        <v>67</v>
      </c>
      <c r="B2" s="482"/>
      <c r="C2" s="481" t="s">
        <v>13</v>
      </c>
      <c r="D2" s="481"/>
      <c r="E2" s="481"/>
      <c r="F2" s="481"/>
      <c r="G2" s="481"/>
      <c r="H2" s="481"/>
    </row>
    <row r="3" spans="1:8" ht="18.75" customHeight="1">
      <c r="A3" s="424" t="s">
        <v>1738</v>
      </c>
      <c r="B3" s="424"/>
      <c r="C3" s="287"/>
      <c r="D3" s="288"/>
      <c r="E3" s="289"/>
      <c r="F3" s="290"/>
      <c r="G3" s="291"/>
      <c r="H3" s="292"/>
    </row>
    <row r="4" spans="1:8" ht="18" customHeight="1">
      <c r="A4" s="478"/>
      <c r="B4" s="478"/>
      <c r="C4" s="479" t="s">
        <v>1740</v>
      </c>
      <c r="D4" s="479"/>
      <c r="E4" s="479"/>
      <c r="F4" s="479"/>
      <c r="G4" s="479"/>
      <c r="H4" s="479"/>
    </row>
    <row r="5" spans="1:8" ht="15.6">
      <c r="A5" s="293"/>
      <c r="B5" s="293"/>
      <c r="C5" s="294"/>
      <c r="D5" s="295"/>
      <c r="E5" s="296"/>
      <c r="F5" s="294"/>
      <c r="G5" s="291"/>
      <c r="H5" s="297"/>
    </row>
    <row r="6" spans="1:8" ht="18.75" customHeight="1">
      <c r="A6" s="469" t="s">
        <v>14</v>
      </c>
      <c r="B6" s="469"/>
      <c r="C6" s="469"/>
      <c r="D6" s="469"/>
      <c r="E6" s="469"/>
      <c r="F6" s="469"/>
      <c r="G6" s="469"/>
      <c r="H6" s="469"/>
    </row>
    <row r="7" spans="1:8" ht="45" customHeight="1">
      <c r="A7" s="424" t="s">
        <v>1739</v>
      </c>
      <c r="B7" s="424"/>
      <c r="C7" s="424"/>
      <c r="D7" s="424"/>
      <c r="E7" s="424"/>
      <c r="F7" s="424"/>
      <c r="G7" s="424"/>
      <c r="H7" s="424"/>
    </row>
    <row r="8" spans="1:8" ht="33.6" customHeight="1">
      <c r="A8" s="420" t="s">
        <v>2382</v>
      </c>
      <c r="B8" s="420"/>
      <c r="C8" s="420"/>
      <c r="D8" s="420"/>
      <c r="E8" s="420"/>
      <c r="F8" s="420"/>
      <c r="G8" s="420"/>
      <c r="H8" s="420"/>
    </row>
    <row r="9" spans="1:8" ht="23.25" customHeight="1">
      <c r="A9" s="420" t="s">
        <v>2383</v>
      </c>
      <c r="B9" s="420"/>
      <c r="C9" s="420"/>
      <c r="D9" s="420"/>
      <c r="E9" s="420"/>
      <c r="F9" s="420"/>
      <c r="G9" s="420"/>
      <c r="H9" s="420"/>
    </row>
    <row r="10" spans="1:8" ht="52.2" customHeight="1">
      <c r="A10" s="470" t="s">
        <v>1741</v>
      </c>
      <c r="B10" s="470"/>
      <c r="C10" s="470"/>
      <c r="D10" s="470"/>
      <c r="E10" s="470"/>
      <c r="F10" s="470"/>
      <c r="G10" s="470"/>
      <c r="H10" s="470"/>
    </row>
    <row r="11" spans="1:8" ht="22.2" customHeight="1">
      <c r="A11" s="471" t="s">
        <v>1723</v>
      </c>
      <c r="B11" s="471"/>
      <c r="C11" s="471"/>
      <c r="D11" s="471"/>
      <c r="E11" s="471"/>
      <c r="F11" s="471"/>
      <c r="G11" s="471"/>
      <c r="H11" s="471"/>
    </row>
    <row r="12" spans="1:8" s="303" customFormat="1" ht="46.2" customHeight="1">
      <c r="A12" s="298" t="s">
        <v>15</v>
      </c>
      <c r="B12" s="299" t="s">
        <v>57</v>
      </c>
      <c r="C12" s="299" t="s">
        <v>58</v>
      </c>
      <c r="D12" s="300" t="s">
        <v>59</v>
      </c>
      <c r="E12" s="301" t="s">
        <v>20</v>
      </c>
      <c r="F12" s="302" t="s">
        <v>60</v>
      </c>
      <c r="G12" s="301" t="s">
        <v>61</v>
      </c>
      <c r="H12" s="299" t="s">
        <v>16</v>
      </c>
    </row>
    <row r="13" spans="1:8" s="118" customFormat="1" ht="71.400000000000006" customHeight="1">
      <c r="A13" s="299" t="s">
        <v>17</v>
      </c>
      <c r="B13" s="472" t="s">
        <v>2384</v>
      </c>
      <c r="C13" s="472"/>
      <c r="D13" s="472"/>
      <c r="E13" s="472"/>
      <c r="F13" s="472"/>
      <c r="G13" s="304">
        <f>G14+G22</f>
        <v>422702400</v>
      </c>
      <c r="H13" s="305"/>
    </row>
    <row r="14" spans="1:8" s="12" customFormat="1" ht="21.75" customHeight="1">
      <c r="A14" s="212">
        <v>1</v>
      </c>
      <c r="B14" s="452" t="s">
        <v>2102</v>
      </c>
      <c r="C14" s="452"/>
      <c r="D14" s="452"/>
      <c r="E14" s="213"/>
      <c r="F14" s="214"/>
      <c r="G14" s="215">
        <f>G16+G19+G21</f>
        <v>417348000</v>
      </c>
      <c r="H14" s="216"/>
    </row>
    <row r="15" spans="1:8" s="12" customFormat="1" ht="21.75" customHeight="1">
      <c r="A15" s="212"/>
      <c r="B15" s="217" t="s">
        <v>2385</v>
      </c>
      <c r="C15" s="218"/>
      <c r="D15" s="218"/>
      <c r="E15" s="213"/>
      <c r="F15" s="214"/>
      <c r="G15" s="215"/>
      <c r="H15" s="216"/>
    </row>
    <row r="16" spans="1:8" s="131" customFormat="1" ht="124.8">
      <c r="A16" s="123"/>
      <c r="B16" s="124" t="s">
        <v>2059</v>
      </c>
      <c r="C16" s="125" t="s">
        <v>1753</v>
      </c>
      <c r="D16" s="126">
        <v>171.7</v>
      </c>
      <c r="E16" s="127">
        <v>11800000</v>
      </c>
      <c r="F16" s="188">
        <v>0.2</v>
      </c>
      <c r="G16" s="129">
        <f>D16*E16*F16</f>
        <v>405212000</v>
      </c>
      <c r="H16" s="130"/>
    </row>
    <row r="17" spans="1:9" s="131" customFormat="1" ht="31.2">
      <c r="A17" s="123"/>
      <c r="B17" s="124" t="s">
        <v>2033</v>
      </c>
      <c r="C17" s="125" t="s">
        <v>1753</v>
      </c>
      <c r="D17" s="126">
        <f>227.4-D16</f>
        <v>55.700000000000017</v>
      </c>
      <c r="E17" s="127"/>
      <c r="F17" s="128"/>
      <c r="G17" s="129"/>
      <c r="H17" s="130"/>
    </row>
    <row r="18" spans="1:9" s="12" customFormat="1" ht="21.75" customHeight="1">
      <c r="A18" s="212"/>
      <c r="B18" s="217" t="s">
        <v>2386</v>
      </c>
      <c r="C18" s="218"/>
      <c r="D18" s="218"/>
      <c r="E18" s="213"/>
      <c r="F18" s="214"/>
      <c r="G18" s="215"/>
      <c r="H18" s="216"/>
    </row>
    <row r="19" spans="1:9" s="12" customFormat="1" ht="46.8">
      <c r="A19" s="212"/>
      <c r="B19" s="124" t="s">
        <v>2360</v>
      </c>
      <c r="C19" s="220" t="s">
        <v>2120</v>
      </c>
      <c r="D19" s="221">
        <v>61.1</v>
      </c>
      <c r="E19" s="222">
        <v>80000</v>
      </c>
      <c r="F19" s="223">
        <v>1</v>
      </c>
      <c r="G19" s="225">
        <f>D19*E19*F19</f>
        <v>4888000</v>
      </c>
      <c r="H19" s="216"/>
    </row>
    <row r="20" spans="1:9" s="131" customFormat="1" ht="15.6">
      <c r="A20" s="123"/>
      <c r="B20" s="217" t="s">
        <v>2387</v>
      </c>
      <c r="C20" s="218"/>
      <c r="D20" s="218"/>
      <c r="E20" s="213"/>
      <c r="F20" s="214"/>
      <c r="G20" s="215"/>
      <c r="H20" s="130"/>
    </row>
    <row r="21" spans="1:9" s="131" customFormat="1" ht="93.6">
      <c r="A21" s="123"/>
      <c r="B21" s="226" t="s">
        <v>2388</v>
      </c>
      <c r="C21" s="220" t="s">
        <v>2120</v>
      </c>
      <c r="D21" s="221">
        <v>181.2</v>
      </c>
      <c r="E21" s="222">
        <v>80000</v>
      </c>
      <c r="F21" s="306">
        <v>0.5</v>
      </c>
      <c r="G21" s="225">
        <f>D21*E21*F21</f>
        <v>7248000</v>
      </c>
      <c r="H21" s="130"/>
    </row>
    <row r="22" spans="1:9" s="12" customFormat="1" ht="21.75" customHeight="1">
      <c r="A22" s="212">
        <v>2</v>
      </c>
      <c r="B22" s="219" t="s">
        <v>2116</v>
      </c>
      <c r="C22" s="220"/>
      <c r="D22" s="221"/>
      <c r="E22" s="222"/>
      <c r="F22" s="223"/>
      <c r="G22" s="224">
        <f>G24+G25</f>
        <v>5354400</v>
      </c>
      <c r="H22" s="216"/>
    </row>
    <row r="23" spans="1:9" s="257" customFormat="1" ht="204" customHeight="1">
      <c r="A23" s="473" t="s">
        <v>2117</v>
      </c>
      <c r="B23" s="456" t="s">
        <v>2123</v>
      </c>
      <c r="C23" s="256" t="s">
        <v>2124</v>
      </c>
      <c r="D23" s="256" t="s">
        <v>2125</v>
      </c>
      <c r="E23" s="228" t="s">
        <v>2126</v>
      </c>
      <c r="F23" s="256" t="s">
        <v>2127</v>
      </c>
      <c r="G23" s="256" t="s">
        <v>2128</v>
      </c>
      <c r="H23" s="256" t="s">
        <v>2129</v>
      </c>
    </row>
    <row r="24" spans="1:9" s="257" customFormat="1" ht="47.25" customHeight="1">
      <c r="A24" s="474"/>
      <c r="B24" s="457"/>
      <c r="C24" s="307">
        <v>3</v>
      </c>
      <c r="D24" s="279">
        <f>IF(H24&lt;30%,3,IF(H24&lt;70%,6,IF(H24&gt;70%,12,0)))</f>
        <v>3</v>
      </c>
      <c r="E24" s="280">
        <v>14400</v>
      </c>
      <c r="F24" s="281">
        <f>IF(H24&lt;30%,30,IF(H24&gt;30%,30))</f>
        <v>30</v>
      </c>
      <c r="G24" s="308">
        <f>C24*D24*E24*F24</f>
        <v>3888000</v>
      </c>
      <c r="H24" s="309">
        <f>(D19/4320)</f>
        <v>1.4143518518518519E-2</v>
      </c>
    </row>
    <row r="25" spans="1:9" s="257" customFormat="1" ht="82.8">
      <c r="A25" s="258" t="s">
        <v>2122</v>
      </c>
      <c r="B25" s="259" t="s">
        <v>2131</v>
      </c>
      <c r="C25" s="260" t="s">
        <v>66</v>
      </c>
      <c r="D25" s="261">
        <f>D19</f>
        <v>61.1</v>
      </c>
      <c r="E25" s="262">
        <v>80000</v>
      </c>
      <c r="F25" s="263">
        <f>30%</f>
        <v>0.3</v>
      </c>
      <c r="G25" s="264">
        <f>D25*E25*F25</f>
        <v>1466400</v>
      </c>
      <c r="H25" s="265"/>
      <c r="I25" s="266"/>
    </row>
    <row r="26" spans="1:9" ht="22.5" customHeight="1">
      <c r="A26" s="299" t="s">
        <v>18</v>
      </c>
      <c r="B26" s="475" t="s">
        <v>1725</v>
      </c>
      <c r="C26" s="476"/>
      <c r="D26" s="476"/>
      <c r="E26" s="476"/>
      <c r="F26" s="477"/>
      <c r="G26" s="310">
        <f>SUM(G28:G51)</f>
        <v>65858944.731459178</v>
      </c>
      <c r="H26" s="304"/>
    </row>
    <row r="27" spans="1:9" ht="22.5" customHeight="1">
      <c r="A27" s="299"/>
      <c r="B27" s="311" t="s">
        <v>2389</v>
      </c>
      <c r="C27" s="311"/>
      <c r="D27" s="311"/>
      <c r="E27" s="311"/>
      <c r="F27" s="311"/>
      <c r="G27" s="310"/>
      <c r="H27" s="304"/>
    </row>
    <row r="28" spans="1:9" s="319" customFormat="1" ht="45" customHeight="1">
      <c r="A28" s="312">
        <v>1</v>
      </c>
      <c r="B28" s="313" t="s">
        <v>2390</v>
      </c>
      <c r="C28" s="314" t="s">
        <v>1754</v>
      </c>
      <c r="D28" s="315">
        <f>26.8*6*0.1</f>
        <v>16.080000000000002</v>
      </c>
      <c r="E28" s="316">
        <v>1629758</v>
      </c>
      <c r="F28" s="317">
        <v>0.2</v>
      </c>
      <c r="G28" s="318">
        <f t="shared" ref="G28:G51" si="0">D28*E28*F28</f>
        <v>5241301.7280000011</v>
      </c>
      <c r="H28" s="316"/>
    </row>
    <row r="29" spans="1:9" s="319" customFormat="1" ht="45" customHeight="1">
      <c r="A29" s="312">
        <v>2</v>
      </c>
      <c r="B29" s="313" t="s">
        <v>2391</v>
      </c>
      <c r="C29" s="314" t="s">
        <v>66</v>
      </c>
      <c r="D29" s="315">
        <f>26.8*3.1</f>
        <v>83.08</v>
      </c>
      <c r="E29" s="320" t="s">
        <v>2392</v>
      </c>
      <c r="F29" s="317">
        <v>0.2</v>
      </c>
      <c r="G29" s="318">
        <f t="shared" si="0"/>
        <v>11033489.248000002</v>
      </c>
      <c r="H29" s="316"/>
    </row>
    <row r="30" spans="1:9" s="319" customFormat="1" ht="45" customHeight="1">
      <c r="A30" s="312">
        <v>3</v>
      </c>
      <c r="B30" s="313" t="s">
        <v>2393</v>
      </c>
      <c r="C30" s="314" t="s">
        <v>1754</v>
      </c>
      <c r="D30" s="315">
        <f>(3.14/4)*(0.5/3.14)^2*3.05*2 + (3.14/4)*(0.35/3.14)^2*3.05*3</f>
        <v>0.21065883757961779</v>
      </c>
      <c r="E30" s="321" t="s">
        <v>2394</v>
      </c>
      <c r="F30" s="317">
        <v>0.2</v>
      </c>
      <c r="G30" s="318">
        <f t="shared" si="0"/>
        <v>297034.77517117828</v>
      </c>
      <c r="H30" s="316"/>
    </row>
    <row r="31" spans="1:9" s="319" customFormat="1" ht="45" customHeight="1">
      <c r="A31" s="312">
        <v>4</v>
      </c>
      <c r="B31" s="313" t="s">
        <v>2395</v>
      </c>
      <c r="C31" s="314" t="s">
        <v>2026</v>
      </c>
      <c r="D31" s="315">
        <v>5</v>
      </c>
      <c r="E31" s="320" t="s">
        <v>472</v>
      </c>
      <c r="F31" s="314">
        <v>1</v>
      </c>
      <c r="G31" s="318">
        <f t="shared" si="0"/>
        <v>750000</v>
      </c>
      <c r="H31" s="316"/>
    </row>
    <row r="32" spans="1:9" s="319" customFormat="1" ht="45" customHeight="1">
      <c r="A32" s="312">
        <v>5</v>
      </c>
      <c r="B32" s="313" t="s">
        <v>2396</v>
      </c>
      <c r="C32" s="314" t="s">
        <v>66</v>
      </c>
      <c r="D32" s="315">
        <f>10.3*3.4*3.3</f>
        <v>115.566</v>
      </c>
      <c r="E32" s="322">
        <v>1816290</v>
      </c>
      <c r="F32" s="317">
        <v>0.2</v>
      </c>
      <c r="G32" s="318">
        <f t="shared" si="0"/>
        <v>41980274.028000005</v>
      </c>
      <c r="H32" s="316"/>
    </row>
    <row r="33" spans="1:8" s="319" customFormat="1" ht="45" customHeight="1">
      <c r="A33" s="312"/>
      <c r="B33" s="313" t="s">
        <v>2397</v>
      </c>
      <c r="C33" s="314" t="s">
        <v>1754</v>
      </c>
      <c r="D33" s="315">
        <f>(3.3-2.5)*(10.3+3.4)*2*0.11</f>
        <v>2.4112</v>
      </c>
      <c r="E33" s="316">
        <v>2126713</v>
      </c>
      <c r="F33" s="317">
        <v>0.2</v>
      </c>
      <c r="G33" s="318">
        <f t="shared" si="0"/>
        <v>1025586.07712</v>
      </c>
      <c r="H33" s="316"/>
    </row>
    <row r="34" spans="1:8" s="319" customFormat="1" ht="45" customHeight="1">
      <c r="A34" s="312"/>
      <c r="B34" s="323" t="s">
        <v>2398</v>
      </c>
      <c r="C34" s="314" t="s">
        <v>1754</v>
      </c>
      <c r="D34" s="315">
        <f>- (3.3*3.2 + 1*2.4 + 0.8*2 + 10.3*3.3 + 3.4*3.3)*0.11</f>
        <v>-6.5747</v>
      </c>
      <c r="E34" s="321" t="s">
        <v>2369</v>
      </c>
      <c r="F34" s="317">
        <v>0.2</v>
      </c>
      <c r="G34" s="318">
        <f t="shared" si="0"/>
        <v>-2796499.9922200004</v>
      </c>
      <c r="H34" s="316"/>
    </row>
    <row r="35" spans="1:8" s="319" customFormat="1" ht="32.25" customHeight="1">
      <c r="A35" s="312"/>
      <c r="B35" s="323" t="s">
        <v>2399</v>
      </c>
      <c r="C35" s="314" t="s">
        <v>1754</v>
      </c>
      <c r="D35" s="315">
        <f>0.47*0.22*3.3 + 0.24*0.25*3.3</f>
        <v>0.53921999999999992</v>
      </c>
      <c r="E35" s="321" t="s">
        <v>2400</v>
      </c>
      <c r="F35" s="317">
        <v>0.2</v>
      </c>
      <c r="G35" s="318">
        <f t="shared" si="0"/>
        <v>282961.41073199996</v>
      </c>
      <c r="H35" s="316"/>
    </row>
    <row r="36" spans="1:8" s="319" customFormat="1" ht="45" customHeight="1">
      <c r="A36" s="312"/>
      <c r="B36" s="323" t="s">
        <v>2401</v>
      </c>
      <c r="C36" s="314" t="s">
        <v>1754</v>
      </c>
      <c r="D36" s="315">
        <f>(1.15*0.22*3.3) + (0.44+0.78)*3.3*0.22 + (0.75*3.3*0.22)</f>
        <v>2.2651199999999996</v>
      </c>
      <c r="E36" s="321" t="s">
        <v>2402</v>
      </c>
      <c r="F36" s="317">
        <v>0.2</v>
      </c>
      <c r="G36" s="318">
        <f t="shared" si="0"/>
        <v>869576.396832</v>
      </c>
      <c r="H36" s="316"/>
    </row>
    <row r="37" spans="1:8" s="319" customFormat="1" ht="45" customHeight="1">
      <c r="A37" s="312"/>
      <c r="B37" s="323" t="s">
        <v>2403</v>
      </c>
      <c r="C37" s="314" t="s">
        <v>1754</v>
      </c>
      <c r="D37" s="315">
        <f>(3.4*0.24*0.24) + (3*0.1*0.15)</f>
        <v>0.24084</v>
      </c>
      <c r="E37" s="320" t="s">
        <v>2404</v>
      </c>
      <c r="F37" s="317">
        <v>0.2</v>
      </c>
      <c r="G37" s="318">
        <f t="shared" si="0"/>
        <v>397097.76268799999</v>
      </c>
      <c r="H37" s="316"/>
    </row>
    <row r="38" spans="1:8" s="319" customFormat="1" ht="32.25" customHeight="1">
      <c r="A38" s="312">
        <v>6</v>
      </c>
      <c r="B38" s="323" t="s">
        <v>2405</v>
      </c>
      <c r="C38" s="314" t="s">
        <v>66</v>
      </c>
      <c r="D38" s="315">
        <f>1.8*2.9 + 2.9*1.9</f>
        <v>10.73</v>
      </c>
      <c r="E38" s="316">
        <v>720000</v>
      </c>
      <c r="F38" s="317">
        <v>0.2</v>
      </c>
      <c r="G38" s="318">
        <f t="shared" si="0"/>
        <v>1545120</v>
      </c>
      <c r="H38" s="316"/>
    </row>
    <row r="39" spans="1:8" s="319" customFormat="1" ht="32.25" customHeight="1">
      <c r="A39" s="312">
        <v>7</v>
      </c>
      <c r="B39" s="323" t="s">
        <v>2406</v>
      </c>
      <c r="C39" s="314" t="s">
        <v>66</v>
      </c>
      <c r="D39" s="315">
        <f>(3.3*3.2) + (2.4*1) + (3.4*3.3)</f>
        <v>24.18</v>
      </c>
      <c r="E39" s="316">
        <v>214934</v>
      </c>
      <c r="F39" s="317">
        <v>0.2</v>
      </c>
      <c r="G39" s="318">
        <f t="shared" si="0"/>
        <v>1039420.824</v>
      </c>
      <c r="H39" s="316"/>
    </row>
    <row r="40" spans="1:8" s="319" customFormat="1" ht="32.25" customHeight="1">
      <c r="A40" s="312">
        <v>8</v>
      </c>
      <c r="B40" s="323" t="s">
        <v>2407</v>
      </c>
      <c r="C40" s="314" t="s">
        <v>1754</v>
      </c>
      <c r="D40" s="315">
        <f>(2.3*11.3*0.1)</f>
        <v>2.5990000000000002</v>
      </c>
      <c r="E40" s="316">
        <v>1629758</v>
      </c>
      <c r="F40" s="317">
        <v>0.2</v>
      </c>
      <c r="G40" s="318">
        <f t="shared" si="0"/>
        <v>847148.20840000012</v>
      </c>
      <c r="H40" s="316"/>
    </row>
    <row r="41" spans="1:8" s="319" customFormat="1" ht="32.25" customHeight="1">
      <c r="A41" s="312">
        <v>9</v>
      </c>
      <c r="B41" s="323" t="s">
        <v>2408</v>
      </c>
      <c r="C41" s="314" t="s">
        <v>1754</v>
      </c>
      <c r="D41" s="315">
        <f>(0.2*0.33*1.5) + (0.25*0.25*1.4)*2</f>
        <v>0.27400000000000002</v>
      </c>
      <c r="E41" s="316">
        <v>2623803</v>
      </c>
      <c r="F41" s="317">
        <v>0.2</v>
      </c>
      <c r="G41" s="318">
        <f t="shared" si="0"/>
        <v>143784.40440000003</v>
      </c>
      <c r="H41" s="316"/>
    </row>
    <row r="42" spans="1:8" s="319" customFormat="1" ht="32.25" customHeight="1">
      <c r="A42" s="312">
        <v>10</v>
      </c>
      <c r="B42" s="323" t="s">
        <v>2409</v>
      </c>
      <c r="C42" s="314" t="s">
        <v>66</v>
      </c>
      <c r="D42" s="315">
        <f>2.7*2.2</f>
        <v>5.9400000000000013</v>
      </c>
      <c r="E42" s="316">
        <v>550000</v>
      </c>
      <c r="F42" s="317">
        <v>0.2</v>
      </c>
      <c r="G42" s="318">
        <f t="shared" si="0"/>
        <v>653400.00000000023</v>
      </c>
      <c r="H42" s="316"/>
    </row>
    <row r="43" spans="1:8" s="319" customFormat="1" ht="32.25" customHeight="1">
      <c r="A43" s="312">
        <v>11</v>
      </c>
      <c r="B43" s="323" t="s">
        <v>2410</v>
      </c>
      <c r="C43" s="314" t="s">
        <v>1754</v>
      </c>
      <c r="D43" s="315">
        <f>(2.85*0.5 + 3.35*0.5)*0.11</f>
        <v>0.34100000000000003</v>
      </c>
      <c r="E43" s="321" t="s">
        <v>2369</v>
      </c>
      <c r="F43" s="317">
        <v>0.2</v>
      </c>
      <c r="G43" s="318">
        <f t="shared" si="0"/>
        <v>145041.8266</v>
      </c>
      <c r="H43" s="316"/>
    </row>
    <row r="44" spans="1:8" s="319" customFormat="1" ht="32.25" customHeight="1">
      <c r="A44" s="312">
        <v>12</v>
      </c>
      <c r="B44" s="323" t="s">
        <v>2411</v>
      </c>
      <c r="C44" s="314" t="s">
        <v>1754</v>
      </c>
      <c r="D44" s="315">
        <f>0.12*0.13*3.1</f>
        <v>4.836E-2</v>
      </c>
      <c r="E44" s="321" t="s">
        <v>2394</v>
      </c>
      <c r="F44" s="317">
        <v>0.2</v>
      </c>
      <c r="G44" s="318">
        <f t="shared" si="0"/>
        <v>68188.93473600001</v>
      </c>
      <c r="H44" s="316"/>
    </row>
    <row r="45" spans="1:8" s="319" customFormat="1" ht="32.25" customHeight="1">
      <c r="A45" s="312">
        <v>13</v>
      </c>
      <c r="B45" s="323" t="s">
        <v>2412</v>
      </c>
      <c r="C45" s="314" t="s">
        <v>66</v>
      </c>
      <c r="D45" s="315">
        <f>2.85*0.7 + 3.35*0.7</f>
        <v>4.34</v>
      </c>
      <c r="E45" s="316">
        <v>550000</v>
      </c>
      <c r="F45" s="317">
        <v>0.2</v>
      </c>
      <c r="G45" s="318">
        <f t="shared" si="0"/>
        <v>477400</v>
      </c>
      <c r="H45" s="316"/>
    </row>
    <row r="46" spans="1:8" s="319" customFormat="1" ht="46.8">
      <c r="A46" s="312">
        <v>14</v>
      </c>
      <c r="B46" s="323" t="s">
        <v>2413</v>
      </c>
      <c r="C46" s="314" t="s">
        <v>1755</v>
      </c>
      <c r="D46" s="315">
        <f>(10.76/6)*3.6*3</f>
        <v>19.367999999999999</v>
      </c>
      <c r="E46" s="316">
        <v>19900</v>
      </c>
      <c r="F46" s="317">
        <v>0.2</v>
      </c>
      <c r="G46" s="318">
        <f t="shared" si="0"/>
        <v>77084.639999999999</v>
      </c>
      <c r="H46" s="316"/>
    </row>
    <row r="47" spans="1:8" s="319" customFormat="1" ht="32.25" customHeight="1">
      <c r="A47" s="312">
        <v>15</v>
      </c>
      <c r="B47" s="323" t="s">
        <v>2414</v>
      </c>
      <c r="C47" s="314" t="s">
        <v>2026</v>
      </c>
      <c r="D47" s="315">
        <v>1</v>
      </c>
      <c r="E47" s="320" t="s">
        <v>2415</v>
      </c>
      <c r="F47" s="314">
        <v>1</v>
      </c>
      <c r="G47" s="318">
        <f t="shared" si="0"/>
        <v>46462</v>
      </c>
      <c r="H47" s="316"/>
    </row>
    <row r="48" spans="1:8" s="319" customFormat="1" ht="32.25" customHeight="1">
      <c r="A48" s="312">
        <v>16</v>
      </c>
      <c r="B48" s="323" t="s">
        <v>2416</v>
      </c>
      <c r="C48" s="314" t="s">
        <v>66</v>
      </c>
      <c r="D48" s="315">
        <f xml:space="preserve"> 2.4*1*2 + 6.7*0.8</f>
        <v>10.16</v>
      </c>
      <c r="E48" s="316">
        <v>214934</v>
      </c>
      <c r="F48" s="317">
        <v>0.2</v>
      </c>
      <c r="G48" s="318">
        <f t="shared" si="0"/>
        <v>436745.88800000004</v>
      </c>
      <c r="H48" s="316"/>
    </row>
    <row r="49" spans="1:8" s="319" customFormat="1" ht="32.25" customHeight="1">
      <c r="A49" s="312">
        <v>17</v>
      </c>
      <c r="B49" s="323" t="s">
        <v>2417</v>
      </c>
      <c r="C49" s="314" t="s">
        <v>66</v>
      </c>
      <c r="D49" s="315">
        <f>1.6*6.7</f>
        <v>10.72</v>
      </c>
      <c r="E49" s="324" t="s">
        <v>2418</v>
      </c>
      <c r="F49" s="317">
        <v>0.2</v>
      </c>
      <c r="G49" s="318">
        <f t="shared" si="0"/>
        <v>1087781.9839999999</v>
      </c>
      <c r="H49" s="316"/>
    </row>
    <row r="50" spans="1:8" ht="22.5" customHeight="1">
      <c r="A50" s="299"/>
      <c r="B50" s="311" t="s">
        <v>2419</v>
      </c>
      <c r="C50" s="311"/>
      <c r="D50" s="311"/>
      <c r="E50" s="311"/>
      <c r="F50" s="311"/>
      <c r="G50" s="310"/>
      <c r="H50" s="304"/>
    </row>
    <row r="51" spans="1:8" s="16" customFormat="1" ht="31.2">
      <c r="A51" s="77">
        <v>1</v>
      </c>
      <c r="B51" s="78" t="s">
        <v>2420</v>
      </c>
      <c r="C51" s="14" t="s">
        <v>1754</v>
      </c>
      <c r="D51" s="132">
        <f>3*1.5*0.11</f>
        <v>0.495</v>
      </c>
      <c r="E51" s="15">
        <v>2126713</v>
      </c>
      <c r="F51" s="187">
        <v>0.2</v>
      </c>
      <c r="G51" s="79">
        <f t="shared" si="0"/>
        <v>210544.58700000003</v>
      </c>
      <c r="H51" s="15"/>
    </row>
    <row r="52" spans="1:8" ht="24" customHeight="1">
      <c r="A52" s="299" t="s">
        <v>19</v>
      </c>
      <c r="B52" s="468" t="s">
        <v>1727</v>
      </c>
      <c r="C52" s="468"/>
      <c r="D52" s="468"/>
      <c r="E52" s="468"/>
      <c r="F52" s="468"/>
      <c r="G52" s="310">
        <f>G53+G57</f>
        <v>2205250</v>
      </c>
      <c r="H52" s="304"/>
    </row>
    <row r="53" spans="1:8" s="325" customFormat="1" ht="30" customHeight="1">
      <c r="A53" s="312"/>
      <c r="B53" s="311" t="s">
        <v>2421</v>
      </c>
      <c r="C53" s="314" t="s">
        <v>2422</v>
      </c>
      <c r="D53" s="314" t="s">
        <v>2422</v>
      </c>
      <c r="E53" s="318" t="s">
        <v>2422</v>
      </c>
      <c r="F53" s="314" t="s">
        <v>2422</v>
      </c>
      <c r="G53" s="318">
        <f>SUM(G54:G56)</f>
        <v>1001750</v>
      </c>
      <c r="H53" s="316"/>
    </row>
    <row r="54" spans="1:8" s="12" customFormat="1" ht="34.200000000000003" customHeight="1">
      <c r="A54" s="94">
        <v>1</v>
      </c>
      <c r="B54" s="13" t="s">
        <v>806</v>
      </c>
      <c r="C54" s="14" t="s">
        <v>1724</v>
      </c>
      <c r="D54" s="14">
        <v>4</v>
      </c>
      <c r="E54" s="79" t="str">
        <f>VLOOKUP(B54,'[20]Đơn giá cây cối'!$A$2:$C$1361,3,0)</f>
        <v>473.000</v>
      </c>
      <c r="F54" s="132">
        <v>0.25</v>
      </c>
      <c r="G54" s="79">
        <f t="shared" ref="G54:G56" si="1">D54*E54*F54</f>
        <v>473000</v>
      </c>
      <c r="H54" s="95"/>
    </row>
    <row r="55" spans="1:8" s="12" customFormat="1" ht="34.200000000000003" customHeight="1">
      <c r="A55" s="94">
        <v>2</v>
      </c>
      <c r="B55" s="267" t="s">
        <v>807</v>
      </c>
      <c r="C55" s="14" t="s">
        <v>1724</v>
      </c>
      <c r="D55" s="326">
        <v>2</v>
      </c>
      <c r="E55" s="79" t="str">
        <f>VLOOKUP(B55,'[20]Đơn giá cây cối'!$A$2:$C$1361,3,0)</f>
        <v>622.000</v>
      </c>
      <c r="F55" s="132">
        <v>0.25</v>
      </c>
      <c r="G55" s="79">
        <f t="shared" si="1"/>
        <v>311000</v>
      </c>
      <c r="H55" s="95"/>
    </row>
    <row r="56" spans="1:8" s="12" customFormat="1" ht="34.200000000000003" customHeight="1">
      <c r="A56" s="94">
        <v>3</v>
      </c>
      <c r="B56" s="267" t="s">
        <v>808</v>
      </c>
      <c r="C56" s="14" t="s">
        <v>1724</v>
      </c>
      <c r="D56" s="326">
        <v>1</v>
      </c>
      <c r="E56" s="79" t="str">
        <f>VLOOKUP(B56,'[20]Đơn giá cây cối'!$A$2:$C$1361,3,0)</f>
        <v>871.000</v>
      </c>
      <c r="F56" s="132">
        <v>0.25</v>
      </c>
      <c r="G56" s="79">
        <f t="shared" si="1"/>
        <v>217750</v>
      </c>
      <c r="H56" s="95"/>
    </row>
    <row r="57" spans="1:8" s="325" customFormat="1" ht="30" customHeight="1">
      <c r="A57" s="312"/>
      <c r="B57" s="311" t="s">
        <v>2423</v>
      </c>
      <c r="C57" s="314" t="s">
        <v>2422</v>
      </c>
      <c r="D57" s="314" t="s">
        <v>2422</v>
      </c>
      <c r="E57" s="318" t="s">
        <v>2422</v>
      </c>
      <c r="F57" s="314" t="s">
        <v>2422</v>
      </c>
      <c r="G57" s="310">
        <f>SUM(G58:G63)</f>
        <v>1203500</v>
      </c>
      <c r="H57" s="316"/>
    </row>
    <row r="58" spans="1:8" s="325" customFormat="1" ht="30" customHeight="1">
      <c r="A58" s="312">
        <v>1</v>
      </c>
      <c r="B58" s="313" t="s">
        <v>808</v>
      </c>
      <c r="C58" s="314" t="s">
        <v>1724</v>
      </c>
      <c r="D58" s="314">
        <v>2</v>
      </c>
      <c r="E58" s="318" t="str">
        <f>VLOOKUP(B58,'[24]Đơn giá cây cối'!$A$2:$C$1361,3,0)</f>
        <v>871.000</v>
      </c>
      <c r="F58" s="315">
        <v>0.25</v>
      </c>
      <c r="G58" s="318">
        <f>D58*E58*F58</f>
        <v>435500</v>
      </c>
      <c r="H58" s="316"/>
    </row>
    <row r="59" spans="1:8" s="325" customFormat="1" ht="30" customHeight="1">
      <c r="A59" s="312">
        <v>2</v>
      </c>
      <c r="B59" s="313" t="s">
        <v>807</v>
      </c>
      <c r="C59" s="314" t="s">
        <v>1724</v>
      </c>
      <c r="D59" s="314">
        <v>3</v>
      </c>
      <c r="E59" s="318" t="str">
        <f>VLOOKUP(B59,'[24]Đơn giá cây cối'!$A$2:$C$1361,3,0)</f>
        <v>622.000</v>
      </c>
      <c r="F59" s="315">
        <v>0.25</v>
      </c>
      <c r="G59" s="318">
        <f>D59*E59*F59</f>
        <v>466500</v>
      </c>
      <c r="H59" s="316"/>
    </row>
    <row r="60" spans="1:8" s="325" customFormat="1" ht="30" customHeight="1">
      <c r="A60" s="312">
        <v>3</v>
      </c>
      <c r="B60" s="327" t="s">
        <v>805</v>
      </c>
      <c r="C60" s="314" t="s">
        <v>1724</v>
      </c>
      <c r="D60" s="328">
        <v>3</v>
      </c>
      <c r="E60" s="318" t="str">
        <f>VLOOKUP(B60,'[24]Đơn giá cây cối'!$A$2:$C$1361,3,0)</f>
        <v>311.000</v>
      </c>
      <c r="F60" s="315">
        <v>0.25</v>
      </c>
      <c r="G60" s="318">
        <f t="shared" ref="G60:G63" si="2">D60*E60*F60</f>
        <v>233250</v>
      </c>
      <c r="H60" s="316"/>
    </row>
    <row r="61" spans="1:8" s="325" customFormat="1" ht="30" customHeight="1">
      <c r="A61" s="312">
        <v>4</v>
      </c>
      <c r="B61" s="327" t="s">
        <v>804</v>
      </c>
      <c r="C61" s="314" t="s">
        <v>1724</v>
      </c>
      <c r="D61" s="328">
        <v>1</v>
      </c>
      <c r="E61" s="318" t="str">
        <f>VLOOKUP(B61,'[24]Đơn giá cây cối'!$A$2:$C$1361,3,0)</f>
        <v>149.000</v>
      </c>
      <c r="F61" s="315">
        <v>0.25</v>
      </c>
      <c r="G61" s="318">
        <f t="shared" si="2"/>
        <v>37250</v>
      </c>
      <c r="H61" s="316"/>
    </row>
    <row r="62" spans="1:8" s="325" customFormat="1" ht="30" customHeight="1">
      <c r="A62" s="329">
        <v>5</v>
      </c>
      <c r="B62" s="330" t="s">
        <v>299</v>
      </c>
      <c r="C62" s="331" t="s">
        <v>1724</v>
      </c>
      <c r="D62" s="332">
        <v>2</v>
      </c>
      <c r="E62" s="333">
        <f>VLOOKUP(B62,'[24]Đơn giá cây cối'!$A$2:$C$1361,3,0)</f>
        <v>40000</v>
      </c>
      <c r="F62" s="315">
        <v>0.25</v>
      </c>
      <c r="G62" s="333">
        <f t="shared" si="2"/>
        <v>20000</v>
      </c>
      <c r="H62" s="334"/>
    </row>
    <row r="63" spans="1:8" s="335" customFormat="1" ht="30" customHeight="1">
      <c r="A63" s="312">
        <v>6</v>
      </c>
      <c r="B63" s="313" t="s">
        <v>26</v>
      </c>
      <c r="C63" s="314" t="s">
        <v>66</v>
      </c>
      <c r="D63" s="314">
        <v>4</v>
      </c>
      <c r="E63" s="318">
        <f>VLOOKUP(B63,'[24]Đơn giá cây cối'!$A$2:$C$1361,3,0)</f>
        <v>11000</v>
      </c>
      <c r="F63" s="315">
        <v>0.25</v>
      </c>
      <c r="G63" s="318">
        <f t="shared" si="2"/>
        <v>11000</v>
      </c>
      <c r="H63" s="316"/>
    </row>
    <row r="64" spans="1:8" ht="15.6">
      <c r="A64" s="80"/>
      <c r="B64" s="461" t="s">
        <v>62</v>
      </c>
      <c r="C64" s="462"/>
      <c r="D64" s="462"/>
      <c r="E64" s="462"/>
      <c r="F64" s="463"/>
      <c r="G64" s="310">
        <f>G13+G26+G52</f>
        <v>490766594.7314592</v>
      </c>
      <c r="H64" s="336"/>
    </row>
    <row r="65" spans="1:8" ht="15.6">
      <c r="A65" s="80"/>
      <c r="B65" s="464" t="s">
        <v>1726</v>
      </c>
      <c r="C65" s="464"/>
      <c r="D65" s="464"/>
      <c r="E65" s="464"/>
      <c r="F65" s="464"/>
      <c r="G65" s="310">
        <f>ROUND(G64,-3)</f>
        <v>490767000</v>
      </c>
      <c r="H65" s="336"/>
    </row>
    <row r="66" spans="1:8" ht="15.6">
      <c r="A66" s="465" t="e" cm="1">
        <f t="array" aca="1" ref="A66" ca="1">[22]!vnd(G65)</f>
        <v>#NAME?</v>
      </c>
      <c r="B66" s="466"/>
      <c r="C66" s="466"/>
      <c r="D66" s="466"/>
      <c r="E66" s="466"/>
      <c r="F66" s="466"/>
      <c r="G66" s="466"/>
      <c r="H66" s="467"/>
    </row>
    <row r="67" spans="1:8">
      <c r="A67" s="118"/>
      <c r="B67" s="118"/>
      <c r="C67" s="337"/>
      <c r="D67" s="338"/>
      <c r="E67" s="339"/>
      <c r="F67" s="337"/>
      <c r="G67" s="339"/>
      <c r="H67" s="118"/>
    </row>
    <row r="68" spans="1:8">
      <c r="A68" s="118"/>
      <c r="B68" s="118"/>
      <c r="C68" s="337"/>
      <c r="D68" s="338"/>
      <c r="E68" s="339"/>
      <c r="F68" s="337"/>
      <c r="G68" s="339"/>
      <c r="H68" s="118"/>
    </row>
    <row r="69" spans="1:8">
      <c r="A69" s="118"/>
      <c r="B69" s="118"/>
      <c r="C69" s="337"/>
      <c r="D69" s="338"/>
      <c r="E69" s="339"/>
      <c r="F69" s="337"/>
      <c r="G69" s="339"/>
      <c r="H69" s="118"/>
    </row>
    <row r="70" spans="1:8">
      <c r="A70" s="118"/>
      <c r="B70" s="118"/>
      <c r="C70" s="337"/>
      <c r="D70" s="338"/>
      <c r="E70" s="339"/>
      <c r="F70" s="337"/>
      <c r="G70" s="339"/>
      <c r="H70" s="118"/>
    </row>
    <row r="71" spans="1:8">
      <c r="A71" s="118"/>
      <c r="B71" s="118"/>
      <c r="C71" s="337"/>
      <c r="D71" s="338"/>
      <c r="E71" s="339"/>
      <c r="F71" s="337"/>
      <c r="G71" s="339"/>
      <c r="H71" s="118"/>
    </row>
    <row r="72" spans="1:8">
      <c r="A72" s="118"/>
      <c r="B72" s="118"/>
      <c r="C72" s="337"/>
      <c r="D72" s="338"/>
      <c r="E72" s="339"/>
      <c r="F72" s="337"/>
      <c r="G72" s="339"/>
      <c r="H72" s="118"/>
    </row>
    <row r="73" spans="1:8">
      <c r="A73" s="118"/>
      <c r="B73" s="118"/>
      <c r="C73" s="337"/>
      <c r="D73" s="338"/>
      <c r="E73" s="339"/>
      <c r="F73" s="337"/>
      <c r="G73" s="339"/>
      <c r="H73" s="118"/>
    </row>
    <row r="74" spans="1:8">
      <c r="A74" s="118"/>
      <c r="B74" s="118"/>
      <c r="C74" s="337"/>
      <c r="D74" s="338"/>
      <c r="E74" s="339"/>
      <c r="F74" s="337"/>
      <c r="G74" s="339"/>
      <c r="H74" s="118"/>
    </row>
    <row r="75" spans="1:8">
      <c r="A75" s="118"/>
      <c r="B75" s="118"/>
      <c r="C75" s="337"/>
      <c r="D75" s="338"/>
      <c r="E75" s="339"/>
      <c r="F75" s="337"/>
      <c r="G75" s="339"/>
      <c r="H75" s="118"/>
    </row>
    <row r="76" spans="1:8">
      <c r="A76" s="118"/>
      <c r="B76" s="118"/>
      <c r="C76" s="337"/>
      <c r="D76" s="338"/>
      <c r="E76" s="339"/>
      <c r="F76" s="337"/>
      <c r="G76" s="339"/>
      <c r="H76" s="118"/>
    </row>
    <row r="77" spans="1:8">
      <c r="A77" s="118"/>
      <c r="B77" s="118"/>
      <c r="C77" s="337"/>
      <c r="D77" s="338"/>
      <c r="E77" s="339"/>
      <c r="F77" s="337"/>
      <c r="G77" s="339"/>
      <c r="H77" s="118"/>
    </row>
    <row r="78" spans="1:8">
      <c r="A78" s="118"/>
      <c r="B78" s="118"/>
      <c r="C78" s="337"/>
      <c r="D78" s="338"/>
      <c r="E78" s="339"/>
      <c r="F78" s="337"/>
      <c r="G78" s="339"/>
      <c r="H78" s="118"/>
    </row>
    <row r="79" spans="1:8">
      <c r="A79" s="118"/>
      <c r="B79" s="118"/>
      <c r="C79" s="337"/>
      <c r="D79" s="338"/>
      <c r="E79" s="339"/>
      <c r="F79" s="337"/>
      <c r="G79" s="339"/>
      <c r="H79" s="118"/>
    </row>
    <row r="80" spans="1:8">
      <c r="A80" s="118"/>
      <c r="B80" s="118"/>
      <c r="C80" s="337"/>
      <c r="D80" s="338"/>
      <c r="E80" s="339"/>
      <c r="F80" s="337"/>
      <c r="G80" s="339"/>
      <c r="H80" s="118"/>
    </row>
    <row r="81" spans="1:8">
      <c r="A81" s="118"/>
      <c r="B81" s="118"/>
      <c r="C81" s="337"/>
      <c r="D81" s="338"/>
      <c r="E81" s="339"/>
      <c r="F81" s="337"/>
      <c r="G81" s="339"/>
      <c r="H81" s="118"/>
    </row>
    <row r="82" spans="1:8">
      <c r="A82" s="118"/>
      <c r="B82" s="118"/>
      <c r="C82" s="337"/>
      <c r="D82" s="338"/>
      <c r="E82" s="339"/>
      <c r="F82" s="337"/>
      <c r="G82" s="339"/>
      <c r="H82" s="118"/>
    </row>
    <row r="83" spans="1:8">
      <c r="A83" s="118"/>
      <c r="B83" s="118"/>
      <c r="C83" s="337"/>
      <c r="D83" s="338"/>
      <c r="E83" s="339"/>
      <c r="F83" s="337"/>
      <c r="G83" s="339"/>
      <c r="H83" s="118"/>
    </row>
    <row r="84" spans="1:8">
      <c r="A84" s="118"/>
      <c r="B84" s="118"/>
      <c r="C84" s="337"/>
      <c r="D84" s="338"/>
      <c r="E84" s="339"/>
      <c r="F84" s="337"/>
      <c r="G84" s="339"/>
      <c r="H84" s="118"/>
    </row>
    <row r="85" spans="1:8">
      <c r="A85" s="118"/>
      <c r="B85" s="118"/>
      <c r="C85" s="337"/>
      <c r="D85" s="338"/>
      <c r="E85" s="339"/>
      <c r="F85" s="337"/>
      <c r="G85" s="339"/>
      <c r="H85" s="118"/>
    </row>
    <row r="86" spans="1:8">
      <c r="A86" s="118"/>
      <c r="B86" s="118"/>
      <c r="C86" s="337"/>
      <c r="D86" s="338"/>
      <c r="E86" s="339"/>
      <c r="F86" s="337"/>
      <c r="G86" s="339"/>
      <c r="H86" s="118"/>
    </row>
    <row r="87" spans="1:8">
      <c r="A87" s="118"/>
      <c r="B87" s="118"/>
      <c r="C87" s="337"/>
      <c r="D87" s="338"/>
      <c r="E87" s="339"/>
      <c r="F87" s="337"/>
      <c r="G87" s="339"/>
      <c r="H87" s="118"/>
    </row>
    <row r="88" spans="1:8">
      <c r="A88" s="118"/>
      <c r="B88" s="118"/>
      <c r="C88" s="337"/>
      <c r="D88" s="338"/>
      <c r="E88" s="339"/>
      <c r="F88" s="337"/>
      <c r="G88" s="339"/>
      <c r="H88" s="118"/>
    </row>
    <row r="89" spans="1:8">
      <c r="A89" s="118"/>
      <c r="B89" s="118"/>
      <c r="C89" s="337"/>
      <c r="D89" s="338"/>
      <c r="E89" s="339"/>
      <c r="F89" s="337"/>
      <c r="G89" s="339"/>
      <c r="H89" s="118"/>
    </row>
    <row r="90" spans="1:8">
      <c r="A90" s="118"/>
      <c r="B90" s="118"/>
      <c r="C90" s="337"/>
      <c r="D90" s="338"/>
      <c r="E90" s="339"/>
      <c r="F90" s="337"/>
      <c r="G90" s="339"/>
      <c r="H90" s="118"/>
    </row>
    <row r="91" spans="1:8">
      <c r="A91" s="118"/>
      <c r="B91" s="118"/>
      <c r="C91" s="337"/>
      <c r="D91" s="338"/>
      <c r="E91" s="339"/>
      <c r="F91" s="337"/>
      <c r="G91" s="339"/>
      <c r="H91" s="118"/>
    </row>
    <row r="92" spans="1:8">
      <c r="A92" s="118"/>
      <c r="B92" s="118"/>
      <c r="C92" s="337"/>
      <c r="D92" s="338"/>
      <c r="E92" s="339"/>
      <c r="F92" s="337"/>
      <c r="G92" s="339"/>
      <c r="H92" s="118"/>
    </row>
    <row r="93" spans="1:8">
      <c r="A93" s="118"/>
      <c r="B93" s="118"/>
      <c r="C93" s="337"/>
      <c r="D93" s="338"/>
      <c r="E93" s="339"/>
      <c r="F93" s="337"/>
      <c r="G93" s="339"/>
      <c r="H93" s="118"/>
    </row>
    <row r="94" spans="1:8">
      <c r="A94" s="118"/>
      <c r="B94" s="118"/>
      <c r="C94" s="337"/>
      <c r="D94" s="338"/>
      <c r="E94" s="339"/>
      <c r="F94" s="337"/>
      <c r="G94" s="339"/>
      <c r="H94" s="118"/>
    </row>
    <row r="95" spans="1:8">
      <c r="A95" s="118"/>
      <c r="B95" s="118"/>
      <c r="C95" s="337"/>
      <c r="D95" s="338"/>
      <c r="E95" s="339"/>
      <c r="F95" s="337"/>
      <c r="G95" s="339"/>
      <c r="H95" s="118"/>
    </row>
    <row r="96" spans="1:8">
      <c r="A96" s="118"/>
      <c r="B96" s="118"/>
      <c r="C96" s="337"/>
      <c r="D96" s="338"/>
      <c r="E96" s="339"/>
      <c r="F96" s="337"/>
      <c r="G96" s="339"/>
      <c r="H96" s="118"/>
    </row>
    <row r="97" spans="1:8">
      <c r="A97" s="118"/>
      <c r="B97" s="118"/>
      <c r="C97" s="337"/>
      <c r="D97" s="338"/>
      <c r="E97" s="339"/>
      <c r="F97" s="337"/>
      <c r="G97" s="339"/>
      <c r="H97" s="118"/>
    </row>
    <row r="98" spans="1:8">
      <c r="A98" s="118"/>
      <c r="B98" s="118"/>
      <c r="C98" s="337"/>
      <c r="D98" s="338"/>
      <c r="E98" s="339"/>
      <c r="F98" s="337"/>
      <c r="G98" s="339"/>
      <c r="H98" s="118"/>
    </row>
    <row r="99" spans="1:8">
      <c r="A99" s="118"/>
      <c r="B99" s="118"/>
      <c r="C99" s="337"/>
      <c r="D99" s="338"/>
      <c r="E99" s="339"/>
      <c r="F99" s="337"/>
      <c r="G99" s="339"/>
      <c r="H99" s="118"/>
    </row>
    <row r="100" spans="1:8">
      <c r="A100" s="118"/>
      <c r="B100" s="118"/>
      <c r="C100" s="337"/>
      <c r="D100" s="338"/>
      <c r="E100" s="339"/>
      <c r="F100" s="337"/>
      <c r="G100" s="339"/>
      <c r="H100" s="118"/>
    </row>
    <row r="101" spans="1:8">
      <c r="A101" s="118"/>
      <c r="B101" s="118"/>
      <c r="C101" s="337"/>
      <c r="D101" s="338"/>
      <c r="E101" s="339"/>
      <c r="F101" s="337"/>
      <c r="G101" s="339"/>
      <c r="H101" s="118"/>
    </row>
    <row r="102" spans="1:8">
      <c r="A102" s="118"/>
      <c r="B102" s="118"/>
      <c r="C102" s="337"/>
      <c r="D102" s="338"/>
      <c r="E102" s="339"/>
      <c r="F102" s="337"/>
      <c r="G102" s="339"/>
      <c r="H102" s="118"/>
    </row>
    <row r="103" spans="1:8">
      <c r="A103" s="118"/>
      <c r="B103" s="118"/>
      <c r="C103" s="337"/>
      <c r="D103" s="338"/>
      <c r="E103" s="339"/>
      <c r="F103" s="337"/>
      <c r="G103" s="339"/>
      <c r="H103" s="118"/>
    </row>
    <row r="104" spans="1:8">
      <c r="A104" s="118"/>
      <c r="B104" s="118"/>
      <c r="C104" s="337"/>
      <c r="D104" s="338"/>
      <c r="E104" s="339"/>
      <c r="F104" s="337"/>
      <c r="G104" s="339"/>
      <c r="H104" s="118"/>
    </row>
    <row r="105" spans="1:8">
      <c r="A105" s="118"/>
      <c r="B105" s="118"/>
      <c r="C105" s="337"/>
      <c r="D105" s="338"/>
      <c r="E105" s="339"/>
      <c r="F105" s="337"/>
      <c r="G105" s="339"/>
      <c r="H105" s="118"/>
    </row>
    <row r="106" spans="1:8">
      <c r="A106" s="118"/>
      <c r="B106" s="118"/>
      <c r="C106" s="337"/>
      <c r="D106" s="338"/>
      <c r="E106" s="339"/>
      <c r="F106" s="337"/>
      <c r="G106" s="339"/>
      <c r="H106" s="118"/>
    </row>
    <row r="107" spans="1:8" s="109" customFormat="1" ht="16.5" customHeight="1">
      <c r="A107" s="108"/>
      <c r="B107" s="108"/>
      <c r="C107" s="424" t="s">
        <v>1742</v>
      </c>
      <c r="D107" s="424"/>
      <c r="E107" s="424"/>
      <c r="F107" s="424"/>
      <c r="G107" s="424"/>
      <c r="H107" s="424"/>
    </row>
    <row r="108" spans="1:8" s="109" customFormat="1" ht="16.5" customHeight="1">
      <c r="A108" s="423" t="s">
        <v>63</v>
      </c>
      <c r="B108" s="423"/>
      <c r="C108" s="424" t="s">
        <v>1743</v>
      </c>
      <c r="D108" s="424"/>
      <c r="E108" s="424"/>
      <c r="F108" s="424" t="s">
        <v>1744</v>
      </c>
      <c r="G108" s="424"/>
      <c r="H108" s="424"/>
    </row>
    <row r="109" spans="1:8" s="109" customFormat="1" ht="15.6">
      <c r="A109" s="108"/>
      <c r="B109" s="108"/>
      <c r="C109" s="108"/>
      <c r="D109" s="110"/>
      <c r="E109" s="111"/>
      <c r="F109" s="112"/>
      <c r="G109" s="111"/>
      <c r="H109" s="113"/>
    </row>
    <row r="110" spans="1:8" s="109" customFormat="1" ht="15.6">
      <c r="A110" s="108"/>
      <c r="B110" s="108"/>
      <c r="C110" s="108"/>
      <c r="D110" s="110"/>
      <c r="E110" s="111"/>
      <c r="F110" s="112"/>
      <c r="G110" s="114"/>
      <c r="H110" s="113"/>
    </row>
    <row r="111" spans="1:8" s="109" customFormat="1" ht="15.6">
      <c r="A111" s="108"/>
      <c r="B111" s="108"/>
      <c r="C111" s="108"/>
      <c r="D111" s="110"/>
      <c r="E111" s="111"/>
      <c r="F111" s="112"/>
      <c r="G111" s="111"/>
      <c r="H111" s="113"/>
    </row>
    <row r="112" spans="1:8" s="109" customFormat="1" ht="15.6">
      <c r="A112" s="108"/>
      <c r="B112" s="108"/>
      <c r="C112" s="108"/>
      <c r="D112" s="110"/>
      <c r="E112" s="111"/>
      <c r="F112" s="112"/>
      <c r="G112" s="111"/>
      <c r="H112" s="113"/>
    </row>
    <row r="113" spans="1:8" s="109" customFormat="1" ht="15.6">
      <c r="A113" s="108"/>
      <c r="B113" s="108"/>
      <c r="C113" s="108"/>
      <c r="D113" s="110"/>
      <c r="E113" s="111"/>
      <c r="F113" s="112"/>
      <c r="G113" s="111"/>
      <c r="H113" s="113"/>
    </row>
    <row r="114" spans="1:8" s="109" customFormat="1" ht="16.5" customHeight="1">
      <c r="A114" s="108"/>
      <c r="B114" s="198" t="s">
        <v>64</v>
      </c>
      <c r="C114" s="424"/>
      <c r="D114" s="424"/>
      <c r="E114" s="424"/>
      <c r="F114" s="424" t="s">
        <v>1745</v>
      </c>
      <c r="G114" s="424"/>
      <c r="H114" s="424"/>
    </row>
    <row r="115" spans="1:8" s="109" customFormat="1" ht="15.6">
      <c r="A115" s="108"/>
      <c r="B115" s="198"/>
      <c r="C115" s="199"/>
      <c r="D115" s="199"/>
      <c r="E115" s="199"/>
      <c r="F115" s="199"/>
      <c r="G115" s="199"/>
      <c r="H115" s="199"/>
    </row>
    <row r="116" spans="1:8" s="109" customFormat="1" ht="15" customHeight="1">
      <c r="A116" s="424" t="s">
        <v>1746</v>
      </c>
      <c r="B116" s="424"/>
      <c r="C116" s="424"/>
      <c r="D116" s="424"/>
      <c r="E116" s="424" t="s">
        <v>1747</v>
      </c>
      <c r="F116" s="424"/>
      <c r="G116" s="424"/>
      <c r="H116" s="424"/>
    </row>
    <row r="117" spans="1:8" s="109" customFormat="1" ht="33.6" customHeight="1">
      <c r="A117" s="424" t="s">
        <v>1748</v>
      </c>
      <c r="B117" s="424"/>
      <c r="C117" s="424"/>
      <c r="D117" s="424"/>
      <c r="E117" s="424" t="s">
        <v>65</v>
      </c>
      <c r="F117" s="424"/>
      <c r="G117" s="424"/>
      <c r="H117" s="424"/>
    </row>
    <row r="118" spans="1:8" s="109" customFormat="1" ht="15.6">
      <c r="A118" s="108"/>
      <c r="B118" s="108"/>
      <c r="C118" s="108"/>
      <c r="D118" s="110"/>
      <c r="E118" s="111"/>
      <c r="F118" s="112"/>
      <c r="G118" s="111"/>
      <c r="H118" s="113"/>
    </row>
    <row r="119" spans="1:8" s="109" customFormat="1" ht="15.6">
      <c r="A119" s="108"/>
      <c r="B119" s="108"/>
      <c r="C119" s="108"/>
      <c r="D119" s="110"/>
      <c r="E119" s="111"/>
      <c r="F119" s="112"/>
      <c r="G119" s="111"/>
      <c r="H119" s="113"/>
    </row>
    <row r="120" spans="1:8" s="109" customFormat="1" ht="15.6">
      <c r="A120" s="108"/>
      <c r="B120" s="108"/>
      <c r="C120" s="108"/>
      <c r="D120" s="110"/>
      <c r="E120" s="111"/>
      <c r="F120" s="112"/>
      <c r="G120" s="111"/>
      <c r="H120" s="113"/>
    </row>
    <row r="121" spans="1:8" s="109" customFormat="1" ht="15.6">
      <c r="A121" s="108"/>
      <c r="B121" s="108"/>
      <c r="C121" s="108"/>
      <c r="D121" s="110"/>
      <c r="E121" s="111"/>
      <c r="F121" s="112"/>
      <c r="G121" s="111"/>
      <c r="H121" s="113"/>
    </row>
    <row r="122" spans="1:8" s="109" customFormat="1" ht="15.6">
      <c r="A122" s="108"/>
      <c r="B122" s="108"/>
      <c r="C122" s="108"/>
      <c r="D122" s="110"/>
      <c r="E122" s="111"/>
      <c r="F122" s="112"/>
      <c r="G122" s="111"/>
      <c r="H122" s="113"/>
    </row>
    <row r="123" spans="1:8" s="109" customFormat="1" ht="15.6" customHeight="1">
      <c r="A123" s="108"/>
      <c r="B123" s="108"/>
      <c r="C123" s="108"/>
      <c r="D123" s="115"/>
      <c r="E123" s="439" t="s">
        <v>1749</v>
      </c>
      <c r="F123" s="439"/>
      <c r="G123" s="439"/>
      <c r="H123" s="439"/>
    </row>
    <row r="124" spans="1:8" s="109" customFormat="1" ht="16.5" customHeight="1">
      <c r="A124" s="424" t="s">
        <v>2424</v>
      </c>
      <c r="B124" s="424"/>
      <c r="C124" s="424"/>
      <c r="D124" s="424"/>
      <c r="E124" s="424" t="s">
        <v>1750</v>
      </c>
      <c r="F124" s="424"/>
      <c r="G124" s="424"/>
      <c r="H124" s="424"/>
    </row>
    <row r="125" spans="1:8" s="118" customFormat="1" ht="16.2" customHeight="1">
      <c r="A125" s="459"/>
      <c r="B125" s="459"/>
      <c r="C125" s="340"/>
      <c r="D125" s="341"/>
      <c r="E125" s="459"/>
      <c r="F125" s="459"/>
      <c r="G125" s="459"/>
      <c r="H125" s="459"/>
    </row>
    <row r="126" spans="1:8" s="118" customFormat="1" ht="15.75" customHeight="1">
      <c r="A126" s="459"/>
      <c r="B126" s="459"/>
      <c r="C126" s="459"/>
      <c r="D126" s="459"/>
      <c r="E126" s="459"/>
      <c r="F126" s="459"/>
      <c r="G126" s="459"/>
      <c r="H126" s="459"/>
    </row>
    <row r="127" spans="1:8" ht="16.2" customHeight="1">
      <c r="A127" s="460"/>
      <c r="B127" s="460"/>
      <c r="C127" s="460"/>
      <c r="D127" s="460"/>
      <c r="E127" s="342"/>
      <c r="F127" s="343"/>
      <c r="G127" s="342"/>
      <c r="H127" s="344"/>
    </row>
    <row r="128" spans="1:8" ht="16.2" customHeight="1">
      <c r="A128" s="460"/>
      <c r="B128" s="460"/>
      <c r="C128" s="460"/>
      <c r="D128" s="460"/>
      <c r="E128" s="342"/>
      <c r="F128" s="343"/>
      <c r="G128" s="342"/>
      <c r="H128" s="344"/>
    </row>
    <row r="129" spans="1:8" ht="16.2" customHeight="1">
      <c r="A129" s="344"/>
      <c r="B129" s="344"/>
      <c r="C129" s="344"/>
      <c r="D129" s="345"/>
      <c r="E129" s="342"/>
      <c r="F129" s="343"/>
      <c r="G129" s="342"/>
      <c r="H129" s="344"/>
    </row>
    <row r="130" spans="1:8" ht="16.2" customHeight="1">
      <c r="A130" s="344"/>
      <c r="B130" s="344"/>
      <c r="C130" s="344"/>
      <c r="D130" s="345"/>
      <c r="E130" s="342"/>
      <c r="F130" s="343"/>
      <c r="G130" s="342"/>
      <c r="H130" s="344"/>
    </row>
    <row r="131" spans="1:8" ht="16.2" customHeight="1">
      <c r="A131" s="344"/>
      <c r="B131" s="344"/>
      <c r="C131" s="344"/>
      <c r="D131" s="345"/>
      <c r="E131" s="342"/>
      <c r="F131" s="343"/>
      <c r="G131" s="342"/>
      <c r="H131" s="344"/>
    </row>
    <row r="132" spans="1:8" ht="16.2" customHeight="1">
      <c r="A132" s="344"/>
      <c r="B132" s="344"/>
      <c r="C132" s="344"/>
      <c r="D132" s="345"/>
      <c r="E132" s="460"/>
      <c r="F132" s="460"/>
      <c r="G132" s="460"/>
      <c r="H132" s="460"/>
    </row>
    <row r="133" spans="1:8" ht="16.2" customHeight="1">
      <c r="A133" s="460"/>
      <c r="B133" s="460"/>
      <c r="C133" s="460"/>
      <c r="D133" s="460"/>
      <c r="E133" s="460"/>
      <c r="F133" s="460"/>
      <c r="G133" s="460"/>
      <c r="H133" s="460"/>
    </row>
    <row r="134" spans="1:8" ht="20.25" customHeight="1">
      <c r="A134" s="458"/>
      <c r="B134" s="458"/>
      <c r="C134" s="458"/>
      <c r="D134" s="458"/>
      <c r="E134" s="458"/>
      <c r="F134" s="458"/>
      <c r="G134" s="458"/>
      <c r="H134" s="458"/>
    </row>
    <row r="135" spans="1:8" s="118" customFormat="1" ht="16.2" customHeight="1">
      <c r="D135" s="346"/>
      <c r="E135" s="339"/>
      <c r="F135" s="337"/>
      <c r="G135" s="339"/>
    </row>
    <row r="136" spans="1:8" s="118" customFormat="1" ht="16.2" customHeight="1">
      <c r="D136" s="346"/>
      <c r="E136" s="339"/>
      <c r="F136" s="337"/>
      <c r="G136" s="339"/>
    </row>
    <row r="137" spans="1:8" s="118" customFormat="1" ht="16.2" customHeight="1">
      <c r="D137" s="346"/>
      <c r="E137" s="339"/>
      <c r="F137" s="337"/>
      <c r="G137" s="339"/>
    </row>
    <row r="138" spans="1:8" s="118" customFormat="1" ht="16.2" customHeight="1">
      <c r="D138" s="346"/>
      <c r="E138" s="339"/>
      <c r="F138" s="337"/>
      <c r="G138" s="339"/>
    </row>
    <row r="139" spans="1:8" s="118" customFormat="1" ht="16.2" customHeight="1">
      <c r="D139" s="346"/>
      <c r="E139" s="339"/>
      <c r="F139" s="337"/>
      <c r="G139" s="339"/>
    </row>
    <row r="140" spans="1:8" s="118" customFormat="1" ht="16.2" customHeight="1">
      <c r="D140" s="346"/>
      <c r="E140" s="339"/>
      <c r="F140" s="337"/>
      <c r="G140" s="339"/>
    </row>
    <row r="141" spans="1:8" s="118" customFormat="1" ht="16.2" customHeight="1">
      <c r="D141" s="346"/>
      <c r="E141" s="339"/>
      <c r="F141" s="337"/>
      <c r="G141" s="339"/>
    </row>
    <row r="142" spans="1:8" s="118" customFormat="1" ht="16.2" customHeight="1">
      <c r="D142" s="346"/>
      <c r="E142" s="339"/>
      <c r="F142" s="337"/>
      <c r="G142" s="339"/>
    </row>
    <row r="143" spans="1:8" s="118" customFormat="1" ht="16.2" customHeight="1">
      <c r="D143" s="346"/>
      <c r="E143" s="339"/>
      <c r="F143" s="337"/>
      <c r="G143" s="339"/>
    </row>
    <row r="144" spans="1:8" s="118" customFormat="1" ht="16.2" customHeight="1">
      <c r="D144" s="346"/>
      <c r="E144" s="339"/>
      <c r="F144" s="337"/>
      <c r="G144" s="339"/>
    </row>
    <row r="145" spans="3:7" s="118" customFormat="1" ht="16.2" customHeight="1">
      <c r="D145" s="346"/>
      <c r="E145" s="339"/>
      <c r="F145" s="337"/>
      <c r="G145" s="339"/>
    </row>
    <row r="146" spans="3:7" s="118" customFormat="1" ht="16.2" customHeight="1">
      <c r="D146" s="346"/>
      <c r="E146" s="339"/>
      <c r="F146" s="337"/>
      <c r="G146" s="339"/>
    </row>
    <row r="147" spans="3:7" s="118" customFormat="1" ht="16.2" customHeight="1">
      <c r="D147" s="346"/>
      <c r="E147" s="339"/>
      <c r="F147" s="337"/>
      <c r="G147" s="339"/>
    </row>
    <row r="148" spans="3:7" s="118" customFormat="1" ht="16.2" customHeight="1">
      <c r="D148" s="346"/>
      <c r="E148" s="339"/>
      <c r="F148" s="337"/>
      <c r="G148" s="339"/>
    </row>
    <row r="149" spans="3:7" s="118" customFormat="1" ht="16.2" customHeight="1">
      <c r="D149" s="346"/>
      <c r="E149" s="339"/>
      <c r="F149" s="337"/>
      <c r="G149" s="339"/>
    </row>
    <row r="150" spans="3:7" s="118" customFormat="1" ht="16.2" customHeight="1">
      <c r="D150" s="346"/>
      <c r="E150" s="339"/>
      <c r="F150" s="337"/>
      <c r="G150" s="339"/>
    </row>
    <row r="151" spans="3:7" s="118" customFormat="1" ht="16.2" customHeight="1">
      <c r="C151" s="337"/>
      <c r="D151" s="338"/>
      <c r="E151" s="339"/>
      <c r="F151" s="337"/>
      <c r="G151" s="339"/>
    </row>
    <row r="152" spans="3:7" s="118" customFormat="1" ht="16.2" customHeight="1">
      <c r="C152" s="337"/>
      <c r="D152" s="338"/>
      <c r="E152" s="339"/>
      <c r="F152" s="337"/>
      <c r="G152" s="339"/>
    </row>
    <row r="153" spans="3:7" s="118" customFormat="1" ht="16.2" customHeight="1">
      <c r="C153" s="337"/>
      <c r="D153" s="338"/>
      <c r="E153" s="339"/>
      <c r="F153" s="337"/>
      <c r="G153" s="339"/>
    </row>
    <row r="154" spans="3:7" s="118" customFormat="1" ht="16.2" customHeight="1">
      <c r="C154" s="337"/>
      <c r="D154" s="338"/>
      <c r="E154" s="339"/>
      <c r="F154" s="337"/>
      <c r="G154" s="339"/>
    </row>
    <row r="155" spans="3:7" s="118" customFormat="1" ht="16.2" customHeight="1">
      <c r="C155" s="337"/>
      <c r="D155" s="338"/>
      <c r="E155" s="339"/>
      <c r="F155" s="337"/>
      <c r="G155" s="339"/>
    </row>
    <row r="156" spans="3:7" s="118" customFormat="1" ht="16.2" customHeight="1">
      <c r="C156" s="337"/>
      <c r="D156" s="338"/>
      <c r="E156" s="339"/>
      <c r="F156" s="337"/>
      <c r="G156" s="339"/>
    </row>
    <row r="157" spans="3:7" s="118" customFormat="1" ht="16.2" customHeight="1">
      <c r="C157" s="337"/>
      <c r="D157" s="338"/>
      <c r="E157" s="339"/>
      <c r="F157" s="337"/>
      <c r="G157" s="339"/>
    </row>
    <row r="158" spans="3:7" s="118" customFormat="1" ht="16.2" customHeight="1">
      <c r="C158" s="337"/>
      <c r="D158" s="338"/>
      <c r="E158" s="339"/>
      <c r="F158" s="337"/>
      <c r="G158" s="339"/>
    </row>
    <row r="159" spans="3:7" s="118" customFormat="1" ht="16.2" customHeight="1">
      <c r="C159" s="337"/>
      <c r="D159" s="338"/>
      <c r="E159" s="339"/>
      <c r="F159" s="337"/>
      <c r="G159" s="339"/>
    </row>
    <row r="160" spans="3:7" s="118" customFormat="1" ht="16.2" customHeight="1">
      <c r="C160" s="337"/>
      <c r="D160" s="338"/>
      <c r="E160" s="339"/>
      <c r="F160" s="337"/>
      <c r="G160" s="339"/>
    </row>
    <row r="161" spans="3:7" s="118" customFormat="1" ht="16.2" customHeight="1">
      <c r="C161" s="337"/>
      <c r="D161" s="338"/>
      <c r="E161" s="339"/>
      <c r="F161" s="337"/>
      <c r="G161" s="339"/>
    </row>
    <row r="162" spans="3:7" s="118" customFormat="1" ht="16.2" customHeight="1">
      <c r="C162" s="337"/>
      <c r="D162" s="338"/>
      <c r="E162" s="339"/>
      <c r="F162" s="337"/>
      <c r="G162" s="339"/>
    </row>
    <row r="163" spans="3:7" ht="16.2" customHeight="1"/>
    <row r="164" spans="3:7" ht="16.2" customHeight="1"/>
    <row r="165" spans="3:7" ht="16.2" customHeight="1"/>
    <row r="166" spans="3:7" ht="16.2" customHeight="1"/>
    <row r="167" spans="3:7" ht="16.2" customHeight="1"/>
    <row r="168" spans="3:7" ht="16.2" customHeight="1"/>
    <row r="169" spans="3:7" ht="16.2" customHeight="1"/>
    <row r="170" spans="3:7" ht="16.2" customHeight="1"/>
    <row r="171" spans="3:7" ht="16.2" customHeight="1"/>
    <row r="172" spans="3:7" ht="16.2" customHeight="1"/>
    <row r="173" spans="3:7" ht="16.2" customHeight="1"/>
    <row r="174" spans="3:7" ht="16.2" customHeight="1"/>
    <row r="175" spans="3:7" ht="16.2" customHeight="1"/>
    <row r="176" spans="3:7" ht="16.2" customHeight="1"/>
    <row r="177" s="286" customFormat="1" ht="16.2" customHeight="1"/>
    <row r="178" s="286" customFormat="1" ht="16.2" customHeight="1"/>
    <row r="179" s="286" customFormat="1" ht="16.2" customHeight="1"/>
    <row r="180" s="286" customFormat="1" ht="16.2" customHeight="1"/>
    <row r="181" s="286" customFormat="1" ht="16.2" customHeight="1"/>
    <row r="182" s="286" customFormat="1" ht="16.2" customHeight="1"/>
    <row r="183" s="286" customFormat="1" ht="16.2" customHeight="1"/>
    <row r="184" s="286" customFormat="1" ht="16.2" customHeight="1"/>
    <row r="185" s="286" customFormat="1" ht="16.2" customHeight="1"/>
    <row r="186" s="286" customFormat="1" ht="16.2" customHeight="1"/>
    <row r="187" s="286" customFormat="1" ht="16.2" customHeight="1"/>
    <row r="188" s="286" customFormat="1" ht="16.2" customHeight="1"/>
    <row r="189" s="286" customFormat="1" ht="16.2" customHeight="1"/>
    <row r="190" s="286" customFormat="1" ht="16.2" customHeight="1"/>
    <row r="191" s="286" customFormat="1" ht="16.2" customHeight="1"/>
    <row r="192" s="286" customFormat="1" ht="16.2" customHeight="1"/>
    <row r="193" s="286" customFormat="1" ht="16.2" customHeight="1"/>
    <row r="194" s="286" customFormat="1" ht="16.2" customHeight="1"/>
    <row r="195" s="286" customFormat="1" ht="16.2" customHeight="1"/>
    <row r="196" s="286" customFormat="1" ht="16.2" customHeight="1"/>
    <row r="197" s="286" customFormat="1" ht="16.2" customHeight="1"/>
    <row r="198" s="286" customFormat="1" ht="16.2" customHeight="1"/>
    <row r="199" s="286" customFormat="1" ht="16.2" customHeight="1"/>
    <row r="200" s="286" customFormat="1" ht="16.2" customHeight="1"/>
    <row r="201" s="286" customFormat="1" ht="16.2" customHeight="1"/>
    <row r="202" s="286" customFormat="1" ht="16.2" customHeight="1"/>
    <row r="203" s="286" customFormat="1" ht="16.2" customHeight="1"/>
    <row r="204" s="286" customFormat="1" ht="16.2" customHeight="1"/>
    <row r="205" s="286" customFormat="1" ht="16.2" customHeight="1"/>
    <row r="206" s="286" customFormat="1" ht="16.2" customHeight="1"/>
    <row r="207" s="286" customFormat="1" ht="16.2" customHeight="1"/>
    <row r="208" s="286" customFormat="1" ht="16.2" customHeight="1"/>
    <row r="209" s="286" customFormat="1" ht="16.2" customHeight="1"/>
    <row r="210" s="286" customFormat="1" ht="16.2" customHeight="1"/>
    <row r="211" s="286" customFormat="1" ht="16.2" customHeight="1"/>
    <row r="212" s="286" customFormat="1" ht="16.2" customHeight="1"/>
    <row r="213" s="286" customFormat="1" ht="16.2" customHeight="1"/>
    <row r="214" s="286" customFormat="1" ht="16.2" customHeight="1"/>
    <row r="215" s="286" customFormat="1" ht="16.2" customHeight="1"/>
    <row r="216" s="286" customFormat="1" ht="16.2" customHeight="1"/>
    <row r="217" s="286" customFormat="1" ht="16.2" customHeight="1"/>
    <row r="218" s="286" customFormat="1" ht="16.2" customHeight="1"/>
    <row r="219" s="286" customFormat="1" ht="16.2" customHeight="1"/>
    <row r="220" s="286" customFormat="1" ht="16.2" customHeight="1"/>
    <row r="221" s="286" customFormat="1" ht="16.2" customHeight="1"/>
    <row r="222" s="286" customFormat="1" ht="16.2" customHeight="1"/>
    <row r="223" s="286" customFormat="1" ht="16.2" customHeight="1"/>
    <row r="224" s="286" customFormat="1" ht="16.2" customHeight="1"/>
    <row r="225" s="286" customFormat="1" ht="16.2" customHeight="1"/>
    <row r="226" s="286" customFormat="1" ht="16.2" customHeight="1"/>
    <row r="227" s="286" customFormat="1" ht="16.2" customHeight="1"/>
    <row r="228" s="286" customFormat="1" ht="16.2" customHeight="1"/>
    <row r="229" s="286" customFormat="1" ht="16.2" customHeight="1"/>
    <row r="230" s="286" customFormat="1" ht="16.2" customHeight="1"/>
    <row r="231" s="286" customFormat="1" ht="16.2" customHeight="1"/>
    <row r="232" s="286" customFormat="1" ht="16.2" customHeight="1"/>
    <row r="233" s="286" customFormat="1" ht="16.2" customHeight="1"/>
    <row r="234" s="286" customFormat="1" ht="16.2" customHeight="1"/>
    <row r="235" s="286" customFormat="1" ht="16.2" customHeight="1"/>
    <row r="236" s="286" customFormat="1" ht="16.2" customHeight="1"/>
    <row r="237" s="286" customFormat="1" ht="16.2" customHeight="1"/>
    <row r="238" s="286" customFormat="1" ht="16.2" customHeight="1"/>
    <row r="239" s="286" customFormat="1" ht="16.2" customHeight="1"/>
    <row r="240" s="286" customFormat="1" ht="16.2" customHeight="1"/>
    <row r="241" s="286" customFormat="1" ht="16.2" customHeight="1"/>
    <row r="242" s="286" customFormat="1" ht="16.2" customHeight="1"/>
    <row r="243" s="286" customFormat="1" ht="16.2" customHeight="1"/>
    <row r="244" s="286" customFormat="1" ht="16.2" customHeight="1"/>
    <row r="245" s="286" customFormat="1" ht="16.2" customHeight="1"/>
    <row r="246" s="286" customFormat="1" ht="16.2" customHeight="1"/>
    <row r="247" s="286" customFormat="1" ht="16.2" customHeight="1"/>
    <row r="248" s="286" customFormat="1" ht="16.2" customHeight="1"/>
    <row r="249" s="286" customFormat="1" ht="16.2" customHeight="1"/>
    <row r="250" s="286" customFormat="1" ht="16.2" customHeight="1"/>
    <row r="251" s="286" customFormat="1" ht="16.2" customHeight="1"/>
    <row r="252" s="286" customFormat="1" ht="16.2" customHeight="1"/>
    <row r="253" s="286" customFormat="1" ht="16.2" customHeight="1"/>
    <row r="254" s="286" customFormat="1" ht="16.2" customHeight="1"/>
    <row r="255" s="286" customFormat="1" ht="16.2" customHeight="1"/>
    <row r="256" s="286" customFormat="1" ht="16.2" customHeight="1"/>
    <row r="257" s="286" customFormat="1" ht="16.2" customHeight="1"/>
    <row r="258" s="286" customFormat="1" ht="16.2" customHeight="1"/>
    <row r="259" s="286" customFormat="1" ht="16.2" customHeight="1"/>
    <row r="260" s="286" customFormat="1" ht="16.2" customHeight="1"/>
    <row r="261" s="286" customFormat="1" ht="16.2" customHeight="1"/>
    <row r="262" s="286" customFormat="1" ht="16.2" customHeight="1"/>
    <row r="263" s="286" customFormat="1" ht="16.2" customHeight="1"/>
    <row r="264" s="286" customFormat="1" ht="16.2" customHeight="1"/>
    <row r="265" s="286" customFormat="1" ht="16.2" customHeight="1"/>
    <row r="266" s="286" customFormat="1" ht="16.2" customHeight="1"/>
    <row r="267" s="286" customFormat="1" ht="16.2" customHeight="1"/>
    <row r="268" s="286" customFormat="1" ht="16.2" customHeight="1"/>
    <row r="269" s="286" customFormat="1" ht="16.2" customHeight="1"/>
    <row r="270" s="286" customFormat="1" ht="16.2" customHeight="1"/>
    <row r="271" s="286" customFormat="1" ht="16.2" customHeight="1"/>
    <row r="272" s="286" customFormat="1" ht="16.2" customHeight="1"/>
    <row r="273" s="286" customFormat="1" ht="16.2" customHeight="1"/>
    <row r="274" s="286" customFormat="1" ht="16.2" customHeight="1"/>
    <row r="275" s="286" customFormat="1" ht="16.2" customHeight="1"/>
    <row r="276" s="286" customFormat="1" ht="16.2" customHeight="1"/>
    <row r="277" s="286" customFormat="1" ht="16.2" customHeight="1"/>
    <row r="278" s="286" customFormat="1" ht="16.2" customHeight="1"/>
    <row r="279" s="286" customFormat="1" ht="16.2" customHeight="1"/>
    <row r="280" s="286" customFormat="1" ht="16.2" customHeight="1"/>
    <row r="281" s="286" customFormat="1" ht="16.2" customHeight="1"/>
    <row r="282" s="286" customFormat="1" ht="16.2" customHeight="1"/>
    <row r="283" s="286" customFormat="1" ht="16.2" customHeight="1"/>
    <row r="284" s="286" customFormat="1" ht="16.2" customHeight="1"/>
    <row r="285" s="286" customFormat="1" ht="16.2" customHeight="1"/>
    <row r="286" s="286" customFormat="1" ht="16.2" customHeight="1"/>
    <row r="287" s="286" customFormat="1" ht="16.2" customHeight="1"/>
    <row r="288" s="286" customFormat="1" ht="16.2" customHeight="1"/>
    <row r="289" s="286" customFormat="1" ht="16.2" customHeight="1"/>
    <row r="290" s="286" customFormat="1" ht="16.2" customHeight="1"/>
    <row r="291" s="286" customFormat="1" ht="16.2" customHeight="1"/>
    <row r="292" s="286" customFormat="1" ht="16.2" customHeight="1"/>
    <row r="293" s="286" customFormat="1" ht="16.2" customHeight="1"/>
    <row r="294" s="286" customFormat="1" ht="16.2" customHeight="1"/>
    <row r="295" s="286" customFormat="1" ht="16.2" customHeight="1"/>
    <row r="296" s="286" customFormat="1" ht="16.2" customHeight="1"/>
    <row r="297" s="286" customFormat="1" ht="16.2" customHeight="1"/>
    <row r="298" s="286" customFormat="1" ht="16.2" customHeight="1"/>
    <row r="299" s="286" customFormat="1" ht="16.2" customHeight="1"/>
    <row r="300" s="286" customFormat="1" ht="16.2" customHeight="1"/>
    <row r="301" s="286" customFormat="1" ht="16.2" customHeight="1"/>
    <row r="302" s="286" customFormat="1" ht="16.2" customHeight="1"/>
    <row r="303" s="286" customFormat="1" ht="16.2" customHeight="1"/>
    <row r="304" s="286" customFormat="1" ht="16.2" customHeight="1"/>
    <row r="305" s="286" customFormat="1" ht="16.2" customHeight="1"/>
    <row r="306" s="286" customFormat="1" ht="16.2" customHeight="1"/>
    <row r="307" s="286" customFormat="1" ht="16.2" customHeight="1"/>
    <row r="308" s="286" customFormat="1" ht="16.2" customHeight="1"/>
    <row r="309" s="286" customFormat="1" ht="16.2" customHeight="1"/>
    <row r="310" s="286" customFormat="1" ht="16.2" customHeight="1"/>
    <row r="311" s="286" customFormat="1" ht="16.2" customHeight="1"/>
    <row r="312" s="286" customFormat="1" ht="16.2" customHeight="1"/>
    <row r="313" s="286" customFormat="1" ht="16.2" customHeight="1"/>
    <row r="314" s="286" customFormat="1" ht="16.2" customHeight="1"/>
    <row r="315" s="286" customFormat="1" ht="15" customHeight="1"/>
    <row r="316" s="286" customFormat="1" ht="15" customHeight="1"/>
    <row r="317" s="286" customFormat="1" ht="15" customHeight="1"/>
    <row r="318" s="286" customFormat="1" ht="15" customHeight="1"/>
    <row r="319" s="286" customFormat="1" ht="15" customHeight="1"/>
    <row r="320" s="286" customFormat="1" ht="15" customHeight="1"/>
    <row r="321" s="286" customFormat="1" ht="15" customHeight="1"/>
    <row r="322" s="286" customFormat="1" ht="15" customHeight="1"/>
    <row r="323" s="286" customFormat="1" ht="15" customHeight="1"/>
    <row r="324" s="286" customFormat="1" ht="15" customHeight="1"/>
    <row r="325" s="286" customFormat="1" ht="15" customHeight="1"/>
    <row r="326" s="286" customFormat="1" ht="15" customHeight="1"/>
    <row r="327" s="286" customFormat="1" ht="15" customHeight="1"/>
    <row r="328" s="286" customFormat="1" ht="15" customHeight="1"/>
    <row r="329" s="286" customFormat="1" ht="15" customHeight="1"/>
    <row r="330" s="286" customFormat="1" ht="15" customHeight="1"/>
    <row r="331" s="286" customFormat="1" ht="15" customHeight="1"/>
    <row r="332" s="286" customFormat="1" ht="15" customHeight="1"/>
    <row r="333" s="286" customFormat="1" ht="15" customHeight="1"/>
    <row r="334" s="286" customFormat="1" ht="15" customHeight="1"/>
    <row r="335" s="286" customFormat="1" ht="15" customHeight="1"/>
    <row r="336" s="286" customFormat="1" ht="15" customHeight="1"/>
    <row r="337" spans="3:7" ht="15" customHeight="1">
      <c r="C337" s="286"/>
      <c r="D337" s="286"/>
      <c r="E337" s="286"/>
      <c r="F337" s="286"/>
      <c r="G337" s="286"/>
    </row>
    <row r="338" spans="3:7" ht="15" customHeight="1">
      <c r="C338" s="286"/>
      <c r="D338" s="286"/>
      <c r="E338" s="286"/>
      <c r="F338" s="286"/>
      <c r="G338" s="286"/>
    </row>
    <row r="339" spans="3:7" ht="15" customHeight="1">
      <c r="C339" s="286"/>
      <c r="D339" s="286"/>
      <c r="E339" s="286"/>
      <c r="F339" s="286"/>
      <c r="G339" s="286"/>
    </row>
    <row r="340" spans="3:7" ht="15" customHeight="1">
      <c r="C340" s="286"/>
      <c r="D340" s="286"/>
      <c r="E340" s="286"/>
      <c r="F340" s="286"/>
      <c r="G340" s="286"/>
    </row>
    <row r="341" spans="3:7" ht="15" customHeight="1">
      <c r="C341" s="286"/>
      <c r="D341" s="286"/>
      <c r="E341" s="286"/>
      <c r="F341" s="286"/>
      <c r="G341" s="286"/>
    </row>
    <row r="342" spans="3:7" ht="15" customHeight="1">
      <c r="C342" s="286"/>
      <c r="D342" s="286"/>
      <c r="E342" s="286"/>
      <c r="F342" s="286"/>
      <c r="G342" s="286"/>
    </row>
    <row r="343" spans="3:7" ht="15" customHeight="1">
      <c r="C343" s="286"/>
      <c r="D343" s="286"/>
      <c r="E343" s="286"/>
      <c r="F343" s="286"/>
      <c r="G343" s="286"/>
    </row>
    <row r="344" spans="3:7" ht="15" customHeight="1">
      <c r="C344" s="286"/>
      <c r="D344" s="286"/>
      <c r="E344" s="286"/>
      <c r="F344" s="286"/>
      <c r="G344" s="286"/>
    </row>
    <row r="345" spans="3:7" ht="15" customHeight="1">
      <c r="C345" s="286"/>
      <c r="D345" s="286"/>
      <c r="E345" s="286"/>
      <c r="F345" s="286"/>
      <c r="G345" s="286"/>
    </row>
    <row r="346" spans="3:7" ht="15" customHeight="1">
      <c r="C346" s="286"/>
      <c r="D346" s="286"/>
      <c r="E346" s="286"/>
      <c r="F346" s="286"/>
      <c r="G346" s="286"/>
    </row>
    <row r="347" spans="3:7" ht="15" customHeight="1">
      <c r="C347" s="286"/>
      <c r="D347" s="286"/>
      <c r="E347" s="286"/>
      <c r="F347" s="286"/>
      <c r="G347" s="286"/>
    </row>
    <row r="348" spans="3:7" ht="15" customHeight="1">
      <c r="C348" s="286"/>
      <c r="D348" s="286"/>
      <c r="E348" s="286"/>
      <c r="F348" s="286"/>
      <c r="G348" s="286"/>
    </row>
    <row r="349" spans="3:7" ht="15" customHeight="1">
      <c r="C349" s="286"/>
      <c r="D349" s="286"/>
      <c r="E349" s="286"/>
      <c r="F349" s="286"/>
      <c r="G349" s="286"/>
    </row>
    <row r="350" spans="3:7" ht="15" customHeight="1">
      <c r="C350" s="286"/>
      <c r="D350" s="286"/>
      <c r="E350" s="286"/>
      <c r="F350" s="286"/>
      <c r="G350" s="286"/>
    </row>
    <row r="351" spans="3:7" ht="15" customHeight="1"/>
    <row r="352" spans="3:7" ht="15" customHeight="1"/>
    <row r="353" ht="15" customHeight="1"/>
  </sheetData>
  <mergeCells count="45">
    <mergeCell ref="A4:B4"/>
    <mergeCell ref="C4:H4"/>
    <mergeCell ref="A1:B1"/>
    <mergeCell ref="C1:H1"/>
    <mergeCell ref="A2:B2"/>
    <mergeCell ref="C2:H2"/>
    <mergeCell ref="A3:B3"/>
    <mergeCell ref="B52:F52"/>
    <mergeCell ref="A6:H6"/>
    <mergeCell ref="A7:H7"/>
    <mergeCell ref="A8:H8"/>
    <mergeCell ref="A9:H9"/>
    <mergeCell ref="A10:H10"/>
    <mergeCell ref="A11:H11"/>
    <mergeCell ref="B13:F13"/>
    <mergeCell ref="B14:D14"/>
    <mergeCell ref="A23:A24"/>
    <mergeCell ref="B23:B24"/>
    <mergeCell ref="B26:F26"/>
    <mergeCell ref="B64:F64"/>
    <mergeCell ref="B65:F65"/>
    <mergeCell ref="A66:H66"/>
    <mergeCell ref="C107:H107"/>
    <mergeCell ref="A108:B108"/>
    <mergeCell ref="C108:E108"/>
    <mergeCell ref="F108:H108"/>
    <mergeCell ref="C114:E114"/>
    <mergeCell ref="F114:H114"/>
    <mergeCell ref="A116:D116"/>
    <mergeCell ref="E116:H116"/>
    <mergeCell ref="A117:D117"/>
    <mergeCell ref="E117:H117"/>
    <mergeCell ref="A134:H134"/>
    <mergeCell ref="E123:H123"/>
    <mergeCell ref="A124:D124"/>
    <mergeCell ref="E124:H124"/>
    <mergeCell ref="A125:B125"/>
    <mergeCell ref="E125:H125"/>
    <mergeCell ref="A126:D126"/>
    <mergeCell ref="E126:H126"/>
    <mergeCell ref="A127:D127"/>
    <mergeCell ref="A128:D128"/>
    <mergeCell ref="E132:H132"/>
    <mergeCell ref="A133:D133"/>
    <mergeCell ref="E133:H133"/>
  </mergeCells>
  <dataValidations count="3">
    <dataValidation type="list" allowBlank="1" showInputMessage="1" showErrorMessage="1" sqref="B54:B56" xr:uid="{00000000-0002-0000-3E00-000000000000}">
      <formula1>bichphuong</formula1>
    </dataValidation>
    <dataValidation type="list" allowBlank="1" showInputMessage="1" showErrorMessage="1" sqref="UOH53 UEL53 TUP53 TKT53 TAX53 SRB53 SHF53 RXJ53 RNN53 RDR53 QTV53 QJZ53 QAD53 PQH53 PGL53 OWP53 OMT53 OCX53 NTB53 NJF53 MZJ53 MPN53 MFR53 LVV53 LLZ53 LCD53 KSH53 KIL53 JYP53 JOT53 JEX53 IVB53 ILF53 IBJ53 HRN53 HHR53 GXV53 GNZ53 GED53 FUH53 FKL53 FAP53 EQT53 EGX53 DXB53 DNF53 DDJ53 CTN53 CJR53 BZV53 BPZ53 BGD53 AWH53 AML53 ACP53 ST53 IX53 WVJ53 WLN53 WBR53 VRV53 VHZ53 UYD53 WLN28:WLN49 WBR28:WBR49 VRV28:VRV49 VHZ28:VHZ49 UYD28:UYD49 UOH28:UOH49 UEL28:UEL49 TUP28:TUP49 TKT28:TKT49 TAX28:TAX49 SRB28:SRB49 SHF28:SHF49 RXJ28:RXJ49 RNN28:RNN49 RDR28:RDR49 QTV28:QTV49 QJZ28:QJZ49 QAD28:QAD49 PQH28:PQH49 PGL28:PGL49 OWP28:OWP49 OMT28:OMT49 OCX28:OCX49 NTB28:NTB49 NJF28:NJF49 MZJ28:MZJ49 MPN28:MPN49 MFR28:MFR49 LVV28:LVV49 LLZ28:LLZ49 LCD28:LCD49 KSH28:KSH49 KIL28:KIL49 JYP28:JYP49 JOT28:JOT49 JEX28:JEX49 IVB28:IVB49 ILF28:ILF49 IBJ28:IBJ49 HRN28:HRN49 HHR28:HHR49 GXV28:GXV49 GNZ28:GNZ49 GED28:GED49 FUH28:FUH49 FKL28:FKL49 FAP28:FAP49 EQT28:EQT49 EGX28:EGX49 DXB28:DXB49 DNF28:DNF49 DDJ28:DDJ49 CTN28:CTN49 CJR28:CJR49 BZV28:BZV49 BPZ28:BPZ49 BGD28:BGD49 AWH28:AWH49 AML28:AML49 ACP28:ACP49 ST28:ST49 IX28:IX49 WVJ28:WVJ49 UYD57:UYD63 UOH57:UOH63 UEL57:UEL63 TUP57:TUP63 TKT57:TKT63 TAX57:TAX63 SRB57:SRB63 SHF57:SHF63 RXJ57:RXJ63 RNN57:RNN63 RDR57:RDR63 QTV57:QTV63 QJZ57:QJZ63 QAD57:QAD63 PQH57:PQH63 PGL57:PGL63 OWP57:OWP63 OMT57:OMT63 OCX57:OCX63 NTB57:NTB63 NJF57:NJF63 MZJ57:MZJ63 MPN57:MPN63 MFR57:MFR63 LVV57:LVV63 LLZ57:LLZ63 LCD57:LCD63 KSH57:KSH63 KIL57:KIL63 JYP57:JYP63 JOT57:JOT63 JEX57:JEX63 IVB57:IVB63 ILF57:ILF63 IBJ57:IBJ63 HRN57:HRN63 HHR57:HHR63 GXV57:GXV63 GNZ57:GNZ63 GED57:GED63 FUH57:FUH63 FKL57:FKL63 FAP57:FAP63 EQT57:EQT63 EGX57:EGX63 DXB57:DXB63 DNF57:DNF63 DDJ57:DDJ63 CTN57:CTN63 CJR57:CJR63 BZV57:BZV63 BPZ57:BPZ63 BGD57:BGD63 AWH57:AWH63 AML57:AML63 ACP57:ACP63 ST57:ST63 IX57:IX63 WVJ57:WVJ63 WLN57:WLN63 WBR57:WBR63 VRV57:VRV63 VHZ57:VHZ63" xr:uid="{00000000-0002-0000-3E00-000001000000}">
      <formula1>phương</formula1>
    </dataValidation>
    <dataValidation type="list" allowBlank="1" showInputMessage="1" showErrorMessage="1" sqref="B65622:B65639 B131158:B131175 B196694:B196711 B262230:B262247 B327766:B327783 B393302:B393319 B458838:B458855 B524374:B524391 B589910:B589927 B655446:B655463 B720982:B720999 B786518:B786535 B852054:B852071 B917590:B917607 B983126:B983143 IX65622:IX65639 IX131158:IX131175 IX196694:IX196711 IX262230:IX262247 IX327766:IX327783 IX393302:IX393319 IX458838:IX458855 IX524374:IX524391 IX589910:IX589927 IX655446:IX655463 IX720982:IX720999 IX786518:IX786535 IX852054:IX852071 IX917590:IX917607 IX983126:IX983143 ST65622:ST65639 ST131158:ST131175 ST196694:ST196711 ST262230:ST262247 ST327766:ST327783 ST393302:ST393319 ST458838:ST458855 ST524374:ST524391 ST589910:ST589927 ST655446:ST655463 ST720982:ST720999 ST786518:ST786535 ST852054:ST852071 ST917590:ST917607 ST983126:ST983143 ACP65622:ACP65639 ACP131158:ACP131175 ACP196694:ACP196711 ACP262230:ACP262247 ACP327766:ACP327783 ACP393302:ACP393319 ACP458838:ACP458855 ACP524374:ACP524391 ACP589910:ACP589927 ACP655446:ACP655463 ACP720982:ACP720999 ACP786518:ACP786535 ACP852054:ACP852071 ACP917590:ACP917607 ACP983126:ACP983143 AML65622:AML65639 AML131158:AML131175 AML196694:AML196711 AML262230:AML262247 AML327766:AML327783 AML393302:AML393319 AML458838:AML458855 AML524374:AML524391 AML589910:AML589927 AML655446:AML655463 AML720982:AML720999 AML786518:AML786535 AML852054:AML852071 AML917590:AML917607 AML983126:AML983143 AWH65622:AWH65639 AWH131158:AWH131175 AWH196694:AWH196711 AWH262230:AWH262247 AWH327766:AWH327783 AWH393302:AWH393319 AWH458838:AWH458855 AWH524374:AWH524391 AWH589910:AWH589927 AWH655446:AWH655463 AWH720982:AWH720999 AWH786518:AWH786535 AWH852054:AWH852071 AWH917590:AWH917607 AWH983126:AWH983143 BGD65622:BGD65639 BGD131158:BGD131175 BGD196694:BGD196711 BGD262230:BGD262247 BGD327766:BGD327783 BGD393302:BGD393319 BGD458838:BGD458855 BGD524374:BGD524391 BGD589910:BGD589927 BGD655446:BGD655463 BGD720982:BGD720999 BGD786518:BGD786535 BGD852054:BGD852071 BGD917590:BGD917607 BGD983126:BGD983143 BPZ65622:BPZ65639 BPZ131158:BPZ131175 BPZ196694:BPZ196711 BPZ262230:BPZ262247 BPZ327766:BPZ327783 BPZ393302:BPZ393319 BPZ458838:BPZ458855 BPZ524374:BPZ524391 BPZ589910:BPZ589927 BPZ655446:BPZ655463 BPZ720982:BPZ720999 BPZ786518:BPZ786535 BPZ852054:BPZ852071 BPZ917590:BPZ917607 BPZ983126:BPZ983143 BZV65622:BZV65639 BZV131158:BZV131175 BZV196694:BZV196711 BZV262230:BZV262247 BZV327766:BZV327783 BZV393302:BZV393319 BZV458838:BZV458855 BZV524374:BZV524391 BZV589910:BZV589927 BZV655446:BZV655463 BZV720982:BZV720999 BZV786518:BZV786535 BZV852054:BZV852071 BZV917590:BZV917607 BZV983126:BZV983143 CJR65622:CJR65639 CJR131158:CJR131175 CJR196694:CJR196711 CJR262230:CJR262247 CJR327766:CJR327783 CJR393302:CJR393319 CJR458838:CJR458855 CJR524374:CJR524391 CJR589910:CJR589927 CJR655446:CJR655463 CJR720982:CJR720999 CJR786518:CJR786535 CJR852054:CJR852071 CJR917590:CJR917607 CJR983126:CJR983143 CTN65622:CTN65639 CTN131158:CTN131175 CTN196694:CTN196711 CTN262230:CTN262247 CTN327766:CTN327783 CTN393302:CTN393319 CTN458838:CTN458855 CTN524374:CTN524391 CTN589910:CTN589927 CTN655446:CTN655463 CTN720982:CTN720999 CTN786518:CTN786535 CTN852054:CTN852071 CTN917590:CTN917607 CTN983126:CTN983143 DDJ65622:DDJ65639 DDJ131158:DDJ131175 DDJ196694:DDJ196711 DDJ262230:DDJ262247 DDJ327766:DDJ327783 DDJ393302:DDJ393319 DDJ458838:DDJ458855 DDJ524374:DDJ524391 DDJ589910:DDJ589927 DDJ655446:DDJ655463 DDJ720982:DDJ720999 DDJ786518:DDJ786535 DDJ852054:DDJ852071 DDJ917590:DDJ917607 DDJ983126:DDJ983143 DNF65622:DNF65639 DNF131158:DNF131175 DNF196694:DNF196711 DNF262230:DNF262247 DNF327766:DNF327783 DNF393302:DNF393319 DNF458838:DNF458855 DNF524374:DNF524391 DNF589910:DNF589927 DNF655446:DNF655463 DNF720982:DNF720999 DNF786518:DNF786535 DNF852054:DNF852071 DNF917590:DNF917607 DNF983126:DNF983143 DXB65622:DXB65639 DXB131158:DXB131175 DXB196694:DXB196711 DXB262230:DXB262247 DXB327766:DXB327783 DXB393302:DXB393319 DXB458838:DXB458855 DXB524374:DXB524391 DXB589910:DXB589927 DXB655446:DXB655463 DXB720982:DXB720999 DXB786518:DXB786535 DXB852054:DXB852071 DXB917590:DXB917607 DXB983126:DXB983143 EGX65622:EGX65639 EGX131158:EGX131175 EGX196694:EGX196711 EGX262230:EGX262247 EGX327766:EGX327783 EGX393302:EGX393319 EGX458838:EGX458855 EGX524374:EGX524391 EGX589910:EGX589927 EGX655446:EGX655463 EGX720982:EGX720999 EGX786518:EGX786535 EGX852054:EGX852071 EGX917590:EGX917607 EGX983126:EGX983143 EQT65622:EQT65639 EQT131158:EQT131175 EQT196694:EQT196711 EQT262230:EQT262247 EQT327766:EQT327783 EQT393302:EQT393319 EQT458838:EQT458855 EQT524374:EQT524391 EQT589910:EQT589927 EQT655446:EQT655463 EQT720982:EQT720999 EQT786518:EQT786535 EQT852054:EQT852071 EQT917590:EQT917607 EQT983126:EQT983143 FAP65622:FAP65639 FAP131158:FAP131175 FAP196694:FAP196711 FAP262230:FAP262247 FAP327766:FAP327783 FAP393302:FAP393319 FAP458838:FAP458855 FAP524374:FAP524391 FAP589910:FAP589927 FAP655446:FAP655463 FAP720982:FAP720999 FAP786518:FAP786535 FAP852054:FAP852071 FAP917590:FAP917607 FAP983126:FAP983143 FKL65622:FKL65639 FKL131158:FKL131175 FKL196694:FKL196711 FKL262230:FKL262247 FKL327766:FKL327783 FKL393302:FKL393319 FKL458838:FKL458855 FKL524374:FKL524391 FKL589910:FKL589927 FKL655446:FKL655463 FKL720982:FKL720999 FKL786518:FKL786535 FKL852054:FKL852071 FKL917590:FKL917607 FKL983126:FKL983143 FUH65622:FUH65639 FUH131158:FUH131175 FUH196694:FUH196711 FUH262230:FUH262247 FUH327766:FUH327783 FUH393302:FUH393319 FUH458838:FUH458855 FUH524374:FUH524391 FUH589910:FUH589927 FUH655446:FUH655463 FUH720982:FUH720999 FUH786518:FUH786535 FUH852054:FUH852071 FUH917590:FUH917607 FUH983126:FUH983143 GED65622:GED65639 GED131158:GED131175 GED196694:GED196711 GED262230:GED262247 GED327766:GED327783 GED393302:GED393319 GED458838:GED458855 GED524374:GED524391 GED589910:GED589927 GED655446:GED655463 GED720982:GED720999 GED786518:GED786535 GED852054:GED852071 GED917590:GED917607 GED983126:GED983143 GNZ65622:GNZ65639 GNZ131158:GNZ131175 GNZ196694:GNZ196711 GNZ262230:GNZ262247 GNZ327766:GNZ327783 GNZ393302:GNZ393319 GNZ458838:GNZ458855 GNZ524374:GNZ524391 GNZ589910:GNZ589927 GNZ655446:GNZ655463 GNZ720982:GNZ720999 GNZ786518:GNZ786535 GNZ852054:GNZ852071 GNZ917590:GNZ917607 GNZ983126:GNZ983143 GXV65622:GXV65639 GXV131158:GXV131175 GXV196694:GXV196711 GXV262230:GXV262247 GXV327766:GXV327783 GXV393302:GXV393319 GXV458838:GXV458855 GXV524374:GXV524391 GXV589910:GXV589927 GXV655446:GXV655463 GXV720982:GXV720999 GXV786518:GXV786535 GXV852054:GXV852071 GXV917590:GXV917607 GXV983126:GXV983143 HHR65622:HHR65639 HHR131158:HHR131175 HHR196694:HHR196711 HHR262230:HHR262247 HHR327766:HHR327783 HHR393302:HHR393319 HHR458838:HHR458855 HHR524374:HHR524391 HHR589910:HHR589927 HHR655446:HHR655463 HHR720982:HHR720999 HHR786518:HHR786535 HHR852054:HHR852071 HHR917590:HHR917607 HHR983126:HHR983143 HRN65622:HRN65639 HRN131158:HRN131175 HRN196694:HRN196711 HRN262230:HRN262247 HRN327766:HRN327783 HRN393302:HRN393319 HRN458838:HRN458855 HRN524374:HRN524391 HRN589910:HRN589927 HRN655446:HRN655463 HRN720982:HRN720999 HRN786518:HRN786535 HRN852054:HRN852071 HRN917590:HRN917607 HRN983126:HRN983143 IBJ65622:IBJ65639 IBJ131158:IBJ131175 IBJ196694:IBJ196711 IBJ262230:IBJ262247 IBJ327766:IBJ327783 IBJ393302:IBJ393319 IBJ458838:IBJ458855 IBJ524374:IBJ524391 IBJ589910:IBJ589927 IBJ655446:IBJ655463 IBJ720982:IBJ720999 IBJ786518:IBJ786535 IBJ852054:IBJ852071 IBJ917590:IBJ917607 IBJ983126:IBJ983143 ILF65622:ILF65639 ILF131158:ILF131175 ILF196694:ILF196711 ILF262230:ILF262247 ILF327766:ILF327783 ILF393302:ILF393319 ILF458838:ILF458855 ILF524374:ILF524391 ILF589910:ILF589927 ILF655446:ILF655463 ILF720982:ILF720999 ILF786518:ILF786535 ILF852054:ILF852071 ILF917590:ILF917607 ILF983126:ILF983143 IVB65622:IVB65639 IVB131158:IVB131175 IVB196694:IVB196711 IVB262230:IVB262247 IVB327766:IVB327783 IVB393302:IVB393319 IVB458838:IVB458855 IVB524374:IVB524391 IVB589910:IVB589927 IVB655446:IVB655463 IVB720982:IVB720999 IVB786518:IVB786535 IVB852054:IVB852071 IVB917590:IVB917607 IVB983126:IVB983143 JEX65622:JEX65639 JEX131158:JEX131175 JEX196694:JEX196711 JEX262230:JEX262247 JEX327766:JEX327783 JEX393302:JEX393319 JEX458838:JEX458855 JEX524374:JEX524391 JEX589910:JEX589927 JEX655446:JEX655463 JEX720982:JEX720999 JEX786518:JEX786535 JEX852054:JEX852071 JEX917590:JEX917607 JEX983126:JEX983143 JOT65622:JOT65639 JOT131158:JOT131175 JOT196694:JOT196711 JOT262230:JOT262247 JOT327766:JOT327783 JOT393302:JOT393319 JOT458838:JOT458855 JOT524374:JOT524391 JOT589910:JOT589927 JOT655446:JOT655463 JOT720982:JOT720999 JOT786518:JOT786535 JOT852054:JOT852071 JOT917590:JOT917607 JOT983126:JOT983143 JYP65622:JYP65639 JYP131158:JYP131175 JYP196694:JYP196711 JYP262230:JYP262247 JYP327766:JYP327783 JYP393302:JYP393319 JYP458838:JYP458855 JYP524374:JYP524391 JYP589910:JYP589927 JYP655446:JYP655463 JYP720982:JYP720999 JYP786518:JYP786535 JYP852054:JYP852071 JYP917590:JYP917607 JYP983126:JYP983143 KIL65622:KIL65639 KIL131158:KIL131175 KIL196694:KIL196711 KIL262230:KIL262247 KIL327766:KIL327783 KIL393302:KIL393319 KIL458838:KIL458855 KIL524374:KIL524391 KIL589910:KIL589927 KIL655446:KIL655463 KIL720982:KIL720999 KIL786518:KIL786535 KIL852054:KIL852071 KIL917590:KIL917607 KIL983126:KIL983143 KSH65622:KSH65639 KSH131158:KSH131175 KSH196694:KSH196711 KSH262230:KSH262247 KSH327766:KSH327783 KSH393302:KSH393319 KSH458838:KSH458855 KSH524374:KSH524391 KSH589910:KSH589927 KSH655446:KSH655463 KSH720982:KSH720999 KSH786518:KSH786535 KSH852054:KSH852071 KSH917590:KSH917607 KSH983126:KSH983143 LCD65622:LCD65639 LCD131158:LCD131175 LCD196694:LCD196711 LCD262230:LCD262247 LCD327766:LCD327783 LCD393302:LCD393319 LCD458838:LCD458855 LCD524374:LCD524391 LCD589910:LCD589927 LCD655446:LCD655463 LCD720982:LCD720999 LCD786518:LCD786535 LCD852054:LCD852071 LCD917590:LCD917607 LCD983126:LCD983143 LLZ65622:LLZ65639 LLZ131158:LLZ131175 LLZ196694:LLZ196711 LLZ262230:LLZ262247 LLZ327766:LLZ327783 LLZ393302:LLZ393319 LLZ458838:LLZ458855 LLZ524374:LLZ524391 LLZ589910:LLZ589927 LLZ655446:LLZ655463 LLZ720982:LLZ720999 LLZ786518:LLZ786535 LLZ852054:LLZ852071 LLZ917590:LLZ917607 LLZ983126:LLZ983143 LVV65622:LVV65639 LVV131158:LVV131175 LVV196694:LVV196711 LVV262230:LVV262247 LVV327766:LVV327783 LVV393302:LVV393319 LVV458838:LVV458855 LVV524374:LVV524391 LVV589910:LVV589927 LVV655446:LVV655463 LVV720982:LVV720999 LVV786518:LVV786535 LVV852054:LVV852071 LVV917590:LVV917607 LVV983126:LVV983143 MFR65622:MFR65639 MFR131158:MFR131175 MFR196694:MFR196711 MFR262230:MFR262247 MFR327766:MFR327783 MFR393302:MFR393319 MFR458838:MFR458855 MFR524374:MFR524391 MFR589910:MFR589927 MFR655446:MFR655463 MFR720982:MFR720999 MFR786518:MFR786535 MFR852054:MFR852071 MFR917590:MFR917607 MFR983126:MFR983143 MPN65622:MPN65639 MPN131158:MPN131175 MPN196694:MPN196711 MPN262230:MPN262247 MPN327766:MPN327783 MPN393302:MPN393319 MPN458838:MPN458855 MPN524374:MPN524391 MPN589910:MPN589927 MPN655446:MPN655463 MPN720982:MPN720999 MPN786518:MPN786535 MPN852054:MPN852071 MPN917590:MPN917607 MPN983126:MPN983143 MZJ65622:MZJ65639 MZJ131158:MZJ131175 MZJ196694:MZJ196711 MZJ262230:MZJ262247 MZJ327766:MZJ327783 MZJ393302:MZJ393319 MZJ458838:MZJ458855 MZJ524374:MZJ524391 MZJ589910:MZJ589927 MZJ655446:MZJ655463 MZJ720982:MZJ720999 MZJ786518:MZJ786535 MZJ852054:MZJ852071 MZJ917590:MZJ917607 MZJ983126:MZJ983143 NJF65622:NJF65639 NJF131158:NJF131175 NJF196694:NJF196711 NJF262230:NJF262247 NJF327766:NJF327783 NJF393302:NJF393319 NJF458838:NJF458855 NJF524374:NJF524391 NJF589910:NJF589927 NJF655446:NJF655463 NJF720982:NJF720999 NJF786518:NJF786535 NJF852054:NJF852071 NJF917590:NJF917607 NJF983126:NJF983143 NTB65622:NTB65639 NTB131158:NTB131175 NTB196694:NTB196711 NTB262230:NTB262247 NTB327766:NTB327783 NTB393302:NTB393319 NTB458838:NTB458855 NTB524374:NTB524391 NTB589910:NTB589927 NTB655446:NTB655463 NTB720982:NTB720999 NTB786518:NTB786535 NTB852054:NTB852071 NTB917590:NTB917607 NTB983126:NTB983143 OCX65622:OCX65639 OCX131158:OCX131175 OCX196694:OCX196711 OCX262230:OCX262247 OCX327766:OCX327783 OCX393302:OCX393319 OCX458838:OCX458855 OCX524374:OCX524391 OCX589910:OCX589927 OCX655446:OCX655463 OCX720982:OCX720999 OCX786518:OCX786535 OCX852054:OCX852071 OCX917590:OCX917607 OCX983126:OCX983143 OMT65622:OMT65639 OMT131158:OMT131175 OMT196694:OMT196711 OMT262230:OMT262247 OMT327766:OMT327783 OMT393302:OMT393319 OMT458838:OMT458855 OMT524374:OMT524391 OMT589910:OMT589927 OMT655446:OMT655463 OMT720982:OMT720999 OMT786518:OMT786535 OMT852054:OMT852071 OMT917590:OMT917607 OMT983126:OMT983143 OWP65622:OWP65639 OWP131158:OWP131175 OWP196694:OWP196711 OWP262230:OWP262247 OWP327766:OWP327783 OWP393302:OWP393319 OWP458838:OWP458855 OWP524374:OWP524391 OWP589910:OWP589927 OWP655446:OWP655463 OWP720982:OWP720999 OWP786518:OWP786535 OWP852054:OWP852071 OWP917590:OWP917607 OWP983126:OWP983143 PGL65622:PGL65639 PGL131158:PGL131175 PGL196694:PGL196711 PGL262230:PGL262247 PGL327766:PGL327783 PGL393302:PGL393319 PGL458838:PGL458855 PGL524374:PGL524391 PGL589910:PGL589927 PGL655446:PGL655463 PGL720982:PGL720999 PGL786518:PGL786535 PGL852054:PGL852071 PGL917590:PGL917607 PGL983126:PGL983143 PQH65622:PQH65639 PQH131158:PQH131175 PQH196694:PQH196711 PQH262230:PQH262247 PQH327766:PQH327783 PQH393302:PQH393319 PQH458838:PQH458855 PQH524374:PQH524391 PQH589910:PQH589927 PQH655446:PQH655463 PQH720982:PQH720999 PQH786518:PQH786535 PQH852054:PQH852071 PQH917590:PQH917607 PQH983126:PQH983143 QAD65622:QAD65639 QAD131158:QAD131175 QAD196694:QAD196711 QAD262230:QAD262247 QAD327766:QAD327783 QAD393302:QAD393319 QAD458838:QAD458855 QAD524374:QAD524391 QAD589910:QAD589927 QAD655446:QAD655463 QAD720982:QAD720999 QAD786518:QAD786535 QAD852054:QAD852071 QAD917590:QAD917607 QAD983126:QAD983143 QJZ65622:QJZ65639 QJZ131158:QJZ131175 QJZ196694:QJZ196711 QJZ262230:QJZ262247 QJZ327766:QJZ327783 QJZ393302:QJZ393319 QJZ458838:QJZ458855 QJZ524374:QJZ524391 QJZ589910:QJZ589927 QJZ655446:QJZ655463 QJZ720982:QJZ720999 QJZ786518:QJZ786535 QJZ852054:QJZ852071 QJZ917590:QJZ917607 QJZ983126:QJZ983143 QTV65622:QTV65639 QTV131158:QTV131175 QTV196694:QTV196711 QTV262230:QTV262247 QTV327766:QTV327783 QTV393302:QTV393319 QTV458838:QTV458855 QTV524374:QTV524391 QTV589910:QTV589927 QTV655446:QTV655463 QTV720982:QTV720999 QTV786518:QTV786535 QTV852054:QTV852071 QTV917590:QTV917607 QTV983126:QTV983143 RDR65622:RDR65639 RDR131158:RDR131175 RDR196694:RDR196711 RDR262230:RDR262247 RDR327766:RDR327783 RDR393302:RDR393319 RDR458838:RDR458855 RDR524374:RDR524391 RDR589910:RDR589927 RDR655446:RDR655463 RDR720982:RDR720999 RDR786518:RDR786535 RDR852054:RDR852071 RDR917590:RDR917607 RDR983126:RDR983143 RNN65622:RNN65639 RNN131158:RNN131175 RNN196694:RNN196711 RNN262230:RNN262247 RNN327766:RNN327783 RNN393302:RNN393319 RNN458838:RNN458855 RNN524374:RNN524391 RNN589910:RNN589927 RNN655446:RNN655463 RNN720982:RNN720999 RNN786518:RNN786535 RNN852054:RNN852071 RNN917590:RNN917607 RNN983126:RNN983143 RXJ65622:RXJ65639 RXJ131158:RXJ131175 RXJ196694:RXJ196711 RXJ262230:RXJ262247 RXJ327766:RXJ327783 RXJ393302:RXJ393319 RXJ458838:RXJ458855 RXJ524374:RXJ524391 RXJ589910:RXJ589927 RXJ655446:RXJ655463 RXJ720982:RXJ720999 RXJ786518:RXJ786535 RXJ852054:RXJ852071 RXJ917590:RXJ917607 RXJ983126:RXJ983143 SHF65622:SHF65639 SHF131158:SHF131175 SHF196694:SHF196711 SHF262230:SHF262247 SHF327766:SHF327783 SHF393302:SHF393319 SHF458838:SHF458855 SHF524374:SHF524391 SHF589910:SHF589927 SHF655446:SHF655463 SHF720982:SHF720999 SHF786518:SHF786535 SHF852054:SHF852071 SHF917590:SHF917607 SHF983126:SHF983143 SRB65622:SRB65639 SRB131158:SRB131175 SRB196694:SRB196711 SRB262230:SRB262247 SRB327766:SRB327783 SRB393302:SRB393319 SRB458838:SRB458855 SRB524374:SRB524391 SRB589910:SRB589927 SRB655446:SRB655463 SRB720982:SRB720999 SRB786518:SRB786535 SRB852054:SRB852071 SRB917590:SRB917607 SRB983126:SRB983143 TAX65622:TAX65639 TAX131158:TAX131175 TAX196694:TAX196711 TAX262230:TAX262247 TAX327766:TAX327783 TAX393302:TAX393319 TAX458838:TAX458855 TAX524374:TAX524391 TAX589910:TAX589927 TAX655446:TAX655463 TAX720982:TAX720999 TAX786518:TAX786535 TAX852054:TAX852071 TAX917590:TAX917607 TAX983126:TAX983143 TKT65622:TKT65639 TKT131158:TKT131175 TKT196694:TKT196711 TKT262230:TKT262247 TKT327766:TKT327783 TKT393302:TKT393319 TKT458838:TKT458855 TKT524374:TKT524391 TKT589910:TKT589927 TKT655446:TKT655463 TKT720982:TKT720999 TKT786518:TKT786535 TKT852054:TKT852071 TKT917590:TKT917607 TKT983126:TKT983143 TUP65622:TUP65639 TUP131158:TUP131175 TUP196694:TUP196711 TUP262230:TUP262247 TUP327766:TUP327783 TUP393302:TUP393319 TUP458838:TUP458855 TUP524374:TUP524391 TUP589910:TUP589927 TUP655446:TUP655463 TUP720982:TUP720999 TUP786518:TUP786535 TUP852054:TUP852071 TUP917590:TUP917607 TUP983126:TUP983143 UEL65622:UEL65639 UEL131158:UEL131175 UEL196694:UEL196711 UEL262230:UEL262247 UEL327766:UEL327783 UEL393302:UEL393319 UEL458838:UEL458855 UEL524374:UEL524391 UEL589910:UEL589927 UEL655446:UEL655463 UEL720982:UEL720999 UEL786518:UEL786535 UEL852054:UEL852071 UEL917590:UEL917607 UEL983126:UEL983143 UOH65622:UOH65639 UOH131158:UOH131175 UOH196694:UOH196711 UOH262230:UOH262247 UOH327766:UOH327783 UOH393302:UOH393319 UOH458838:UOH458855 UOH524374:UOH524391 UOH589910:UOH589927 UOH655446:UOH655463 UOH720982:UOH720999 UOH786518:UOH786535 UOH852054:UOH852071 UOH917590:UOH917607 UOH983126:UOH983143 UYD65622:UYD65639 UYD131158:UYD131175 UYD196694:UYD196711 UYD262230:UYD262247 UYD327766:UYD327783 UYD393302:UYD393319 UYD458838:UYD458855 UYD524374:UYD524391 UYD589910:UYD589927 UYD655446:UYD655463 UYD720982:UYD720999 UYD786518:UYD786535 UYD852054:UYD852071 UYD917590:UYD917607 UYD983126:UYD983143 VHZ65622:VHZ65639 VHZ131158:VHZ131175 VHZ196694:VHZ196711 VHZ262230:VHZ262247 VHZ327766:VHZ327783 VHZ393302:VHZ393319 VHZ458838:VHZ458855 VHZ524374:VHZ524391 VHZ589910:VHZ589927 VHZ655446:VHZ655463 VHZ720982:VHZ720999 VHZ786518:VHZ786535 VHZ852054:VHZ852071 VHZ917590:VHZ917607 VHZ983126:VHZ983143 VRV65622:VRV65639 VRV131158:VRV131175 VRV196694:VRV196711 VRV262230:VRV262247 VRV327766:VRV327783 VRV393302:VRV393319 VRV458838:VRV458855 VRV524374:VRV524391 VRV589910:VRV589927 VRV655446:VRV655463 VRV720982:VRV720999 VRV786518:VRV786535 VRV852054:VRV852071 VRV917590:VRV917607 VRV983126:VRV983143 WBR65622:WBR65639 WBR131158:WBR131175 WBR196694:WBR196711 WBR262230:WBR262247 WBR327766:WBR327783 WBR393302:WBR393319 WBR458838:WBR458855 WBR524374:WBR524391 WBR589910:WBR589927 WBR655446:WBR655463 WBR720982:WBR720999 WBR786518:WBR786535 WBR852054:WBR852071 WBR917590:WBR917607 WBR983126:WBR983143 WLN65622:WLN65639 WLN131158:WLN131175 WLN196694:WLN196711 WLN262230:WLN262247 WLN327766:WLN327783 WLN393302:WLN393319 WLN458838:WLN458855 WLN524374:WLN524391 WLN589910:WLN589927 WLN655446:WLN655463 WLN720982:WLN720999 WLN786518:WLN786535 WLN852054:WLN852071 WLN917590:WLN917607 WLN983126:WLN983143 WVJ65622:WVJ65639 WVJ131158:WVJ131175 WVJ196694:WVJ196711 WVJ262230:WVJ262247 WVJ327766:WVJ327783 WVJ393302:WVJ393319 WVJ458838:WVJ458855 WVJ524374:WVJ524391 WVJ589910:WVJ589927 WVJ655446:WVJ655463 WVJ720982:WVJ720999 WVJ786518:WVJ786535 WVJ852054:WVJ852071 WVJ917590:WVJ917607 WVJ983126:WVJ983143" xr:uid="{00000000-0002-0000-3E00-000002000000}">
      <formula1>trung</formula1>
    </dataValidation>
  </dataValidations>
  <pageMargins left="0.56999999999999995" right="0.41" top="0.51" bottom="0.5600000000000000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327"/>
  <sheetViews>
    <sheetView topLeftCell="A36"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9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2425</v>
      </c>
      <c r="B8" s="420"/>
      <c r="C8" s="420"/>
      <c r="D8" s="420"/>
      <c r="E8" s="420"/>
      <c r="F8" s="420"/>
      <c r="G8" s="420"/>
      <c r="H8" s="420"/>
    </row>
    <row r="9" spans="1:8" s="98" customFormat="1" ht="23.25" customHeight="1">
      <c r="A9" s="420" t="s">
        <v>2383</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40.5" customHeight="1">
      <c r="A13" s="96" t="s">
        <v>17</v>
      </c>
      <c r="B13" s="425" t="s">
        <v>2426</v>
      </c>
      <c r="C13" s="425"/>
      <c r="D13" s="425"/>
      <c r="E13" s="425"/>
      <c r="F13" s="425"/>
      <c r="G13" s="73">
        <f>G14+G16</f>
        <v>12692800</v>
      </c>
      <c r="H13" s="74"/>
    </row>
    <row r="14" spans="1:8" s="12" customFormat="1" ht="21.75" customHeight="1">
      <c r="A14" s="212">
        <v>1</v>
      </c>
      <c r="B14" s="452" t="s">
        <v>2102</v>
      </c>
      <c r="C14" s="452"/>
      <c r="D14" s="452"/>
      <c r="E14" s="213"/>
      <c r="F14" s="214"/>
      <c r="G14" s="215">
        <f>G15</f>
        <v>5776000</v>
      </c>
      <c r="H14" s="216"/>
    </row>
    <row r="15" spans="1:8" s="12" customFormat="1" ht="46.8">
      <c r="A15" s="212"/>
      <c r="B15" s="124" t="s">
        <v>2360</v>
      </c>
      <c r="C15" s="220" t="s">
        <v>2120</v>
      </c>
      <c r="D15" s="221">
        <v>72.2</v>
      </c>
      <c r="E15" s="222">
        <v>80000</v>
      </c>
      <c r="F15" s="223">
        <v>1</v>
      </c>
      <c r="G15" s="225">
        <f>D15*E15*F15</f>
        <v>5776000</v>
      </c>
      <c r="H15" s="216"/>
    </row>
    <row r="16" spans="1:8" s="12" customFormat="1" ht="21.75" customHeight="1">
      <c r="A16" s="212">
        <v>2</v>
      </c>
      <c r="B16" s="219" t="s">
        <v>2116</v>
      </c>
      <c r="C16" s="220"/>
      <c r="D16" s="221"/>
      <c r="E16" s="222"/>
      <c r="F16" s="223"/>
      <c r="G16" s="224">
        <f>G18+G19</f>
        <v>6916800</v>
      </c>
      <c r="H16" s="216"/>
    </row>
    <row r="17" spans="1:9" s="229" customFormat="1" ht="204" customHeight="1">
      <c r="A17" s="454" t="s">
        <v>2117</v>
      </c>
      <c r="B17" s="456" t="s">
        <v>2123</v>
      </c>
      <c r="C17" s="227" t="s">
        <v>2124</v>
      </c>
      <c r="D17" s="227" t="s">
        <v>2125</v>
      </c>
      <c r="E17" s="228" t="s">
        <v>2126</v>
      </c>
      <c r="F17" s="227" t="s">
        <v>2127</v>
      </c>
      <c r="G17" s="227" t="s">
        <v>2128</v>
      </c>
      <c r="H17" s="227" t="s">
        <v>2129</v>
      </c>
    </row>
    <row r="18" spans="1:9" s="229" customFormat="1" ht="47.25" customHeight="1">
      <c r="A18" s="455"/>
      <c r="B18" s="457"/>
      <c r="C18" s="278">
        <v>4</v>
      </c>
      <c r="D18" s="279">
        <f>IF(H18&lt;30%,3,IF(H18&lt;70%,6,IF(H18&gt;70%,12,0)))</f>
        <v>3</v>
      </c>
      <c r="E18" s="349">
        <v>14400</v>
      </c>
      <c r="F18" s="281">
        <f>IF(H18&lt;30%,30,IF(H18&gt;30%,30))</f>
        <v>30</v>
      </c>
      <c r="G18" s="282">
        <f>C18*D18*E18*F18</f>
        <v>5184000</v>
      </c>
      <c r="H18" s="283">
        <f>D15/1108</f>
        <v>6.5162454873646206E-2</v>
      </c>
    </row>
    <row r="19" spans="1:9" s="229" customFormat="1" ht="96.6">
      <c r="A19" s="237" t="s">
        <v>2122</v>
      </c>
      <c r="B19" s="238" t="s">
        <v>2131</v>
      </c>
      <c r="C19" s="239" t="s">
        <v>66</v>
      </c>
      <c r="D19" s="240">
        <f>D15</f>
        <v>72.2</v>
      </c>
      <c r="E19" s="241">
        <v>80000</v>
      </c>
      <c r="F19" s="242">
        <f>30%</f>
        <v>0.3</v>
      </c>
      <c r="G19" s="246">
        <f>D19*E19*F19</f>
        <v>1732800</v>
      </c>
      <c r="H19" s="244"/>
      <c r="I19" s="245"/>
    </row>
    <row r="20" spans="1:9" ht="27" customHeight="1">
      <c r="A20" s="75" t="s">
        <v>18</v>
      </c>
      <c r="B20" s="426" t="s">
        <v>1725</v>
      </c>
      <c r="C20" s="426"/>
      <c r="D20" s="426"/>
      <c r="E20" s="426"/>
      <c r="F20" s="426"/>
      <c r="G20" s="76">
        <f>SUM(G21:G35)</f>
        <v>9700403.7813679986</v>
      </c>
      <c r="H20" s="11"/>
    </row>
    <row r="21" spans="1:9" ht="30.6" customHeight="1">
      <c r="A21" s="77">
        <v>1</v>
      </c>
      <c r="B21" s="78" t="s">
        <v>2427</v>
      </c>
      <c r="C21" s="14" t="s">
        <v>1754</v>
      </c>
      <c r="D21" s="132">
        <f>17*5*0.1</f>
        <v>8.5</v>
      </c>
      <c r="E21" s="15">
        <v>1629758</v>
      </c>
      <c r="F21" s="187">
        <v>0.2</v>
      </c>
      <c r="G21" s="79">
        <f t="shared" ref="G21:G35" si="0">D21*E21*F21</f>
        <v>2770588.6</v>
      </c>
      <c r="H21" s="15"/>
    </row>
    <row r="22" spans="1:9" ht="30.6" customHeight="1">
      <c r="A22" s="77">
        <v>2</v>
      </c>
      <c r="B22" s="78" t="s">
        <v>2428</v>
      </c>
      <c r="C22" s="14" t="s">
        <v>1754</v>
      </c>
      <c r="D22" s="132">
        <f>0.15*0.15*4*6</f>
        <v>0.54</v>
      </c>
      <c r="E22" s="15">
        <v>7050138</v>
      </c>
      <c r="F22" s="187">
        <v>0.2</v>
      </c>
      <c r="G22" s="79">
        <f t="shared" si="0"/>
        <v>761414.9040000001</v>
      </c>
      <c r="H22" s="15"/>
    </row>
    <row r="23" spans="1:9" ht="31.2">
      <c r="A23" s="77">
        <v>3</v>
      </c>
      <c r="B23" s="78" t="s">
        <v>2429</v>
      </c>
      <c r="C23" s="14" t="s">
        <v>1754</v>
      </c>
      <c r="D23" s="132">
        <f>(2.7+2.4+3)*1.5*0.11</f>
        <v>1.3364999999999998</v>
      </c>
      <c r="E23" s="15">
        <v>2126713</v>
      </c>
      <c r="F23" s="187">
        <v>0.2</v>
      </c>
      <c r="G23" s="79">
        <f t="shared" si="0"/>
        <v>568470.38489999995</v>
      </c>
      <c r="H23" s="15"/>
    </row>
    <row r="24" spans="1:9" ht="30.6" customHeight="1">
      <c r="A24" s="77"/>
      <c r="B24" s="78" t="s">
        <v>2430</v>
      </c>
      <c r="C24" s="14" t="s">
        <v>66</v>
      </c>
      <c r="D24" s="132">
        <f>(2.7+2.4+3)*1.5*2</f>
        <v>24.299999999999997</v>
      </c>
      <c r="E24" s="15">
        <v>141099</v>
      </c>
      <c r="F24" s="187">
        <v>0.2</v>
      </c>
      <c r="G24" s="79">
        <f t="shared" si="0"/>
        <v>685741.14</v>
      </c>
      <c r="H24" s="15"/>
    </row>
    <row r="25" spans="1:9" ht="46.8">
      <c r="A25" s="77">
        <v>4</v>
      </c>
      <c r="B25" s="78" t="s">
        <v>2431</v>
      </c>
      <c r="C25" s="14" t="s">
        <v>1754</v>
      </c>
      <c r="D25" s="132">
        <f>2*1*0.11+4*0.3*0.11*2</f>
        <v>0.48399999999999999</v>
      </c>
      <c r="E25" s="15">
        <v>2126713</v>
      </c>
      <c r="F25" s="187">
        <v>0.2</v>
      </c>
      <c r="G25" s="79">
        <f t="shared" si="0"/>
        <v>205865.81839999999</v>
      </c>
      <c r="H25" s="15"/>
    </row>
    <row r="26" spans="1:9" ht="30.6" customHeight="1">
      <c r="A26" s="77">
        <v>5</v>
      </c>
      <c r="B26" s="78" t="s">
        <v>2432</v>
      </c>
      <c r="C26" s="14" t="s">
        <v>1754</v>
      </c>
      <c r="D26" s="132">
        <f>0.35*0.35*3*3</f>
        <v>1.1024999999999998</v>
      </c>
      <c r="E26" s="15">
        <v>2623803</v>
      </c>
      <c r="F26" s="187">
        <v>0.2</v>
      </c>
      <c r="G26" s="79">
        <f t="shared" si="0"/>
        <v>578548.56149999995</v>
      </c>
      <c r="H26" s="15"/>
    </row>
    <row r="27" spans="1:9" ht="30.6" customHeight="1">
      <c r="A27" s="77"/>
      <c r="B27" s="78" t="s">
        <v>2433</v>
      </c>
      <c r="C27" s="14" t="s">
        <v>66</v>
      </c>
      <c r="D27" s="132">
        <f>0.35*3*4*3</f>
        <v>12.599999999999998</v>
      </c>
      <c r="E27" s="79">
        <v>250492</v>
      </c>
      <c r="F27" s="187">
        <v>0.2</v>
      </c>
      <c r="G27" s="79">
        <f t="shared" si="0"/>
        <v>631239.83999999985</v>
      </c>
      <c r="H27" s="15"/>
    </row>
    <row r="28" spans="1:9" ht="30.6" customHeight="1">
      <c r="A28" s="77">
        <v>6</v>
      </c>
      <c r="B28" s="78" t="s">
        <v>2434</v>
      </c>
      <c r="C28" s="14" t="s">
        <v>1754</v>
      </c>
      <c r="D28" s="132">
        <f>0.22*0.22*1.7*1</f>
        <v>8.2279999999999992E-2</v>
      </c>
      <c r="E28" s="15">
        <v>2623803</v>
      </c>
      <c r="F28" s="187">
        <v>0.2</v>
      </c>
      <c r="G28" s="79">
        <f t="shared" si="0"/>
        <v>43177.302167999995</v>
      </c>
      <c r="H28" s="15"/>
    </row>
    <row r="29" spans="1:9" ht="30.6" customHeight="1">
      <c r="A29" s="77"/>
      <c r="B29" s="78" t="s">
        <v>2435</v>
      </c>
      <c r="C29" s="14" t="s">
        <v>66</v>
      </c>
      <c r="D29" s="132">
        <f>0.22*1.7*4</f>
        <v>1.496</v>
      </c>
      <c r="E29" s="79">
        <v>250492</v>
      </c>
      <c r="F29" s="187">
        <v>0.2</v>
      </c>
      <c r="G29" s="79">
        <f t="shared" si="0"/>
        <v>74947.20640000001</v>
      </c>
      <c r="H29" s="15"/>
    </row>
    <row r="30" spans="1:9" ht="30.6" customHeight="1">
      <c r="A30" s="77">
        <v>7</v>
      </c>
      <c r="B30" s="78" t="s">
        <v>2436</v>
      </c>
      <c r="C30" s="14" t="s">
        <v>1755</v>
      </c>
      <c r="D30" s="132">
        <f>(3.76/6)*8*4*3</f>
        <v>60.16</v>
      </c>
      <c r="E30" s="79">
        <v>19900</v>
      </c>
      <c r="F30" s="187">
        <v>0.2</v>
      </c>
      <c r="G30" s="79">
        <f t="shared" si="0"/>
        <v>239436.80000000002</v>
      </c>
      <c r="H30" s="15"/>
    </row>
    <row r="31" spans="1:9" ht="30.6" customHeight="1">
      <c r="A31" s="77">
        <v>8</v>
      </c>
      <c r="B31" s="78" t="s">
        <v>2437</v>
      </c>
      <c r="C31" s="14" t="s">
        <v>1754</v>
      </c>
      <c r="D31" s="132">
        <f>0.2*0.2*3</f>
        <v>0.12000000000000002</v>
      </c>
      <c r="E31" s="79">
        <v>8244016</v>
      </c>
      <c r="F31" s="187">
        <v>0.2</v>
      </c>
      <c r="G31" s="79">
        <f t="shared" si="0"/>
        <v>197856.38400000005</v>
      </c>
      <c r="H31" s="15"/>
    </row>
    <row r="32" spans="1:9" ht="30.6" customHeight="1">
      <c r="A32" s="77">
        <v>9</v>
      </c>
      <c r="B32" s="78" t="s">
        <v>2438</v>
      </c>
      <c r="C32" s="14" t="s">
        <v>66</v>
      </c>
      <c r="D32" s="132">
        <f>1.5*10+0.8*8.5</f>
        <v>21.8</v>
      </c>
      <c r="E32" s="79">
        <v>103000</v>
      </c>
      <c r="F32" s="187">
        <v>0.2</v>
      </c>
      <c r="G32" s="79">
        <f t="shared" si="0"/>
        <v>449080</v>
      </c>
      <c r="H32" s="15"/>
    </row>
    <row r="33" spans="1:8" ht="30.6" customHeight="1">
      <c r="A33" s="77">
        <v>10</v>
      </c>
      <c r="B33" s="78" t="s">
        <v>2439</v>
      </c>
      <c r="C33" s="14" t="s">
        <v>66</v>
      </c>
      <c r="D33" s="132">
        <f>3*1.6*2</f>
        <v>9.6000000000000014</v>
      </c>
      <c r="E33" s="79">
        <v>550000</v>
      </c>
      <c r="F33" s="187">
        <v>0.2</v>
      </c>
      <c r="G33" s="79">
        <f t="shared" si="0"/>
        <v>1056000.0000000002</v>
      </c>
      <c r="H33" s="15"/>
    </row>
    <row r="34" spans="1:8" ht="30.6" customHeight="1">
      <c r="A34" s="77">
        <v>11</v>
      </c>
      <c r="B34" s="78" t="s">
        <v>2440</v>
      </c>
      <c r="C34" s="14" t="s">
        <v>66</v>
      </c>
      <c r="D34" s="132">
        <f>8*2.2</f>
        <v>17.600000000000001</v>
      </c>
      <c r="E34" s="79">
        <v>316942</v>
      </c>
      <c r="F34" s="187">
        <v>0.2</v>
      </c>
      <c r="G34" s="79">
        <f t="shared" si="0"/>
        <v>1115635.8400000001</v>
      </c>
      <c r="H34" s="15"/>
    </row>
    <row r="35" spans="1:8" ht="30.6" customHeight="1">
      <c r="A35" s="77">
        <v>12</v>
      </c>
      <c r="B35" s="78" t="s">
        <v>2441</v>
      </c>
      <c r="C35" s="14" t="s">
        <v>66</v>
      </c>
      <c r="D35" s="132">
        <f>3*2.5</f>
        <v>7.5</v>
      </c>
      <c r="E35" s="79">
        <v>214934</v>
      </c>
      <c r="F35" s="187">
        <v>0.2</v>
      </c>
      <c r="G35" s="79">
        <f t="shared" si="0"/>
        <v>322401</v>
      </c>
      <c r="H35" s="15"/>
    </row>
    <row r="36" spans="1:8" ht="24" customHeight="1">
      <c r="A36" s="75" t="s">
        <v>19</v>
      </c>
      <c r="B36" s="426" t="s">
        <v>1727</v>
      </c>
      <c r="C36" s="426"/>
      <c r="D36" s="426"/>
      <c r="E36" s="426"/>
      <c r="F36" s="426"/>
      <c r="G36" s="76">
        <f>SUM(G37:G37)</f>
        <v>3733000</v>
      </c>
      <c r="H36" s="11"/>
    </row>
    <row r="37" spans="1:8" s="12" customFormat="1" ht="34.200000000000003" customHeight="1">
      <c r="A37" s="94">
        <v>1</v>
      </c>
      <c r="B37" s="13" t="s">
        <v>873</v>
      </c>
      <c r="C37" s="14" t="s">
        <v>1724</v>
      </c>
      <c r="D37" s="14">
        <v>1</v>
      </c>
      <c r="E37" s="79" t="str">
        <f>VLOOKUP(B37,'[20]Đơn giá cây cối'!$A$2:$C$1361,3,0)</f>
        <v>3.733.000</v>
      </c>
      <c r="F37" s="14">
        <v>1</v>
      </c>
      <c r="G37" s="79">
        <f t="shared" ref="G37" si="1">D37*E37*F37</f>
        <v>3733000</v>
      </c>
      <c r="H37" s="95"/>
    </row>
    <row r="38" spans="1:8" ht="15.6">
      <c r="A38" s="80"/>
      <c r="B38" s="427" t="s">
        <v>62</v>
      </c>
      <c r="C38" s="428"/>
      <c r="D38" s="428"/>
      <c r="E38" s="428"/>
      <c r="F38" s="429"/>
      <c r="G38" s="81">
        <f>G13+G20+G36</f>
        <v>26126203.781367999</v>
      </c>
      <c r="H38" s="82"/>
    </row>
    <row r="39" spans="1:8" ht="15.6">
      <c r="A39" s="80"/>
      <c r="B39" s="427" t="s">
        <v>1726</v>
      </c>
      <c r="C39" s="428"/>
      <c r="D39" s="428"/>
      <c r="E39" s="428"/>
      <c r="F39" s="429"/>
      <c r="G39" s="81">
        <f>ROUND(G38,-3)</f>
        <v>26126000</v>
      </c>
      <c r="H39" s="82"/>
    </row>
    <row r="40" spans="1:8" ht="15.6">
      <c r="A40" s="430" t="str">
        <f>[18]!uni(G39)</f>
        <v xml:space="preserve">Hai mươi sáu triệu một trăm hai mươi sáu nghìn đồng </v>
      </c>
      <c r="B40" s="431"/>
      <c r="C40" s="431"/>
      <c r="D40" s="431"/>
      <c r="E40" s="431"/>
      <c r="F40" s="431"/>
      <c r="G40" s="431"/>
      <c r="H40" s="432"/>
    </row>
    <row r="41" spans="1:8" ht="15.6">
      <c r="A41" s="252"/>
      <c r="B41" s="253"/>
      <c r="C41" s="253"/>
      <c r="D41" s="253"/>
      <c r="E41" s="253"/>
      <c r="F41" s="253"/>
      <c r="G41" s="253"/>
      <c r="H41" s="253"/>
    </row>
    <row r="42" spans="1:8" ht="15.6">
      <c r="A42" s="252"/>
      <c r="B42" s="253"/>
      <c r="C42" s="253"/>
      <c r="D42" s="253"/>
      <c r="E42" s="253"/>
      <c r="F42" s="253"/>
      <c r="G42" s="253"/>
      <c r="H42" s="253"/>
    </row>
    <row r="43" spans="1:8" ht="15.6">
      <c r="A43" s="252"/>
      <c r="B43" s="253"/>
      <c r="C43" s="253"/>
      <c r="D43" s="253"/>
      <c r="E43" s="253"/>
      <c r="F43" s="253"/>
      <c r="G43" s="253"/>
      <c r="H43" s="253"/>
    </row>
    <row r="44" spans="1:8">
      <c r="A44" s="17"/>
      <c r="B44" s="17"/>
      <c r="C44" s="97"/>
      <c r="D44" s="20"/>
      <c r="E44" s="19"/>
      <c r="G44" s="19"/>
      <c r="H44" s="17"/>
    </row>
    <row r="45" spans="1:8" s="109" customFormat="1" ht="16.5" customHeight="1">
      <c r="A45" s="108"/>
      <c r="B45" s="108"/>
      <c r="C45" s="424" t="s">
        <v>1742</v>
      </c>
      <c r="D45" s="424"/>
      <c r="E45" s="424"/>
      <c r="F45" s="424"/>
      <c r="G45" s="424"/>
      <c r="H45" s="424"/>
    </row>
    <row r="46" spans="1:8" s="109" customFormat="1" ht="16.5" customHeight="1">
      <c r="A46" s="423" t="s">
        <v>63</v>
      </c>
      <c r="B46" s="423"/>
      <c r="C46" s="424" t="s">
        <v>1743</v>
      </c>
      <c r="D46" s="424"/>
      <c r="E46" s="424"/>
      <c r="F46" s="424" t="s">
        <v>1744</v>
      </c>
      <c r="G46" s="424"/>
      <c r="H46" s="424"/>
    </row>
    <row r="47" spans="1:8" s="109" customFormat="1" ht="15.6">
      <c r="A47" s="108"/>
      <c r="B47" s="108"/>
      <c r="C47" s="108"/>
      <c r="D47" s="110"/>
      <c r="E47" s="111"/>
      <c r="F47" s="112"/>
      <c r="G47" s="111"/>
      <c r="H47" s="113"/>
    </row>
    <row r="48" spans="1:8" s="109" customFormat="1" ht="15.6">
      <c r="A48" s="108"/>
      <c r="B48" s="108"/>
      <c r="C48" s="108"/>
      <c r="D48" s="110"/>
      <c r="E48" s="111"/>
      <c r="F48" s="112"/>
      <c r="G48" s="114"/>
      <c r="H48" s="113"/>
    </row>
    <row r="49" spans="1:8" s="109" customFormat="1" ht="15.6">
      <c r="A49" s="108"/>
      <c r="B49" s="108"/>
      <c r="C49" s="108"/>
      <c r="D49" s="110"/>
      <c r="E49" s="111"/>
      <c r="F49" s="112"/>
      <c r="G49" s="111"/>
      <c r="H49" s="113"/>
    </row>
    <row r="50" spans="1:8" s="109" customFormat="1" ht="15.6">
      <c r="A50" s="108"/>
      <c r="B50" s="108"/>
      <c r="C50" s="108"/>
      <c r="D50" s="110"/>
      <c r="E50" s="111"/>
      <c r="F50" s="112"/>
      <c r="G50" s="111"/>
      <c r="H50" s="113"/>
    </row>
    <row r="51" spans="1:8" s="109" customFormat="1" ht="15.6">
      <c r="A51" s="108"/>
      <c r="B51" s="108"/>
      <c r="C51" s="108"/>
      <c r="D51" s="110"/>
      <c r="E51" s="111"/>
      <c r="F51" s="112"/>
      <c r="G51" s="111"/>
      <c r="H51" s="113"/>
    </row>
    <row r="52" spans="1:8" s="109" customFormat="1" ht="16.5" customHeight="1">
      <c r="A52" s="108"/>
      <c r="B52" s="198" t="s">
        <v>64</v>
      </c>
      <c r="C52" s="424"/>
      <c r="D52" s="424"/>
      <c r="E52" s="424"/>
      <c r="F52" s="424" t="s">
        <v>1745</v>
      </c>
      <c r="G52" s="424"/>
      <c r="H52" s="424"/>
    </row>
    <row r="53" spans="1:8" s="109" customFormat="1" ht="15.6">
      <c r="A53" s="108"/>
      <c r="B53" s="198"/>
      <c r="C53" s="199"/>
      <c r="D53" s="199"/>
      <c r="E53" s="199"/>
      <c r="F53" s="199"/>
      <c r="G53" s="199"/>
      <c r="H53" s="199"/>
    </row>
    <row r="54" spans="1:8" s="109" customFormat="1" ht="15" customHeight="1">
      <c r="A54" s="424" t="s">
        <v>1746</v>
      </c>
      <c r="B54" s="424"/>
      <c r="C54" s="424"/>
      <c r="D54" s="424"/>
      <c r="E54" s="424" t="s">
        <v>1747</v>
      </c>
      <c r="F54" s="424"/>
      <c r="G54" s="424"/>
      <c r="H54" s="424"/>
    </row>
    <row r="55" spans="1:8" s="109" customFormat="1" ht="33.6" customHeight="1">
      <c r="A55" s="424" t="s">
        <v>1748</v>
      </c>
      <c r="B55" s="424"/>
      <c r="C55" s="424"/>
      <c r="D55" s="424"/>
      <c r="E55" s="424" t="s">
        <v>65</v>
      </c>
      <c r="F55" s="424"/>
      <c r="G55" s="424"/>
      <c r="H55" s="424"/>
    </row>
    <row r="56" spans="1:8" s="109" customFormat="1" ht="15.6">
      <c r="A56" s="108"/>
      <c r="B56" s="108"/>
      <c r="C56" s="108"/>
      <c r="D56" s="110"/>
      <c r="E56" s="111"/>
      <c r="F56" s="112"/>
      <c r="G56" s="111"/>
      <c r="H56" s="113"/>
    </row>
    <row r="57" spans="1:8" s="109" customFormat="1" ht="15.6">
      <c r="A57" s="108"/>
      <c r="B57" s="108"/>
      <c r="C57" s="108"/>
      <c r="D57" s="110"/>
      <c r="E57" s="111"/>
      <c r="F57" s="112"/>
      <c r="G57" s="111"/>
      <c r="H57" s="113"/>
    </row>
    <row r="58" spans="1:8" s="109" customFormat="1" ht="15.6">
      <c r="A58" s="108"/>
      <c r="B58" s="108"/>
      <c r="C58" s="108"/>
      <c r="D58" s="110"/>
      <c r="E58" s="111"/>
      <c r="F58" s="112"/>
      <c r="G58" s="111"/>
      <c r="H58" s="113"/>
    </row>
    <row r="59" spans="1:8" s="109" customFormat="1" ht="15.6">
      <c r="A59" s="108"/>
      <c r="B59" s="108"/>
      <c r="C59" s="108"/>
      <c r="D59" s="110"/>
      <c r="E59" s="111"/>
      <c r="F59" s="112"/>
      <c r="G59" s="111"/>
      <c r="H59" s="113"/>
    </row>
    <row r="60" spans="1:8" s="109" customFormat="1" ht="15.6">
      <c r="A60" s="108"/>
      <c r="B60" s="108"/>
      <c r="C60" s="108"/>
      <c r="D60" s="110"/>
      <c r="E60" s="111"/>
      <c r="F60" s="112"/>
      <c r="G60" s="111"/>
      <c r="H60" s="113"/>
    </row>
    <row r="61" spans="1:8" s="109" customFormat="1" ht="15.6" customHeight="1">
      <c r="A61" s="108"/>
      <c r="B61" s="108"/>
      <c r="C61" s="108"/>
      <c r="D61" s="115"/>
      <c r="E61" s="439" t="s">
        <v>1749</v>
      </c>
      <c r="F61" s="439"/>
      <c r="G61" s="439"/>
      <c r="H61" s="439"/>
    </row>
    <row r="62" spans="1:8" s="109" customFormat="1" ht="16.5" customHeight="1">
      <c r="A62" s="424" t="s">
        <v>1751</v>
      </c>
      <c r="B62" s="424"/>
      <c r="C62" s="424"/>
      <c r="D62" s="424"/>
      <c r="E62" s="424" t="s">
        <v>1750</v>
      </c>
      <c r="F62" s="424"/>
      <c r="G62" s="424"/>
      <c r="H62" s="424"/>
    </row>
    <row r="63" spans="1:8" s="118" customFormat="1" ht="16.2" customHeight="1">
      <c r="A63" s="440"/>
      <c r="B63" s="440"/>
      <c r="C63" s="116"/>
      <c r="D63" s="117"/>
      <c r="E63" s="440"/>
      <c r="F63" s="440"/>
      <c r="G63" s="440"/>
      <c r="H63" s="440"/>
    </row>
    <row r="64" spans="1:8" s="118" customFormat="1" ht="15.75" customHeight="1">
      <c r="A64" s="440"/>
      <c r="B64" s="440"/>
      <c r="C64" s="440"/>
      <c r="D64" s="440"/>
      <c r="E64" s="440"/>
      <c r="F64" s="440"/>
      <c r="G64" s="440"/>
      <c r="H64" s="440"/>
    </row>
    <row r="65" spans="1:8" s="98" customFormat="1" ht="16.2" customHeight="1">
      <c r="A65" s="436"/>
      <c r="B65" s="436"/>
      <c r="C65" s="436"/>
      <c r="D65" s="436"/>
      <c r="E65" s="119"/>
      <c r="F65" s="120"/>
      <c r="G65" s="119"/>
      <c r="H65" s="121"/>
    </row>
    <row r="66" spans="1:8" s="98" customFormat="1" ht="16.2" customHeight="1">
      <c r="A66" s="436"/>
      <c r="B66" s="436"/>
      <c r="C66" s="436"/>
      <c r="D66" s="436"/>
      <c r="E66" s="119"/>
      <c r="F66" s="120"/>
      <c r="G66" s="119"/>
      <c r="H66" s="121"/>
    </row>
    <row r="67" spans="1:8" s="98" customFormat="1" ht="16.2" customHeight="1">
      <c r="A67" s="121"/>
      <c r="B67" s="121"/>
      <c r="C67" s="121"/>
      <c r="D67" s="122"/>
      <c r="E67" s="119"/>
      <c r="F67" s="120"/>
      <c r="G67" s="119"/>
      <c r="H67" s="121"/>
    </row>
    <row r="68" spans="1:8" ht="16.2" customHeight="1">
      <c r="A68" s="83"/>
      <c r="B68" s="83"/>
      <c r="C68" s="83"/>
      <c r="D68" s="84"/>
      <c r="E68" s="85"/>
      <c r="F68" s="86"/>
      <c r="G68" s="85"/>
      <c r="H68" s="83"/>
    </row>
    <row r="69" spans="1:8" ht="16.2" customHeight="1">
      <c r="A69" s="83"/>
      <c r="B69" s="83"/>
      <c r="C69" s="83"/>
      <c r="D69" s="84"/>
      <c r="E69" s="85"/>
      <c r="F69" s="86"/>
      <c r="G69" s="85"/>
      <c r="H69" s="83"/>
    </row>
    <row r="70" spans="1:8" ht="16.2" customHeight="1">
      <c r="A70" s="83"/>
      <c r="B70" s="83"/>
      <c r="C70" s="83"/>
      <c r="D70" s="84"/>
      <c r="E70" s="85"/>
      <c r="F70" s="86"/>
      <c r="G70" s="85"/>
      <c r="H70" s="83"/>
    </row>
    <row r="71" spans="1:8" ht="16.2" customHeight="1">
      <c r="A71" s="83"/>
      <c r="B71" s="83"/>
      <c r="C71" s="83"/>
      <c r="D71" s="84"/>
      <c r="E71" s="437"/>
      <c r="F71" s="437"/>
      <c r="G71" s="437"/>
      <c r="H71" s="437"/>
    </row>
    <row r="72" spans="1:8" ht="20.25" customHeight="1">
      <c r="A72" s="438"/>
      <c r="B72" s="438"/>
      <c r="C72" s="438"/>
      <c r="D72" s="438"/>
      <c r="E72" s="438"/>
      <c r="F72" s="438"/>
      <c r="G72" s="438"/>
      <c r="H72" s="438"/>
    </row>
    <row r="73" spans="1:8" s="17" customFormat="1" ht="16.2" customHeight="1">
      <c r="D73" s="18"/>
      <c r="E73" s="19"/>
      <c r="F73" s="97"/>
      <c r="G73" s="19"/>
    </row>
    <row r="74" spans="1:8" s="17" customFormat="1" ht="16.2" customHeight="1">
      <c r="D74" s="18"/>
      <c r="E74" s="19"/>
      <c r="F74" s="97"/>
      <c r="G74" s="19"/>
    </row>
    <row r="75" spans="1:8" s="17" customFormat="1" ht="16.2" customHeight="1">
      <c r="D75" s="18"/>
      <c r="E75" s="19"/>
      <c r="F75" s="97"/>
      <c r="G75" s="19"/>
    </row>
    <row r="76" spans="1:8" s="17" customFormat="1" ht="16.2" customHeight="1">
      <c r="D76" s="18"/>
      <c r="E76" s="19"/>
      <c r="F76" s="97"/>
      <c r="G76" s="19"/>
    </row>
    <row r="77" spans="1:8" s="17" customFormat="1" ht="16.2" customHeight="1">
      <c r="D77" s="18"/>
      <c r="E77" s="19"/>
      <c r="F77" s="97"/>
      <c r="G77" s="19"/>
    </row>
    <row r="78" spans="1:8" s="17" customFormat="1" ht="16.2" customHeight="1">
      <c r="D78" s="18"/>
      <c r="E78" s="19"/>
      <c r="F78" s="97"/>
      <c r="G78" s="19"/>
    </row>
    <row r="79" spans="1:8" s="17" customFormat="1" ht="16.2" customHeight="1">
      <c r="D79" s="18"/>
      <c r="E79" s="19"/>
      <c r="F79" s="97"/>
      <c r="G79" s="19"/>
    </row>
    <row r="80" spans="1:8" s="17" customFormat="1" ht="16.2" customHeight="1">
      <c r="D80" s="18"/>
      <c r="E80" s="19"/>
      <c r="F80" s="97"/>
      <c r="G80" s="19"/>
    </row>
    <row r="81" spans="3:7" s="17" customFormat="1" ht="16.2" customHeight="1">
      <c r="D81" s="18"/>
      <c r="E81" s="19"/>
      <c r="F81" s="97"/>
      <c r="G81" s="19"/>
    </row>
    <row r="82" spans="3:7" s="17" customFormat="1" ht="16.2" customHeight="1">
      <c r="D82" s="18"/>
      <c r="E82" s="19"/>
      <c r="F82" s="97"/>
      <c r="G82" s="19"/>
    </row>
    <row r="83" spans="3:7" s="17" customFormat="1" ht="16.2" customHeight="1">
      <c r="D83" s="18"/>
      <c r="E83" s="19"/>
      <c r="F83" s="97"/>
      <c r="G83" s="19"/>
    </row>
    <row r="84" spans="3:7" s="17" customFormat="1" ht="16.2" customHeight="1">
      <c r="D84" s="18"/>
      <c r="E84" s="19"/>
      <c r="F84" s="97"/>
      <c r="G84" s="19"/>
    </row>
    <row r="85" spans="3:7" s="17" customFormat="1" ht="16.2" customHeight="1">
      <c r="D85" s="18"/>
      <c r="E85" s="19"/>
      <c r="F85" s="97"/>
      <c r="G85" s="19"/>
    </row>
    <row r="86" spans="3:7" s="17" customFormat="1" ht="16.2" customHeight="1">
      <c r="D86" s="18"/>
      <c r="E86" s="19"/>
      <c r="F86" s="97"/>
      <c r="G86" s="19"/>
    </row>
    <row r="87" spans="3:7" s="17" customFormat="1" ht="16.2" customHeight="1">
      <c r="D87" s="18"/>
      <c r="E87" s="19"/>
      <c r="F87" s="97"/>
      <c r="G87" s="19"/>
    </row>
    <row r="88" spans="3:7" s="17" customFormat="1" ht="16.2" customHeight="1">
      <c r="D88" s="18"/>
      <c r="E88" s="19"/>
      <c r="F88" s="97"/>
      <c r="G88" s="19"/>
    </row>
    <row r="89" spans="3:7" s="17" customFormat="1" ht="16.2" customHeight="1">
      <c r="C89" s="97"/>
      <c r="D89" s="20"/>
      <c r="E89" s="19"/>
      <c r="F89" s="97"/>
      <c r="G89" s="19"/>
    </row>
    <row r="90" spans="3:7" s="17" customFormat="1" ht="16.2" customHeight="1">
      <c r="C90" s="97"/>
      <c r="D90" s="20"/>
      <c r="E90" s="19"/>
      <c r="F90" s="97"/>
      <c r="G90" s="19"/>
    </row>
    <row r="91" spans="3:7" s="17" customFormat="1" ht="16.2" customHeight="1">
      <c r="C91" s="97"/>
      <c r="D91" s="20"/>
      <c r="E91" s="19"/>
      <c r="F91" s="97"/>
      <c r="G91" s="19"/>
    </row>
    <row r="92" spans="3:7" s="17" customFormat="1" ht="16.2" customHeight="1">
      <c r="C92" s="97"/>
      <c r="D92" s="20"/>
      <c r="E92" s="19"/>
      <c r="F92" s="97"/>
      <c r="G92" s="19"/>
    </row>
    <row r="93" spans="3:7" s="17" customFormat="1" ht="16.2" customHeight="1">
      <c r="C93" s="97"/>
      <c r="D93" s="20"/>
      <c r="E93" s="19"/>
      <c r="F93" s="97"/>
      <c r="G93" s="19"/>
    </row>
    <row r="94" spans="3:7" s="17" customFormat="1" ht="16.2" customHeight="1">
      <c r="C94" s="97"/>
      <c r="D94" s="20"/>
      <c r="E94" s="19"/>
      <c r="F94" s="97"/>
      <c r="G94" s="19"/>
    </row>
    <row r="95" spans="3:7" s="17" customFormat="1" ht="16.2" customHeight="1">
      <c r="C95" s="97"/>
      <c r="D95" s="20"/>
      <c r="E95" s="19"/>
      <c r="F95" s="97"/>
      <c r="G95" s="19"/>
    </row>
    <row r="96" spans="3:7" s="17" customFormat="1" ht="16.2" customHeight="1">
      <c r="C96" s="97"/>
      <c r="D96" s="20"/>
      <c r="E96" s="19"/>
      <c r="F96" s="97"/>
      <c r="G96" s="19"/>
    </row>
    <row r="97" spans="3:7" s="17" customFormat="1" ht="16.2" customHeight="1">
      <c r="C97" s="97"/>
      <c r="D97" s="20"/>
      <c r="E97" s="19"/>
      <c r="F97" s="97"/>
      <c r="G97" s="19"/>
    </row>
    <row r="98" spans="3:7" s="17" customFormat="1" ht="16.2" customHeight="1">
      <c r="C98" s="97"/>
      <c r="D98" s="20"/>
      <c r="E98" s="19"/>
      <c r="F98" s="97"/>
      <c r="G98" s="19"/>
    </row>
    <row r="99" spans="3:7" s="17" customFormat="1" ht="16.2" customHeight="1">
      <c r="C99" s="97"/>
      <c r="D99" s="20"/>
      <c r="E99" s="19"/>
      <c r="F99" s="97"/>
      <c r="G99" s="19"/>
    </row>
    <row r="100" spans="3:7" s="17" customFormat="1" ht="16.2" customHeight="1">
      <c r="C100" s="97"/>
      <c r="D100" s="20"/>
      <c r="E100" s="19"/>
      <c r="F100" s="97"/>
      <c r="G100" s="19"/>
    </row>
    <row r="101" spans="3:7" ht="16.2" customHeight="1"/>
    <row r="102" spans="3:7" ht="16.2" customHeight="1"/>
    <row r="103" spans="3:7" ht="16.2" customHeight="1"/>
    <row r="104" spans="3:7" ht="16.2" customHeight="1"/>
    <row r="105" spans="3:7" ht="16.2" customHeight="1"/>
    <row r="106" spans="3:7" ht="16.2" customHeight="1"/>
    <row r="107" spans="3:7" ht="16.2" customHeight="1"/>
    <row r="108" spans="3:7" ht="16.2" customHeight="1"/>
    <row r="109" spans="3:7" ht="16.2" customHeight="1"/>
    <row r="110" spans="3:7" ht="16.2" customHeight="1"/>
    <row r="111" spans="3:7" ht="16.2" customHeight="1"/>
    <row r="112" spans="3:7"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ht="16.2" customHeight="1"/>
    <row r="235" ht="16.2" customHeight="1"/>
    <row r="236" ht="16.2" customHeight="1"/>
    <row r="237" ht="16.2" customHeight="1"/>
    <row r="238" ht="16.2" customHeight="1"/>
    <row r="239" ht="16.2" customHeight="1"/>
    <row r="240" ht="16.2" customHeight="1"/>
    <row r="241" ht="16.2" customHeight="1"/>
    <row r="242" ht="16.2" customHeight="1"/>
    <row r="243" ht="16.2" customHeight="1"/>
    <row r="244" ht="16.2" customHeight="1"/>
    <row r="245" ht="16.2" customHeight="1"/>
    <row r="246" ht="16.2" customHeight="1"/>
    <row r="247"/>
    <row r="248"/>
    <row r="249"/>
    <row r="250"/>
    <row r="251"/>
    <row r="252"/>
    <row r="253"/>
    <row r="254"/>
    <row r="255"/>
    <row r="256"/>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sheetData>
  <mergeCells count="43">
    <mergeCell ref="A4:B4"/>
    <mergeCell ref="C4:H4"/>
    <mergeCell ref="A1:B1"/>
    <mergeCell ref="C1:H1"/>
    <mergeCell ref="A2:B2"/>
    <mergeCell ref="C2:H2"/>
    <mergeCell ref="A3:B3"/>
    <mergeCell ref="B36:F36"/>
    <mergeCell ref="A6:H6"/>
    <mergeCell ref="A7:H7"/>
    <mergeCell ref="A8:H8"/>
    <mergeCell ref="A9:H9"/>
    <mergeCell ref="A10:H10"/>
    <mergeCell ref="A11:H11"/>
    <mergeCell ref="B13:F13"/>
    <mergeCell ref="B14:D14"/>
    <mergeCell ref="A17:A18"/>
    <mergeCell ref="B17:B18"/>
    <mergeCell ref="B20:F20"/>
    <mergeCell ref="B38:F38"/>
    <mergeCell ref="B39:F39"/>
    <mergeCell ref="A40:H40"/>
    <mergeCell ref="C45:H45"/>
    <mergeCell ref="A46:B46"/>
    <mergeCell ref="C46:E46"/>
    <mergeCell ref="F46:H46"/>
    <mergeCell ref="C52:E52"/>
    <mergeCell ref="F52:H52"/>
    <mergeCell ref="A54:D54"/>
    <mergeCell ref="E54:H54"/>
    <mergeCell ref="A55:D55"/>
    <mergeCell ref="E55:H55"/>
    <mergeCell ref="A65:D65"/>
    <mergeCell ref="A66:D66"/>
    <mergeCell ref="E71:H71"/>
    <mergeCell ref="A72:H72"/>
    <mergeCell ref="E61:H61"/>
    <mergeCell ref="A62:D62"/>
    <mergeCell ref="E62:H62"/>
    <mergeCell ref="A63:B63"/>
    <mergeCell ref="E63:H63"/>
    <mergeCell ref="A64:D64"/>
    <mergeCell ref="E64:H64"/>
  </mergeCells>
  <dataValidations count="2">
    <dataValidation type="list" allowBlank="1" showInputMessage="1" showErrorMessage="1" sqref="WVJ983064:WVJ983081 B983064:B983081 IX983064:IX983081 ST983064:ST983081 ACP983064:ACP983081 AML983064:AML983081 AWH983064:AWH983081 BGD983064:BGD983081 BPZ983064:BPZ983081 BZV983064:BZV983081 CJR983064:CJR983081 CTN983064:CTN983081 DDJ983064:DDJ983081 DNF983064:DNF983081 DXB983064:DXB983081 EGX983064:EGX983081 EQT983064:EQT983081 FAP983064:FAP983081 FKL983064:FKL983081 FUH983064:FUH983081 GED983064:GED983081 GNZ983064:GNZ983081 GXV983064:GXV983081 HHR983064:HHR983081 HRN983064:HRN983081 IBJ983064:IBJ983081 ILF983064:ILF983081 IVB983064:IVB983081 JEX983064:JEX983081 JOT983064:JOT983081 JYP983064:JYP983081 KIL983064:KIL983081 KSH983064:KSH983081 LCD983064:LCD983081 LLZ983064:LLZ983081 LVV983064:LVV983081 MFR983064:MFR983081 MPN983064:MPN983081 MZJ983064:MZJ983081 NJF983064:NJF983081 NTB983064:NTB983081 OCX983064:OCX983081 OMT983064:OMT983081 OWP983064:OWP983081 PGL983064:PGL983081 PQH983064:PQH983081 QAD983064:QAD983081 QJZ983064:QJZ983081 QTV983064:QTV983081 RDR983064:RDR983081 RNN983064:RNN983081 RXJ983064:RXJ983081 SHF983064:SHF983081 SRB983064:SRB983081 TAX983064:TAX983081 TKT983064:TKT983081 TUP983064:TUP983081 UEL983064:UEL983081 UOH983064:UOH983081 UYD983064:UYD983081 VHZ983064:VHZ983081 VRV983064:VRV983081 WBR983064:WBR983081 WLN983064:WLN983081 B65560:B65577 IX65560:IX65577 ST65560:ST65577 ACP65560:ACP65577 AML65560:AML65577 AWH65560:AWH65577 BGD65560:BGD65577 BPZ65560:BPZ65577 BZV65560:BZV65577 CJR65560:CJR65577 CTN65560:CTN65577 DDJ65560:DDJ65577 DNF65560:DNF65577 DXB65560:DXB65577 EGX65560:EGX65577 EQT65560:EQT65577 FAP65560:FAP65577 FKL65560:FKL65577 FUH65560:FUH65577 GED65560:GED65577 GNZ65560:GNZ65577 GXV65560:GXV65577 HHR65560:HHR65577 HRN65560:HRN65577 IBJ65560:IBJ65577 ILF65560:ILF65577 IVB65560:IVB65577 JEX65560:JEX65577 JOT65560:JOT65577 JYP65560:JYP65577 KIL65560:KIL65577 KSH65560:KSH65577 LCD65560:LCD65577 LLZ65560:LLZ65577 LVV65560:LVV65577 MFR65560:MFR65577 MPN65560:MPN65577 MZJ65560:MZJ65577 NJF65560:NJF65577 NTB65560:NTB65577 OCX65560:OCX65577 OMT65560:OMT65577 OWP65560:OWP65577 PGL65560:PGL65577 PQH65560:PQH65577 QAD65560:QAD65577 QJZ65560:QJZ65577 QTV65560:QTV65577 RDR65560:RDR65577 RNN65560:RNN65577 RXJ65560:RXJ65577 SHF65560:SHF65577 SRB65560:SRB65577 TAX65560:TAX65577 TKT65560:TKT65577 TUP65560:TUP65577 UEL65560:UEL65577 UOH65560:UOH65577 UYD65560:UYD65577 VHZ65560:VHZ65577 VRV65560:VRV65577 WBR65560:WBR65577 WLN65560:WLN65577 WVJ65560:WVJ65577 B131096:B131113 IX131096:IX131113 ST131096:ST131113 ACP131096:ACP131113 AML131096:AML131113 AWH131096:AWH131113 BGD131096:BGD131113 BPZ131096:BPZ131113 BZV131096:BZV131113 CJR131096:CJR131113 CTN131096:CTN131113 DDJ131096:DDJ131113 DNF131096:DNF131113 DXB131096:DXB131113 EGX131096:EGX131113 EQT131096:EQT131113 FAP131096:FAP131113 FKL131096:FKL131113 FUH131096:FUH131113 GED131096:GED131113 GNZ131096:GNZ131113 GXV131096:GXV131113 HHR131096:HHR131113 HRN131096:HRN131113 IBJ131096:IBJ131113 ILF131096:ILF131113 IVB131096:IVB131113 JEX131096:JEX131113 JOT131096:JOT131113 JYP131096:JYP131113 KIL131096:KIL131113 KSH131096:KSH131113 LCD131096:LCD131113 LLZ131096:LLZ131113 LVV131096:LVV131113 MFR131096:MFR131113 MPN131096:MPN131113 MZJ131096:MZJ131113 NJF131096:NJF131113 NTB131096:NTB131113 OCX131096:OCX131113 OMT131096:OMT131113 OWP131096:OWP131113 PGL131096:PGL131113 PQH131096:PQH131113 QAD131096:QAD131113 QJZ131096:QJZ131113 QTV131096:QTV131113 RDR131096:RDR131113 RNN131096:RNN131113 RXJ131096:RXJ131113 SHF131096:SHF131113 SRB131096:SRB131113 TAX131096:TAX131113 TKT131096:TKT131113 TUP131096:TUP131113 UEL131096:UEL131113 UOH131096:UOH131113 UYD131096:UYD131113 VHZ131096:VHZ131113 VRV131096:VRV131113 WBR131096:WBR131113 WLN131096:WLN131113 WVJ131096:WVJ131113 B196632:B196649 IX196632:IX196649 ST196632:ST196649 ACP196632:ACP196649 AML196632:AML196649 AWH196632:AWH196649 BGD196632:BGD196649 BPZ196632:BPZ196649 BZV196632:BZV196649 CJR196632:CJR196649 CTN196632:CTN196649 DDJ196632:DDJ196649 DNF196632:DNF196649 DXB196632:DXB196649 EGX196632:EGX196649 EQT196632:EQT196649 FAP196632:FAP196649 FKL196632:FKL196649 FUH196632:FUH196649 GED196632:GED196649 GNZ196632:GNZ196649 GXV196632:GXV196649 HHR196632:HHR196649 HRN196632:HRN196649 IBJ196632:IBJ196649 ILF196632:ILF196649 IVB196632:IVB196649 JEX196632:JEX196649 JOT196632:JOT196649 JYP196632:JYP196649 KIL196632:KIL196649 KSH196632:KSH196649 LCD196632:LCD196649 LLZ196632:LLZ196649 LVV196632:LVV196649 MFR196632:MFR196649 MPN196632:MPN196649 MZJ196632:MZJ196649 NJF196632:NJF196649 NTB196632:NTB196649 OCX196632:OCX196649 OMT196632:OMT196649 OWP196632:OWP196649 PGL196632:PGL196649 PQH196632:PQH196649 QAD196632:QAD196649 QJZ196632:QJZ196649 QTV196632:QTV196649 RDR196632:RDR196649 RNN196632:RNN196649 RXJ196632:RXJ196649 SHF196632:SHF196649 SRB196632:SRB196649 TAX196632:TAX196649 TKT196632:TKT196649 TUP196632:TUP196649 UEL196632:UEL196649 UOH196632:UOH196649 UYD196632:UYD196649 VHZ196632:VHZ196649 VRV196632:VRV196649 WBR196632:WBR196649 WLN196632:WLN196649 WVJ196632:WVJ196649 B262168:B262185 IX262168:IX262185 ST262168:ST262185 ACP262168:ACP262185 AML262168:AML262185 AWH262168:AWH262185 BGD262168:BGD262185 BPZ262168:BPZ262185 BZV262168:BZV262185 CJR262168:CJR262185 CTN262168:CTN262185 DDJ262168:DDJ262185 DNF262168:DNF262185 DXB262168:DXB262185 EGX262168:EGX262185 EQT262168:EQT262185 FAP262168:FAP262185 FKL262168:FKL262185 FUH262168:FUH262185 GED262168:GED262185 GNZ262168:GNZ262185 GXV262168:GXV262185 HHR262168:HHR262185 HRN262168:HRN262185 IBJ262168:IBJ262185 ILF262168:ILF262185 IVB262168:IVB262185 JEX262168:JEX262185 JOT262168:JOT262185 JYP262168:JYP262185 KIL262168:KIL262185 KSH262168:KSH262185 LCD262168:LCD262185 LLZ262168:LLZ262185 LVV262168:LVV262185 MFR262168:MFR262185 MPN262168:MPN262185 MZJ262168:MZJ262185 NJF262168:NJF262185 NTB262168:NTB262185 OCX262168:OCX262185 OMT262168:OMT262185 OWP262168:OWP262185 PGL262168:PGL262185 PQH262168:PQH262185 QAD262168:QAD262185 QJZ262168:QJZ262185 QTV262168:QTV262185 RDR262168:RDR262185 RNN262168:RNN262185 RXJ262168:RXJ262185 SHF262168:SHF262185 SRB262168:SRB262185 TAX262168:TAX262185 TKT262168:TKT262185 TUP262168:TUP262185 UEL262168:UEL262185 UOH262168:UOH262185 UYD262168:UYD262185 VHZ262168:VHZ262185 VRV262168:VRV262185 WBR262168:WBR262185 WLN262168:WLN262185 WVJ262168:WVJ262185 B327704:B327721 IX327704:IX327721 ST327704:ST327721 ACP327704:ACP327721 AML327704:AML327721 AWH327704:AWH327721 BGD327704:BGD327721 BPZ327704:BPZ327721 BZV327704:BZV327721 CJR327704:CJR327721 CTN327704:CTN327721 DDJ327704:DDJ327721 DNF327704:DNF327721 DXB327704:DXB327721 EGX327704:EGX327721 EQT327704:EQT327721 FAP327704:FAP327721 FKL327704:FKL327721 FUH327704:FUH327721 GED327704:GED327721 GNZ327704:GNZ327721 GXV327704:GXV327721 HHR327704:HHR327721 HRN327704:HRN327721 IBJ327704:IBJ327721 ILF327704:ILF327721 IVB327704:IVB327721 JEX327704:JEX327721 JOT327704:JOT327721 JYP327704:JYP327721 KIL327704:KIL327721 KSH327704:KSH327721 LCD327704:LCD327721 LLZ327704:LLZ327721 LVV327704:LVV327721 MFR327704:MFR327721 MPN327704:MPN327721 MZJ327704:MZJ327721 NJF327704:NJF327721 NTB327704:NTB327721 OCX327704:OCX327721 OMT327704:OMT327721 OWP327704:OWP327721 PGL327704:PGL327721 PQH327704:PQH327721 QAD327704:QAD327721 QJZ327704:QJZ327721 QTV327704:QTV327721 RDR327704:RDR327721 RNN327704:RNN327721 RXJ327704:RXJ327721 SHF327704:SHF327721 SRB327704:SRB327721 TAX327704:TAX327721 TKT327704:TKT327721 TUP327704:TUP327721 UEL327704:UEL327721 UOH327704:UOH327721 UYD327704:UYD327721 VHZ327704:VHZ327721 VRV327704:VRV327721 WBR327704:WBR327721 WLN327704:WLN327721 WVJ327704:WVJ327721 B393240:B393257 IX393240:IX393257 ST393240:ST393257 ACP393240:ACP393257 AML393240:AML393257 AWH393240:AWH393257 BGD393240:BGD393257 BPZ393240:BPZ393257 BZV393240:BZV393257 CJR393240:CJR393257 CTN393240:CTN393257 DDJ393240:DDJ393257 DNF393240:DNF393257 DXB393240:DXB393257 EGX393240:EGX393257 EQT393240:EQT393257 FAP393240:FAP393257 FKL393240:FKL393257 FUH393240:FUH393257 GED393240:GED393257 GNZ393240:GNZ393257 GXV393240:GXV393257 HHR393240:HHR393257 HRN393240:HRN393257 IBJ393240:IBJ393257 ILF393240:ILF393257 IVB393240:IVB393257 JEX393240:JEX393257 JOT393240:JOT393257 JYP393240:JYP393257 KIL393240:KIL393257 KSH393240:KSH393257 LCD393240:LCD393257 LLZ393240:LLZ393257 LVV393240:LVV393257 MFR393240:MFR393257 MPN393240:MPN393257 MZJ393240:MZJ393257 NJF393240:NJF393257 NTB393240:NTB393257 OCX393240:OCX393257 OMT393240:OMT393257 OWP393240:OWP393257 PGL393240:PGL393257 PQH393240:PQH393257 QAD393240:QAD393257 QJZ393240:QJZ393257 QTV393240:QTV393257 RDR393240:RDR393257 RNN393240:RNN393257 RXJ393240:RXJ393257 SHF393240:SHF393257 SRB393240:SRB393257 TAX393240:TAX393257 TKT393240:TKT393257 TUP393240:TUP393257 UEL393240:UEL393257 UOH393240:UOH393257 UYD393240:UYD393257 VHZ393240:VHZ393257 VRV393240:VRV393257 WBR393240:WBR393257 WLN393240:WLN393257 WVJ393240:WVJ393257 B458776:B458793 IX458776:IX458793 ST458776:ST458793 ACP458776:ACP458793 AML458776:AML458793 AWH458776:AWH458793 BGD458776:BGD458793 BPZ458776:BPZ458793 BZV458776:BZV458793 CJR458776:CJR458793 CTN458776:CTN458793 DDJ458776:DDJ458793 DNF458776:DNF458793 DXB458776:DXB458793 EGX458776:EGX458793 EQT458776:EQT458793 FAP458776:FAP458793 FKL458776:FKL458793 FUH458776:FUH458793 GED458776:GED458793 GNZ458776:GNZ458793 GXV458776:GXV458793 HHR458776:HHR458793 HRN458776:HRN458793 IBJ458776:IBJ458793 ILF458776:ILF458793 IVB458776:IVB458793 JEX458776:JEX458793 JOT458776:JOT458793 JYP458776:JYP458793 KIL458776:KIL458793 KSH458776:KSH458793 LCD458776:LCD458793 LLZ458776:LLZ458793 LVV458776:LVV458793 MFR458776:MFR458793 MPN458776:MPN458793 MZJ458776:MZJ458793 NJF458776:NJF458793 NTB458776:NTB458793 OCX458776:OCX458793 OMT458776:OMT458793 OWP458776:OWP458793 PGL458776:PGL458793 PQH458776:PQH458793 QAD458776:QAD458793 QJZ458776:QJZ458793 QTV458776:QTV458793 RDR458776:RDR458793 RNN458776:RNN458793 RXJ458776:RXJ458793 SHF458776:SHF458793 SRB458776:SRB458793 TAX458776:TAX458793 TKT458776:TKT458793 TUP458776:TUP458793 UEL458776:UEL458793 UOH458776:UOH458793 UYD458776:UYD458793 VHZ458776:VHZ458793 VRV458776:VRV458793 WBR458776:WBR458793 WLN458776:WLN458793 WVJ458776:WVJ458793 B524312:B524329 IX524312:IX524329 ST524312:ST524329 ACP524312:ACP524329 AML524312:AML524329 AWH524312:AWH524329 BGD524312:BGD524329 BPZ524312:BPZ524329 BZV524312:BZV524329 CJR524312:CJR524329 CTN524312:CTN524329 DDJ524312:DDJ524329 DNF524312:DNF524329 DXB524312:DXB524329 EGX524312:EGX524329 EQT524312:EQT524329 FAP524312:FAP524329 FKL524312:FKL524329 FUH524312:FUH524329 GED524312:GED524329 GNZ524312:GNZ524329 GXV524312:GXV524329 HHR524312:HHR524329 HRN524312:HRN524329 IBJ524312:IBJ524329 ILF524312:ILF524329 IVB524312:IVB524329 JEX524312:JEX524329 JOT524312:JOT524329 JYP524312:JYP524329 KIL524312:KIL524329 KSH524312:KSH524329 LCD524312:LCD524329 LLZ524312:LLZ524329 LVV524312:LVV524329 MFR524312:MFR524329 MPN524312:MPN524329 MZJ524312:MZJ524329 NJF524312:NJF524329 NTB524312:NTB524329 OCX524312:OCX524329 OMT524312:OMT524329 OWP524312:OWP524329 PGL524312:PGL524329 PQH524312:PQH524329 QAD524312:QAD524329 QJZ524312:QJZ524329 QTV524312:QTV524329 RDR524312:RDR524329 RNN524312:RNN524329 RXJ524312:RXJ524329 SHF524312:SHF524329 SRB524312:SRB524329 TAX524312:TAX524329 TKT524312:TKT524329 TUP524312:TUP524329 UEL524312:UEL524329 UOH524312:UOH524329 UYD524312:UYD524329 VHZ524312:VHZ524329 VRV524312:VRV524329 WBR524312:WBR524329 WLN524312:WLN524329 WVJ524312:WVJ524329 B589848:B589865 IX589848:IX589865 ST589848:ST589865 ACP589848:ACP589865 AML589848:AML589865 AWH589848:AWH589865 BGD589848:BGD589865 BPZ589848:BPZ589865 BZV589848:BZV589865 CJR589848:CJR589865 CTN589848:CTN589865 DDJ589848:DDJ589865 DNF589848:DNF589865 DXB589848:DXB589865 EGX589848:EGX589865 EQT589848:EQT589865 FAP589848:FAP589865 FKL589848:FKL589865 FUH589848:FUH589865 GED589848:GED589865 GNZ589848:GNZ589865 GXV589848:GXV589865 HHR589848:HHR589865 HRN589848:HRN589865 IBJ589848:IBJ589865 ILF589848:ILF589865 IVB589848:IVB589865 JEX589848:JEX589865 JOT589848:JOT589865 JYP589848:JYP589865 KIL589848:KIL589865 KSH589848:KSH589865 LCD589848:LCD589865 LLZ589848:LLZ589865 LVV589848:LVV589865 MFR589848:MFR589865 MPN589848:MPN589865 MZJ589848:MZJ589865 NJF589848:NJF589865 NTB589848:NTB589865 OCX589848:OCX589865 OMT589848:OMT589865 OWP589848:OWP589865 PGL589848:PGL589865 PQH589848:PQH589865 QAD589848:QAD589865 QJZ589848:QJZ589865 QTV589848:QTV589865 RDR589848:RDR589865 RNN589848:RNN589865 RXJ589848:RXJ589865 SHF589848:SHF589865 SRB589848:SRB589865 TAX589848:TAX589865 TKT589848:TKT589865 TUP589848:TUP589865 UEL589848:UEL589865 UOH589848:UOH589865 UYD589848:UYD589865 VHZ589848:VHZ589865 VRV589848:VRV589865 WBR589848:WBR589865 WLN589848:WLN589865 WVJ589848:WVJ589865 B655384:B655401 IX655384:IX655401 ST655384:ST655401 ACP655384:ACP655401 AML655384:AML655401 AWH655384:AWH655401 BGD655384:BGD655401 BPZ655384:BPZ655401 BZV655384:BZV655401 CJR655384:CJR655401 CTN655384:CTN655401 DDJ655384:DDJ655401 DNF655384:DNF655401 DXB655384:DXB655401 EGX655384:EGX655401 EQT655384:EQT655401 FAP655384:FAP655401 FKL655384:FKL655401 FUH655384:FUH655401 GED655384:GED655401 GNZ655384:GNZ655401 GXV655384:GXV655401 HHR655384:HHR655401 HRN655384:HRN655401 IBJ655384:IBJ655401 ILF655384:ILF655401 IVB655384:IVB655401 JEX655384:JEX655401 JOT655384:JOT655401 JYP655384:JYP655401 KIL655384:KIL655401 KSH655384:KSH655401 LCD655384:LCD655401 LLZ655384:LLZ655401 LVV655384:LVV655401 MFR655384:MFR655401 MPN655384:MPN655401 MZJ655384:MZJ655401 NJF655384:NJF655401 NTB655384:NTB655401 OCX655384:OCX655401 OMT655384:OMT655401 OWP655384:OWP655401 PGL655384:PGL655401 PQH655384:PQH655401 QAD655384:QAD655401 QJZ655384:QJZ655401 QTV655384:QTV655401 RDR655384:RDR655401 RNN655384:RNN655401 RXJ655384:RXJ655401 SHF655384:SHF655401 SRB655384:SRB655401 TAX655384:TAX655401 TKT655384:TKT655401 TUP655384:TUP655401 UEL655384:UEL655401 UOH655384:UOH655401 UYD655384:UYD655401 VHZ655384:VHZ655401 VRV655384:VRV655401 WBR655384:WBR655401 WLN655384:WLN655401 WVJ655384:WVJ655401 B720920:B720937 IX720920:IX720937 ST720920:ST720937 ACP720920:ACP720937 AML720920:AML720937 AWH720920:AWH720937 BGD720920:BGD720937 BPZ720920:BPZ720937 BZV720920:BZV720937 CJR720920:CJR720937 CTN720920:CTN720937 DDJ720920:DDJ720937 DNF720920:DNF720937 DXB720920:DXB720937 EGX720920:EGX720937 EQT720920:EQT720937 FAP720920:FAP720937 FKL720920:FKL720937 FUH720920:FUH720937 GED720920:GED720937 GNZ720920:GNZ720937 GXV720920:GXV720937 HHR720920:HHR720937 HRN720920:HRN720937 IBJ720920:IBJ720937 ILF720920:ILF720937 IVB720920:IVB720937 JEX720920:JEX720937 JOT720920:JOT720937 JYP720920:JYP720937 KIL720920:KIL720937 KSH720920:KSH720937 LCD720920:LCD720937 LLZ720920:LLZ720937 LVV720920:LVV720937 MFR720920:MFR720937 MPN720920:MPN720937 MZJ720920:MZJ720937 NJF720920:NJF720937 NTB720920:NTB720937 OCX720920:OCX720937 OMT720920:OMT720937 OWP720920:OWP720937 PGL720920:PGL720937 PQH720920:PQH720937 QAD720920:QAD720937 QJZ720920:QJZ720937 QTV720920:QTV720937 RDR720920:RDR720937 RNN720920:RNN720937 RXJ720920:RXJ720937 SHF720920:SHF720937 SRB720920:SRB720937 TAX720920:TAX720937 TKT720920:TKT720937 TUP720920:TUP720937 UEL720920:UEL720937 UOH720920:UOH720937 UYD720920:UYD720937 VHZ720920:VHZ720937 VRV720920:VRV720937 WBR720920:WBR720937 WLN720920:WLN720937 WVJ720920:WVJ720937 B786456:B786473 IX786456:IX786473 ST786456:ST786473 ACP786456:ACP786473 AML786456:AML786473 AWH786456:AWH786473 BGD786456:BGD786473 BPZ786456:BPZ786473 BZV786456:BZV786473 CJR786456:CJR786473 CTN786456:CTN786473 DDJ786456:DDJ786473 DNF786456:DNF786473 DXB786456:DXB786473 EGX786456:EGX786473 EQT786456:EQT786473 FAP786456:FAP786473 FKL786456:FKL786473 FUH786456:FUH786473 GED786456:GED786473 GNZ786456:GNZ786473 GXV786456:GXV786473 HHR786456:HHR786473 HRN786456:HRN786473 IBJ786456:IBJ786473 ILF786456:ILF786473 IVB786456:IVB786473 JEX786456:JEX786473 JOT786456:JOT786473 JYP786456:JYP786473 KIL786456:KIL786473 KSH786456:KSH786473 LCD786456:LCD786473 LLZ786456:LLZ786473 LVV786456:LVV786473 MFR786456:MFR786473 MPN786456:MPN786473 MZJ786456:MZJ786473 NJF786456:NJF786473 NTB786456:NTB786473 OCX786456:OCX786473 OMT786456:OMT786473 OWP786456:OWP786473 PGL786456:PGL786473 PQH786456:PQH786473 QAD786456:QAD786473 QJZ786456:QJZ786473 QTV786456:QTV786473 RDR786456:RDR786473 RNN786456:RNN786473 RXJ786456:RXJ786473 SHF786456:SHF786473 SRB786456:SRB786473 TAX786456:TAX786473 TKT786456:TKT786473 TUP786456:TUP786473 UEL786456:UEL786473 UOH786456:UOH786473 UYD786456:UYD786473 VHZ786456:VHZ786473 VRV786456:VRV786473 WBR786456:WBR786473 WLN786456:WLN786473 WVJ786456:WVJ786473 B851992:B852009 IX851992:IX852009 ST851992:ST852009 ACP851992:ACP852009 AML851992:AML852009 AWH851992:AWH852009 BGD851992:BGD852009 BPZ851992:BPZ852009 BZV851992:BZV852009 CJR851992:CJR852009 CTN851992:CTN852009 DDJ851992:DDJ852009 DNF851992:DNF852009 DXB851992:DXB852009 EGX851992:EGX852009 EQT851992:EQT852009 FAP851992:FAP852009 FKL851992:FKL852009 FUH851992:FUH852009 GED851992:GED852009 GNZ851992:GNZ852009 GXV851992:GXV852009 HHR851992:HHR852009 HRN851992:HRN852009 IBJ851992:IBJ852009 ILF851992:ILF852009 IVB851992:IVB852009 JEX851992:JEX852009 JOT851992:JOT852009 JYP851992:JYP852009 KIL851992:KIL852009 KSH851992:KSH852009 LCD851992:LCD852009 LLZ851992:LLZ852009 LVV851992:LVV852009 MFR851992:MFR852009 MPN851992:MPN852009 MZJ851992:MZJ852009 NJF851992:NJF852009 NTB851992:NTB852009 OCX851992:OCX852009 OMT851992:OMT852009 OWP851992:OWP852009 PGL851992:PGL852009 PQH851992:PQH852009 QAD851992:QAD852009 QJZ851992:QJZ852009 QTV851992:QTV852009 RDR851992:RDR852009 RNN851992:RNN852009 RXJ851992:RXJ852009 SHF851992:SHF852009 SRB851992:SRB852009 TAX851992:TAX852009 TKT851992:TKT852009 TUP851992:TUP852009 UEL851992:UEL852009 UOH851992:UOH852009 UYD851992:UYD852009 VHZ851992:VHZ852009 VRV851992:VRV852009 WBR851992:WBR852009 WLN851992:WLN852009 WVJ851992:WVJ852009 B917528:B917545 IX917528:IX917545 ST917528:ST917545 ACP917528:ACP917545 AML917528:AML917545 AWH917528:AWH917545 BGD917528:BGD917545 BPZ917528:BPZ917545 BZV917528:BZV917545 CJR917528:CJR917545 CTN917528:CTN917545 DDJ917528:DDJ917545 DNF917528:DNF917545 DXB917528:DXB917545 EGX917528:EGX917545 EQT917528:EQT917545 FAP917528:FAP917545 FKL917528:FKL917545 FUH917528:FUH917545 GED917528:GED917545 GNZ917528:GNZ917545 GXV917528:GXV917545 HHR917528:HHR917545 HRN917528:HRN917545 IBJ917528:IBJ917545 ILF917528:ILF917545 IVB917528:IVB917545 JEX917528:JEX917545 JOT917528:JOT917545 JYP917528:JYP917545 KIL917528:KIL917545 KSH917528:KSH917545 LCD917528:LCD917545 LLZ917528:LLZ917545 LVV917528:LVV917545 MFR917528:MFR917545 MPN917528:MPN917545 MZJ917528:MZJ917545 NJF917528:NJF917545 NTB917528:NTB917545 OCX917528:OCX917545 OMT917528:OMT917545 OWP917528:OWP917545 PGL917528:PGL917545 PQH917528:PQH917545 QAD917528:QAD917545 QJZ917528:QJZ917545 QTV917528:QTV917545 RDR917528:RDR917545 RNN917528:RNN917545 RXJ917528:RXJ917545 SHF917528:SHF917545 SRB917528:SRB917545 TAX917528:TAX917545 TKT917528:TKT917545 TUP917528:TUP917545 UEL917528:UEL917545 UOH917528:UOH917545 UYD917528:UYD917545 VHZ917528:VHZ917545 VRV917528:VRV917545 WBR917528:WBR917545 WLN917528:WLN917545 WVJ917528:WVJ917545" xr:uid="{00000000-0002-0000-3F00-000000000000}">
      <formula1>trung</formula1>
    </dataValidation>
    <dataValidation type="list" allowBlank="1" showInputMessage="1" showErrorMessage="1" sqref="B37" xr:uid="{00000000-0002-0000-3F00-000001000000}">
      <formula1>bichphuong</formula1>
    </dataValidation>
  </dataValidation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I336"/>
  <sheetViews>
    <sheetView topLeftCell="A12"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9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2442</v>
      </c>
      <c r="B8" s="420"/>
      <c r="C8" s="420"/>
      <c r="D8" s="420"/>
      <c r="E8" s="420"/>
      <c r="F8" s="420"/>
      <c r="G8" s="420"/>
      <c r="H8" s="420"/>
    </row>
    <row r="9" spans="1:8" s="98" customFormat="1" ht="23.25" customHeight="1">
      <c r="A9" s="420" t="s">
        <v>2383</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40.5" customHeight="1">
      <c r="A13" s="96" t="s">
        <v>17</v>
      </c>
      <c r="B13" s="425" t="s">
        <v>2443</v>
      </c>
      <c r="C13" s="425"/>
      <c r="D13" s="425"/>
      <c r="E13" s="425"/>
      <c r="F13" s="425"/>
      <c r="G13" s="73">
        <f>G14+G16</f>
        <v>8457600</v>
      </c>
      <c r="H13" s="74"/>
    </row>
    <row r="14" spans="1:8" s="12" customFormat="1" ht="21.75" customHeight="1">
      <c r="A14" s="212">
        <v>1</v>
      </c>
      <c r="B14" s="452" t="s">
        <v>2102</v>
      </c>
      <c r="C14" s="452"/>
      <c r="D14" s="452"/>
      <c r="E14" s="213"/>
      <c r="F14" s="214"/>
      <c r="G14" s="215">
        <f>G15</f>
        <v>4512000</v>
      </c>
      <c r="H14" s="216"/>
    </row>
    <row r="15" spans="1:8" s="12" customFormat="1" ht="46.8">
      <c r="A15" s="212"/>
      <c r="B15" s="124" t="s">
        <v>2360</v>
      </c>
      <c r="C15" s="220" t="s">
        <v>2120</v>
      </c>
      <c r="D15" s="221">
        <v>56.4</v>
      </c>
      <c r="E15" s="222">
        <v>80000</v>
      </c>
      <c r="F15" s="223">
        <v>1</v>
      </c>
      <c r="G15" s="225">
        <f>D15*E15*F15</f>
        <v>4512000</v>
      </c>
      <c r="H15" s="216"/>
    </row>
    <row r="16" spans="1:8" s="12" customFormat="1" ht="21.75" customHeight="1">
      <c r="A16" s="212">
        <v>2</v>
      </c>
      <c r="B16" s="219" t="s">
        <v>2116</v>
      </c>
      <c r="C16" s="220"/>
      <c r="D16" s="221"/>
      <c r="E16" s="222"/>
      <c r="F16" s="223"/>
      <c r="G16" s="224">
        <f>G18+G19</f>
        <v>3945600</v>
      </c>
      <c r="H16" s="216"/>
    </row>
    <row r="17" spans="1:9" s="229" customFormat="1" ht="204" customHeight="1">
      <c r="A17" s="454" t="s">
        <v>2117</v>
      </c>
      <c r="B17" s="456" t="s">
        <v>2123</v>
      </c>
      <c r="C17" s="227" t="s">
        <v>2124</v>
      </c>
      <c r="D17" s="227" t="s">
        <v>2125</v>
      </c>
      <c r="E17" s="228" t="s">
        <v>2126</v>
      </c>
      <c r="F17" s="227" t="s">
        <v>2127</v>
      </c>
      <c r="G17" s="227" t="s">
        <v>2128</v>
      </c>
      <c r="H17" s="227" t="s">
        <v>2129</v>
      </c>
    </row>
    <row r="18" spans="1:9" s="229" customFormat="1" ht="47.25" customHeight="1">
      <c r="A18" s="455"/>
      <c r="B18" s="457"/>
      <c r="C18" s="278">
        <v>2</v>
      </c>
      <c r="D18" s="279">
        <f>IF(H18&lt;30%,3,IF(H18&lt;70%,6,IF(H18&gt;70%,12,0)))</f>
        <v>3</v>
      </c>
      <c r="E18" s="280">
        <v>14400</v>
      </c>
      <c r="F18" s="281">
        <f>IF(H18&lt;30%,30,IF(H18&gt;30%,30))</f>
        <v>30</v>
      </c>
      <c r="G18" s="282">
        <f>C18*D18*E18*F18</f>
        <v>2592000</v>
      </c>
      <c r="H18" s="283">
        <f>D15/4212</f>
        <v>1.339031339031339E-2</v>
      </c>
    </row>
    <row r="19" spans="1:9" s="229" customFormat="1" ht="96.6">
      <c r="A19" s="237" t="s">
        <v>2122</v>
      </c>
      <c r="B19" s="238" t="s">
        <v>2131</v>
      </c>
      <c r="C19" s="239" t="s">
        <v>66</v>
      </c>
      <c r="D19" s="240">
        <f>D15</f>
        <v>56.4</v>
      </c>
      <c r="E19" s="241">
        <v>80000</v>
      </c>
      <c r="F19" s="242">
        <f>30%</f>
        <v>0.3</v>
      </c>
      <c r="G19" s="246">
        <f>D19*E19*F19</f>
        <v>1353600</v>
      </c>
      <c r="H19" s="244"/>
      <c r="I19" s="245"/>
    </row>
    <row r="20" spans="1:9" ht="27" customHeight="1">
      <c r="A20" s="75" t="s">
        <v>18</v>
      </c>
      <c r="B20" s="426" t="s">
        <v>1725</v>
      </c>
      <c r="C20" s="426"/>
      <c r="D20" s="426"/>
      <c r="E20" s="426"/>
      <c r="F20" s="426"/>
      <c r="G20" s="76">
        <f>SUM(G21:G21)</f>
        <v>71409.69</v>
      </c>
      <c r="H20" s="11"/>
    </row>
    <row r="21" spans="1:9" ht="30.6" customHeight="1">
      <c r="A21" s="77">
        <v>1</v>
      </c>
      <c r="B21" s="78" t="s">
        <v>2444</v>
      </c>
      <c r="C21" s="14" t="s">
        <v>1754</v>
      </c>
      <c r="D21" s="132">
        <f>2*1.5*0.11</f>
        <v>0.33</v>
      </c>
      <c r="E21" s="15">
        <v>1081965</v>
      </c>
      <c r="F21" s="187">
        <v>0.2</v>
      </c>
      <c r="G21" s="79">
        <f t="shared" ref="G21" si="0">D21*E21*F21</f>
        <v>71409.69</v>
      </c>
      <c r="H21" s="15"/>
    </row>
    <row r="22" spans="1:9" ht="24" customHeight="1">
      <c r="A22" s="75" t="s">
        <v>19</v>
      </c>
      <c r="B22" s="426" t="s">
        <v>1727</v>
      </c>
      <c r="C22" s="426"/>
      <c r="D22" s="426"/>
      <c r="E22" s="426"/>
      <c r="F22" s="426"/>
      <c r="G22" s="76">
        <f>SUM(G23:G27)</f>
        <v>2180000</v>
      </c>
      <c r="H22" s="11"/>
    </row>
    <row r="23" spans="1:9" s="12" customFormat="1" ht="34.200000000000003" customHeight="1">
      <c r="A23" s="94">
        <v>1</v>
      </c>
      <c r="B23" s="13" t="s">
        <v>807</v>
      </c>
      <c r="C23" s="14" t="s">
        <v>1724</v>
      </c>
      <c r="D23" s="14">
        <v>1</v>
      </c>
      <c r="E23" s="79" t="str">
        <f>VLOOKUP(B23,'[20]Đơn giá cây cối'!$A$2:$C$1361,3,0)</f>
        <v>622.000</v>
      </c>
      <c r="F23" s="14">
        <v>1</v>
      </c>
      <c r="G23" s="79">
        <f t="shared" ref="G23:G27" si="1">D23*E23*F23</f>
        <v>622000</v>
      </c>
      <c r="H23" s="95"/>
    </row>
    <row r="24" spans="1:9" s="12" customFormat="1" ht="34.200000000000003" customHeight="1">
      <c r="A24" s="94">
        <v>2</v>
      </c>
      <c r="B24" s="13" t="s">
        <v>806</v>
      </c>
      <c r="C24" s="14" t="s">
        <v>1724</v>
      </c>
      <c r="D24" s="14">
        <v>1</v>
      </c>
      <c r="E24" s="79" t="str">
        <f>VLOOKUP(B24,'[20]Đơn giá cây cối'!$A$2:$C$1361,3,0)</f>
        <v>473.000</v>
      </c>
      <c r="F24" s="14">
        <v>1</v>
      </c>
      <c r="G24" s="79">
        <f t="shared" si="1"/>
        <v>473000</v>
      </c>
      <c r="H24" s="95"/>
    </row>
    <row r="25" spans="1:9" s="12" customFormat="1" ht="34.200000000000003" customHeight="1">
      <c r="A25" s="94">
        <v>3</v>
      </c>
      <c r="B25" s="13" t="s">
        <v>807</v>
      </c>
      <c r="C25" s="14" t="s">
        <v>1724</v>
      </c>
      <c r="D25" s="14">
        <v>1</v>
      </c>
      <c r="E25" s="79" t="str">
        <f>VLOOKUP(B25,'[20]Đơn giá cây cối'!$A$2:$C$1361,3,0)</f>
        <v>622.000</v>
      </c>
      <c r="F25" s="14">
        <v>1</v>
      </c>
      <c r="G25" s="79">
        <f t="shared" si="1"/>
        <v>622000</v>
      </c>
      <c r="H25" s="95"/>
    </row>
    <row r="26" spans="1:9" s="12" customFormat="1" ht="34.200000000000003" customHeight="1">
      <c r="A26" s="94">
        <v>4</v>
      </c>
      <c r="B26" s="13" t="s">
        <v>804</v>
      </c>
      <c r="C26" s="14" t="s">
        <v>1724</v>
      </c>
      <c r="D26" s="14">
        <v>2</v>
      </c>
      <c r="E26" s="79" t="str">
        <f>VLOOKUP(B26,'[20]Đơn giá cây cối'!$A$2:$C$1361,3,0)</f>
        <v>149.000</v>
      </c>
      <c r="F26" s="14">
        <v>1</v>
      </c>
      <c r="G26" s="79">
        <f t="shared" si="1"/>
        <v>298000</v>
      </c>
      <c r="H26" s="95"/>
    </row>
    <row r="27" spans="1:9" s="12" customFormat="1" ht="34.200000000000003" customHeight="1">
      <c r="A27" s="94">
        <v>5</v>
      </c>
      <c r="B27" s="13" t="s">
        <v>26</v>
      </c>
      <c r="C27" s="14" t="s">
        <v>66</v>
      </c>
      <c r="D27" s="14">
        <v>15</v>
      </c>
      <c r="E27" s="79">
        <f>VLOOKUP(B27,'[20]Đơn giá cây cối'!$A$2:$C$1361,3,0)</f>
        <v>11000</v>
      </c>
      <c r="F27" s="14">
        <v>1</v>
      </c>
      <c r="G27" s="79">
        <f t="shared" si="1"/>
        <v>165000</v>
      </c>
      <c r="H27" s="95"/>
    </row>
    <row r="28" spans="1:9" ht="15.6">
      <c r="A28" s="80"/>
      <c r="B28" s="427" t="s">
        <v>62</v>
      </c>
      <c r="C28" s="428"/>
      <c r="D28" s="428"/>
      <c r="E28" s="428"/>
      <c r="F28" s="429"/>
      <c r="G28" s="81">
        <f>G13+G20+G22</f>
        <v>10709009.689999999</v>
      </c>
      <c r="H28" s="82"/>
    </row>
    <row r="29" spans="1:9" ht="15.6">
      <c r="A29" s="80"/>
      <c r="B29" s="427" t="s">
        <v>1726</v>
      </c>
      <c r="C29" s="428"/>
      <c r="D29" s="428"/>
      <c r="E29" s="428"/>
      <c r="F29" s="429"/>
      <c r="G29" s="81">
        <f>ROUND(G28,-3)</f>
        <v>10709000</v>
      </c>
      <c r="H29" s="82"/>
    </row>
    <row r="30" spans="1:9" ht="15.6">
      <c r="A30" s="430" t="str">
        <f>[18]!uni(G29)</f>
        <v xml:space="preserve">Mười triệu bảy trăm linh chín nghìn đồng </v>
      </c>
      <c r="B30" s="431"/>
      <c r="C30" s="431"/>
      <c r="D30" s="431"/>
      <c r="E30" s="431"/>
      <c r="F30" s="431"/>
      <c r="G30" s="431"/>
      <c r="H30" s="432"/>
    </row>
    <row r="31" spans="1:9">
      <c r="A31" s="17"/>
      <c r="B31" s="17"/>
      <c r="C31" s="97"/>
      <c r="D31" s="20"/>
      <c r="E31" s="19"/>
      <c r="G31" s="19"/>
      <c r="H31" s="17"/>
    </row>
    <row r="32" spans="1:9" s="109" customFormat="1" ht="16.5" customHeight="1">
      <c r="A32" s="108"/>
      <c r="B32" s="108"/>
      <c r="C32" s="424" t="s">
        <v>1742</v>
      </c>
      <c r="D32" s="424"/>
      <c r="E32" s="424"/>
      <c r="F32" s="424"/>
      <c r="G32" s="424"/>
      <c r="H32" s="424"/>
    </row>
    <row r="33" spans="1:8" s="109" customFormat="1" ht="16.5" customHeight="1">
      <c r="A33" s="423" t="s">
        <v>63</v>
      </c>
      <c r="B33" s="423"/>
      <c r="C33" s="424" t="s">
        <v>1743</v>
      </c>
      <c r="D33" s="424"/>
      <c r="E33" s="424"/>
      <c r="F33" s="424" t="s">
        <v>1744</v>
      </c>
      <c r="G33" s="424"/>
      <c r="H33" s="424"/>
    </row>
    <row r="34" spans="1:8" s="109" customFormat="1" ht="15.6">
      <c r="A34" s="108"/>
      <c r="B34" s="108"/>
      <c r="C34" s="108"/>
      <c r="D34" s="110"/>
      <c r="E34" s="111"/>
      <c r="F34" s="112"/>
      <c r="G34" s="111"/>
      <c r="H34" s="113"/>
    </row>
    <row r="35" spans="1:8" s="109" customFormat="1" ht="15.6">
      <c r="A35" s="108"/>
      <c r="B35" s="108"/>
      <c r="C35" s="108"/>
      <c r="D35" s="110"/>
      <c r="E35" s="111"/>
      <c r="F35" s="112"/>
      <c r="G35" s="114"/>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6.5" customHeight="1">
      <c r="A39" s="108"/>
      <c r="B39" s="198" t="s">
        <v>64</v>
      </c>
      <c r="C39" s="424"/>
      <c r="D39" s="424"/>
      <c r="E39" s="424"/>
      <c r="F39" s="424" t="s">
        <v>1745</v>
      </c>
      <c r="G39" s="424"/>
      <c r="H39" s="424"/>
    </row>
    <row r="40" spans="1:8" s="109" customFormat="1" ht="15.6">
      <c r="A40" s="108"/>
      <c r="B40" s="198"/>
      <c r="C40" s="199"/>
      <c r="D40" s="199"/>
      <c r="E40" s="199"/>
      <c r="F40" s="199"/>
      <c r="G40" s="199"/>
      <c r="H40" s="199"/>
    </row>
    <row r="41" spans="1:8" s="109" customFormat="1" ht="15" customHeight="1">
      <c r="A41" s="424" t="s">
        <v>1746</v>
      </c>
      <c r="B41" s="424"/>
      <c r="C41" s="424"/>
      <c r="D41" s="424"/>
      <c r="E41" s="424" t="s">
        <v>1747</v>
      </c>
      <c r="F41" s="424"/>
      <c r="G41" s="424"/>
      <c r="H41" s="424"/>
    </row>
    <row r="42" spans="1:8" s="109" customFormat="1" ht="33.6" customHeight="1">
      <c r="A42" s="424" t="s">
        <v>1748</v>
      </c>
      <c r="B42" s="424"/>
      <c r="C42" s="424"/>
      <c r="D42" s="424"/>
      <c r="E42" s="424" t="s">
        <v>65</v>
      </c>
      <c r="F42" s="424"/>
      <c r="G42" s="424"/>
      <c r="H42" s="424"/>
    </row>
    <row r="43" spans="1:8" s="109" customFormat="1" ht="15.6">
      <c r="A43" s="108"/>
      <c r="B43" s="108"/>
      <c r="C43" s="108"/>
      <c r="D43" s="110"/>
      <c r="E43" s="111"/>
      <c r="F43" s="112"/>
      <c r="G43" s="111"/>
      <c r="H43" s="113"/>
    </row>
    <row r="44" spans="1:8" s="109" customFormat="1" ht="15.6">
      <c r="A44" s="108"/>
      <c r="B44" s="108"/>
      <c r="C44" s="108"/>
      <c r="D44" s="110"/>
      <c r="E44" s="111"/>
      <c r="F44" s="112"/>
      <c r="G44" s="111"/>
      <c r="H44" s="113"/>
    </row>
    <row r="45" spans="1:8" s="109" customFormat="1" ht="15.6">
      <c r="A45" s="108"/>
      <c r="B45" s="108"/>
      <c r="C45" s="108"/>
      <c r="D45" s="110"/>
      <c r="E45" s="111"/>
      <c r="F45" s="112"/>
      <c r="G45" s="111"/>
      <c r="H45" s="113"/>
    </row>
    <row r="46" spans="1:8" s="109" customFormat="1" ht="15.6">
      <c r="A46" s="108"/>
      <c r="B46" s="108"/>
      <c r="C46" s="108"/>
      <c r="D46" s="110"/>
      <c r="E46" s="111"/>
      <c r="F46" s="112"/>
      <c r="G46" s="111"/>
      <c r="H46" s="113"/>
    </row>
    <row r="47" spans="1:8" s="109" customFormat="1" ht="15.6">
      <c r="A47" s="108"/>
      <c r="B47" s="108"/>
      <c r="C47" s="108"/>
      <c r="D47" s="110"/>
      <c r="E47" s="111"/>
      <c r="F47" s="112"/>
      <c r="G47" s="111"/>
      <c r="H47" s="113"/>
    </row>
    <row r="48" spans="1:8" s="109" customFormat="1" ht="15.6" customHeight="1">
      <c r="A48" s="108"/>
      <c r="B48" s="108"/>
      <c r="C48" s="108"/>
      <c r="D48" s="115"/>
      <c r="E48" s="439" t="s">
        <v>1749</v>
      </c>
      <c r="F48" s="439"/>
      <c r="G48" s="439"/>
      <c r="H48" s="439"/>
    </row>
    <row r="49" spans="1:8" s="109" customFormat="1" ht="16.5" customHeight="1">
      <c r="A49" s="424" t="s">
        <v>1751</v>
      </c>
      <c r="B49" s="424"/>
      <c r="C49" s="424"/>
      <c r="D49" s="424"/>
      <c r="E49" s="424" t="s">
        <v>1750</v>
      </c>
      <c r="F49" s="424"/>
      <c r="G49" s="424"/>
      <c r="H49" s="424"/>
    </row>
    <row r="50" spans="1:8" s="118" customFormat="1" ht="16.2" customHeight="1">
      <c r="A50" s="440"/>
      <c r="B50" s="440"/>
      <c r="C50" s="116"/>
      <c r="D50" s="117"/>
      <c r="E50" s="440"/>
      <c r="F50" s="440"/>
      <c r="G50" s="440"/>
      <c r="H50" s="440"/>
    </row>
    <row r="51" spans="1:8" s="118" customFormat="1" ht="15.75" customHeight="1">
      <c r="A51" s="440"/>
      <c r="B51" s="440"/>
      <c r="C51" s="440"/>
      <c r="D51" s="440"/>
      <c r="E51" s="440"/>
      <c r="F51" s="440"/>
      <c r="G51" s="440"/>
      <c r="H51" s="440"/>
    </row>
    <row r="52" spans="1:8" s="98" customFormat="1" ht="16.2" customHeight="1">
      <c r="A52" s="436"/>
      <c r="B52" s="436"/>
      <c r="C52" s="436"/>
      <c r="D52" s="436"/>
      <c r="E52" s="119"/>
      <c r="F52" s="120"/>
      <c r="G52" s="119"/>
      <c r="H52" s="121"/>
    </row>
    <row r="53" spans="1:8" s="98" customFormat="1" ht="16.2" customHeight="1">
      <c r="A53" s="436"/>
      <c r="B53" s="436"/>
      <c r="C53" s="436"/>
      <c r="D53" s="436"/>
      <c r="E53" s="119"/>
      <c r="F53" s="120"/>
      <c r="G53" s="119"/>
      <c r="H53" s="121"/>
    </row>
    <row r="54" spans="1:8" s="98" customFormat="1" ht="16.2" customHeight="1">
      <c r="A54" s="121"/>
      <c r="B54" s="121"/>
      <c r="C54" s="121"/>
      <c r="D54" s="122"/>
      <c r="E54" s="119"/>
      <c r="F54" s="120"/>
      <c r="G54" s="119"/>
      <c r="H54" s="121"/>
    </row>
    <row r="55" spans="1:8" ht="16.2" customHeight="1">
      <c r="A55" s="83"/>
      <c r="B55" s="83"/>
      <c r="C55" s="83"/>
      <c r="D55" s="84"/>
      <c r="E55" s="85"/>
      <c r="F55" s="86"/>
      <c r="G55" s="85"/>
      <c r="H55" s="83"/>
    </row>
    <row r="56" spans="1:8" ht="16.2" customHeight="1">
      <c r="A56" s="83"/>
      <c r="B56" s="83"/>
      <c r="C56" s="83"/>
      <c r="D56" s="84"/>
      <c r="E56" s="85"/>
      <c r="F56" s="86"/>
      <c r="G56" s="85"/>
      <c r="H56" s="83"/>
    </row>
    <row r="57" spans="1:8" ht="16.2" customHeight="1">
      <c r="A57" s="83"/>
      <c r="B57" s="83"/>
      <c r="C57" s="83"/>
      <c r="D57" s="84"/>
      <c r="E57" s="85"/>
      <c r="F57" s="86"/>
      <c r="G57" s="85"/>
      <c r="H57" s="83"/>
    </row>
    <row r="58" spans="1:8" ht="16.2" customHeight="1">
      <c r="A58" s="83"/>
      <c r="B58" s="83"/>
      <c r="C58" s="83"/>
      <c r="D58" s="84"/>
      <c r="E58" s="437"/>
      <c r="F58" s="437"/>
      <c r="G58" s="437"/>
      <c r="H58" s="437"/>
    </row>
    <row r="59" spans="1:8" ht="20.25" customHeight="1">
      <c r="A59" s="438"/>
      <c r="B59" s="438"/>
      <c r="C59" s="438"/>
      <c r="D59" s="438"/>
      <c r="E59" s="438"/>
      <c r="F59" s="438"/>
      <c r="G59" s="438"/>
      <c r="H59" s="438"/>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D73" s="18"/>
      <c r="E73" s="19"/>
      <c r="F73" s="97"/>
      <c r="G73" s="19"/>
    </row>
    <row r="74" spans="3:7" s="17" customFormat="1" ht="16.2" customHeight="1">
      <c r="D74" s="18"/>
      <c r="E74" s="19"/>
      <c r="F74" s="97"/>
      <c r="G74" s="19"/>
    </row>
    <row r="75" spans="3:7" s="17" customFormat="1" ht="16.2" customHeight="1">
      <c r="D75" s="18"/>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s="17" customFormat="1" ht="16.2" customHeight="1">
      <c r="C87" s="97"/>
      <c r="D87" s="20"/>
      <c r="E87" s="19"/>
      <c r="F87" s="97"/>
      <c r="G87" s="19"/>
    </row>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row r="235"/>
    <row r="236"/>
    <row r="237"/>
    <row r="238"/>
    <row r="239"/>
    <row r="240"/>
    <row r="241"/>
    <row r="242"/>
    <row r="243"/>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sheetData>
  <mergeCells count="43">
    <mergeCell ref="A4:B4"/>
    <mergeCell ref="C4:H4"/>
    <mergeCell ref="A1:B1"/>
    <mergeCell ref="C1:H1"/>
    <mergeCell ref="A2:B2"/>
    <mergeCell ref="C2:H2"/>
    <mergeCell ref="A3:B3"/>
    <mergeCell ref="B22:F22"/>
    <mergeCell ref="A6:H6"/>
    <mergeCell ref="A7:H7"/>
    <mergeCell ref="A8:H8"/>
    <mergeCell ref="A9:H9"/>
    <mergeCell ref="A10:H10"/>
    <mergeCell ref="A11:H11"/>
    <mergeCell ref="B13:F13"/>
    <mergeCell ref="B14:D14"/>
    <mergeCell ref="A17:A18"/>
    <mergeCell ref="B17:B18"/>
    <mergeCell ref="B20:F20"/>
    <mergeCell ref="B28:F28"/>
    <mergeCell ref="B29:F29"/>
    <mergeCell ref="A30:H30"/>
    <mergeCell ref="C32:H32"/>
    <mergeCell ref="A33:B33"/>
    <mergeCell ref="C33:E33"/>
    <mergeCell ref="F33:H33"/>
    <mergeCell ref="C39:E39"/>
    <mergeCell ref="F39:H39"/>
    <mergeCell ref="A41:D41"/>
    <mergeCell ref="E41:H41"/>
    <mergeCell ref="A42:D42"/>
    <mergeCell ref="E42:H42"/>
    <mergeCell ref="A52:D52"/>
    <mergeCell ref="A53:D53"/>
    <mergeCell ref="E58:H58"/>
    <mergeCell ref="A59:H59"/>
    <mergeCell ref="E48:H48"/>
    <mergeCell ref="A49:D49"/>
    <mergeCell ref="E49:H49"/>
    <mergeCell ref="A50:B50"/>
    <mergeCell ref="E50:H50"/>
    <mergeCell ref="A51:D51"/>
    <mergeCell ref="E51:H51"/>
  </mergeCells>
  <dataValidations count="2">
    <dataValidation type="list" allowBlank="1" showInputMessage="1" showErrorMessage="1" sqref="B23:B27" xr:uid="{00000000-0002-0000-4000-000000000000}">
      <formula1>bichphuong</formula1>
    </dataValidation>
    <dataValidation type="list" allowBlank="1" showInputMessage="1" showErrorMessage="1" sqref="WVJ983051:WVJ983068 B983051:B983068 IX983051:IX983068 ST983051:ST983068 ACP983051:ACP983068 AML983051:AML983068 AWH983051:AWH983068 BGD983051:BGD983068 BPZ983051:BPZ983068 BZV983051:BZV983068 CJR983051:CJR983068 CTN983051:CTN983068 DDJ983051:DDJ983068 DNF983051:DNF983068 DXB983051:DXB983068 EGX983051:EGX983068 EQT983051:EQT983068 FAP983051:FAP983068 FKL983051:FKL983068 FUH983051:FUH983068 GED983051:GED983068 GNZ983051:GNZ983068 GXV983051:GXV983068 HHR983051:HHR983068 HRN983051:HRN983068 IBJ983051:IBJ983068 ILF983051:ILF983068 IVB983051:IVB983068 JEX983051:JEX983068 JOT983051:JOT983068 JYP983051:JYP983068 KIL983051:KIL983068 KSH983051:KSH983068 LCD983051:LCD983068 LLZ983051:LLZ983068 LVV983051:LVV983068 MFR983051:MFR983068 MPN983051:MPN983068 MZJ983051:MZJ983068 NJF983051:NJF983068 NTB983051:NTB983068 OCX983051:OCX983068 OMT983051:OMT983068 OWP983051:OWP983068 PGL983051:PGL983068 PQH983051:PQH983068 QAD983051:QAD983068 QJZ983051:QJZ983068 QTV983051:QTV983068 RDR983051:RDR983068 RNN983051:RNN983068 RXJ983051:RXJ983068 SHF983051:SHF983068 SRB983051:SRB983068 TAX983051:TAX983068 TKT983051:TKT983068 TUP983051:TUP983068 UEL983051:UEL983068 UOH983051:UOH983068 UYD983051:UYD983068 VHZ983051:VHZ983068 VRV983051:VRV983068 WBR983051:WBR983068 WLN983051:WLN983068 B65547:B65564 IX65547:IX65564 ST65547:ST65564 ACP65547:ACP65564 AML65547:AML65564 AWH65547:AWH65564 BGD65547:BGD65564 BPZ65547:BPZ65564 BZV65547:BZV65564 CJR65547:CJR65564 CTN65547:CTN65564 DDJ65547:DDJ65564 DNF65547:DNF65564 DXB65547:DXB65564 EGX65547:EGX65564 EQT65547:EQT65564 FAP65547:FAP65564 FKL65547:FKL65564 FUH65547:FUH65564 GED65547:GED65564 GNZ65547:GNZ65564 GXV65547:GXV65564 HHR65547:HHR65564 HRN65547:HRN65564 IBJ65547:IBJ65564 ILF65547:ILF65564 IVB65547:IVB65564 JEX65547:JEX65564 JOT65547:JOT65564 JYP65547:JYP65564 KIL65547:KIL65564 KSH65547:KSH65564 LCD65547:LCD65564 LLZ65547:LLZ65564 LVV65547:LVV65564 MFR65547:MFR65564 MPN65547:MPN65564 MZJ65547:MZJ65564 NJF65547:NJF65564 NTB65547:NTB65564 OCX65547:OCX65564 OMT65547:OMT65564 OWP65547:OWP65564 PGL65547:PGL65564 PQH65547:PQH65564 QAD65547:QAD65564 QJZ65547:QJZ65564 QTV65547:QTV65564 RDR65547:RDR65564 RNN65547:RNN65564 RXJ65547:RXJ65564 SHF65547:SHF65564 SRB65547:SRB65564 TAX65547:TAX65564 TKT65547:TKT65564 TUP65547:TUP65564 UEL65547:UEL65564 UOH65547:UOH65564 UYD65547:UYD65564 VHZ65547:VHZ65564 VRV65547:VRV65564 WBR65547:WBR65564 WLN65547:WLN65564 WVJ65547:WVJ65564 B131083:B131100 IX131083:IX131100 ST131083:ST131100 ACP131083:ACP131100 AML131083:AML131100 AWH131083:AWH131100 BGD131083:BGD131100 BPZ131083:BPZ131100 BZV131083:BZV131100 CJR131083:CJR131100 CTN131083:CTN131100 DDJ131083:DDJ131100 DNF131083:DNF131100 DXB131083:DXB131100 EGX131083:EGX131100 EQT131083:EQT131100 FAP131083:FAP131100 FKL131083:FKL131100 FUH131083:FUH131100 GED131083:GED131100 GNZ131083:GNZ131100 GXV131083:GXV131100 HHR131083:HHR131100 HRN131083:HRN131100 IBJ131083:IBJ131100 ILF131083:ILF131100 IVB131083:IVB131100 JEX131083:JEX131100 JOT131083:JOT131100 JYP131083:JYP131100 KIL131083:KIL131100 KSH131083:KSH131100 LCD131083:LCD131100 LLZ131083:LLZ131100 LVV131083:LVV131100 MFR131083:MFR131100 MPN131083:MPN131100 MZJ131083:MZJ131100 NJF131083:NJF131100 NTB131083:NTB131100 OCX131083:OCX131100 OMT131083:OMT131100 OWP131083:OWP131100 PGL131083:PGL131100 PQH131083:PQH131100 QAD131083:QAD131100 QJZ131083:QJZ131100 QTV131083:QTV131100 RDR131083:RDR131100 RNN131083:RNN131100 RXJ131083:RXJ131100 SHF131083:SHF131100 SRB131083:SRB131100 TAX131083:TAX131100 TKT131083:TKT131100 TUP131083:TUP131100 UEL131083:UEL131100 UOH131083:UOH131100 UYD131083:UYD131100 VHZ131083:VHZ131100 VRV131083:VRV131100 WBR131083:WBR131100 WLN131083:WLN131100 WVJ131083:WVJ131100 B196619:B196636 IX196619:IX196636 ST196619:ST196636 ACP196619:ACP196636 AML196619:AML196636 AWH196619:AWH196636 BGD196619:BGD196636 BPZ196619:BPZ196636 BZV196619:BZV196636 CJR196619:CJR196636 CTN196619:CTN196636 DDJ196619:DDJ196636 DNF196619:DNF196636 DXB196619:DXB196636 EGX196619:EGX196636 EQT196619:EQT196636 FAP196619:FAP196636 FKL196619:FKL196636 FUH196619:FUH196636 GED196619:GED196636 GNZ196619:GNZ196636 GXV196619:GXV196636 HHR196619:HHR196636 HRN196619:HRN196636 IBJ196619:IBJ196636 ILF196619:ILF196636 IVB196619:IVB196636 JEX196619:JEX196636 JOT196619:JOT196636 JYP196619:JYP196636 KIL196619:KIL196636 KSH196619:KSH196636 LCD196619:LCD196636 LLZ196619:LLZ196636 LVV196619:LVV196636 MFR196619:MFR196636 MPN196619:MPN196636 MZJ196619:MZJ196636 NJF196619:NJF196636 NTB196619:NTB196636 OCX196619:OCX196636 OMT196619:OMT196636 OWP196619:OWP196636 PGL196619:PGL196636 PQH196619:PQH196636 QAD196619:QAD196636 QJZ196619:QJZ196636 QTV196619:QTV196636 RDR196619:RDR196636 RNN196619:RNN196636 RXJ196619:RXJ196636 SHF196619:SHF196636 SRB196619:SRB196636 TAX196619:TAX196636 TKT196619:TKT196636 TUP196619:TUP196636 UEL196619:UEL196636 UOH196619:UOH196636 UYD196619:UYD196636 VHZ196619:VHZ196636 VRV196619:VRV196636 WBR196619:WBR196636 WLN196619:WLN196636 WVJ196619:WVJ196636 B262155:B262172 IX262155:IX262172 ST262155:ST262172 ACP262155:ACP262172 AML262155:AML262172 AWH262155:AWH262172 BGD262155:BGD262172 BPZ262155:BPZ262172 BZV262155:BZV262172 CJR262155:CJR262172 CTN262155:CTN262172 DDJ262155:DDJ262172 DNF262155:DNF262172 DXB262155:DXB262172 EGX262155:EGX262172 EQT262155:EQT262172 FAP262155:FAP262172 FKL262155:FKL262172 FUH262155:FUH262172 GED262155:GED262172 GNZ262155:GNZ262172 GXV262155:GXV262172 HHR262155:HHR262172 HRN262155:HRN262172 IBJ262155:IBJ262172 ILF262155:ILF262172 IVB262155:IVB262172 JEX262155:JEX262172 JOT262155:JOT262172 JYP262155:JYP262172 KIL262155:KIL262172 KSH262155:KSH262172 LCD262155:LCD262172 LLZ262155:LLZ262172 LVV262155:LVV262172 MFR262155:MFR262172 MPN262155:MPN262172 MZJ262155:MZJ262172 NJF262155:NJF262172 NTB262155:NTB262172 OCX262155:OCX262172 OMT262155:OMT262172 OWP262155:OWP262172 PGL262155:PGL262172 PQH262155:PQH262172 QAD262155:QAD262172 QJZ262155:QJZ262172 QTV262155:QTV262172 RDR262155:RDR262172 RNN262155:RNN262172 RXJ262155:RXJ262172 SHF262155:SHF262172 SRB262155:SRB262172 TAX262155:TAX262172 TKT262155:TKT262172 TUP262155:TUP262172 UEL262155:UEL262172 UOH262155:UOH262172 UYD262155:UYD262172 VHZ262155:VHZ262172 VRV262155:VRV262172 WBR262155:WBR262172 WLN262155:WLN262172 WVJ262155:WVJ262172 B327691:B327708 IX327691:IX327708 ST327691:ST327708 ACP327691:ACP327708 AML327691:AML327708 AWH327691:AWH327708 BGD327691:BGD327708 BPZ327691:BPZ327708 BZV327691:BZV327708 CJR327691:CJR327708 CTN327691:CTN327708 DDJ327691:DDJ327708 DNF327691:DNF327708 DXB327691:DXB327708 EGX327691:EGX327708 EQT327691:EQT327708 FAP327691:FAP327708 FKL327691:FKL327708 FUH327691:FUH327708 GED327691:GED327708 GNZ327691:GNZ327708 GXV327691:GXV327708 HHR327691:HHR327708 HRN327691:HRN327708 IBJ327691:IBJ327708 ILF327691:ILF327708 IVB327691:IVB327708 JEX327691:JEX327708 JOT327691:JOT327708 JYP327691:JYP327708 KIL327691:KIL327708 KSH327691:KSH327708 LCD327691:LCD327708 LLZ327691:LLZ327708 LVV327691:LVV327708 MFR327691:MFR327708 MPN327691:MPN327708 MZJ327691:MZJ327708 NJF327691:NJF327708 NTB327691:NTB327708 OCX327691:OCX327708 OMT327691:OMT327708 OWP327691:OWP327708 PGL327691:PGL327708 PQH327691:PQH327708 QAD327691:QAD327708 QJZ327691:QJZ327708 QTV327691:QTV327708 RDR327691:RDR327708 RNN327691:RNN327708 RXJ327691:RXJ327708 SHF327691:SHF327708 SRB327691:SRB327708 TAX327691:TAX327708 TKT327691:TKT327708 TUP327691:TUP327708 UEL327691:UEL327708 UOH327691:UOH327708 UYD327691:UYD327708 VHZ327691:VHZ327708 VRV327691:VRV327708 WBR327691:WBR327708 WLN327691:WLN327708 WVJ327691:WVJ327708 B393227:B393244 IX393227:IX393244 ST393227:ST393244 ACP393227:ACP393244 AML393227:AML393244 AWH393227:AWH393244 BGD393227:BGD393244 BPZ393227:BPZ393244 BZV393227:BZV393244 CJR393227:CJR393244 CTN393227:CTN393244 DDJ393227:DDJ393244 DNF393227:DNF393244 DXB393227:DXB393244 EGX393227:EGX393244 EQT393227:EQT393244 FAP393227:FAP393244 FKL393227:FKL393244 FUH393227:FUH393244 GED393227:GED393244 GNZ393227:GNZ393244 GXV393227:GXV393244 HHR393227:HHR393244 HRN393227:HRN393244 IBJ393227:IBJ393244 ILF393227:ILF393244 IVB393227:IVB393244 JEX393227:JEX393244 JOT393227:JOT393244 JYP393227:JYP393244 KIL393227:KIL393244 KSH393227:KSH393244 LCD393227:LCD393244 LLZ393227:LLZ393244 LVV393227:LVV393244 MFR393227:MFR393244 MPN393227:MPN393244 MZJ393227:MZJ393244 NJF393227:NJF393244 NTB393227:NTB393244 OCX393227:OCX393244 OMT393227:OMT393244 OWP393227:OWP393244 PGL393227:PGL393244 PQH393227:PQH393244 QAD393227:QAD393244 QJZ393227:QJZ393244 QTV393227:QTV393244 RDR393227:RDR393244 RNN393227:RNN393244 RXJ393227:RXJ393244 SHF393227:SHF393244 SRB393227:SRB393244 TAX393227:TAX393244 TKT393227:TKT393244 TUP393227:TUP393244 UEL393227:UEL393244 UOH393227:UOH393244 UYD393227:UYD393244 VHZ393227:VHZ393244 VRV393227:VRV393244 WBR393227:WBR393244 WLN393227:WLN393244 WVJ393227:WVJ393244 B458763:B458780 IX458763:IX458780 ST458763:ST458780 ACP458763:ACP458780 AML458763:AML458780 AWH458763:AWH458780 BGD458763:BGD458780 BPZ458763:BPZ458780 BZV458763:BZV458780 CJR458763:CJR458780 CTN458763:CTN458780 DDJ458763:DDJ458780 DNF458763:DNF458780 DXB458763:DXB458780 EGX458763:EGX458780 EQT458763:EQT458780 FAP458763:FAP458780 FKL458763:FKL458780 FUH458763:FUH458780 GED458763:GED458780 GNZ458763:GNZ458780 GXV458763:GXV458780 HHR458763:HHR458780 HRN458763:HRN458780 IBJ458763:IBJ458780 ILF458763:ILF458780 IVB458763:IVB458780 JEX458763:JEX458780 JOT458763:JOT458780 JYP458763:JYP458780 KIL458763:KIL458780 KSH458763:KSH458780 LCD458763:LCD458780 LLZ458763:LLZ458780 LVV458763:LVV458780 MFR458763:MFR458780 MPN458763:MPN458780 MZJ458763:MZJ458780 NJF458763:NJF458780 NTB458763:NTB458780 OCX458763:OCX458780 OMT458763:OMT458780 OWP458763:OWP458780 PGL458763:PGL458780 PQH458763:PQH458780 QAD458763:QAD458780 QJZ458763:QJZ458780 QTV458763:QTV458780 RDR458763:RDR458780 RNN458763:RNN458780 RXJ458763:RXJ458780 SHF458763:SHF458780 SRB458763:SRB458780 TAX458763:TAX458780 TKT458763:TKT458780 TUP458763:TUP458780 UEL458763:UEL458780 UOH458763:UOH458780 UYD458763:UYD458780 VHZ458763:VHZ458780 VRV458763:VRV458780 WBR458763:WBR458780 WLN458763:WLN458780 WVJ458763:WVJ458780 B524299:B524316 IX524299:IX524316 ST524299:ST524316 ACP524299:ACP524316 AML524299:AML524316 AWH524299:AWH524316 BGD524299:BGD524316 BPZ524299:BPZ524316 BZV524299:BZV524316 CJR524299:CJR524316 CTN524299:CTN524316 DDJ524299:DDJ524316 DNF524299:DNF524316 DXB524299:DXB524316 EGX524299:EGX524316 EQT524299:EQT524316 FAP524299:FAP524316 FKL524299:FKL524316 FUH524299:FUH524316 GED524299:GED524316 GNZ524299:GNZ524316 GXV524299:GXV524316 HHR524299:HHR524316 HRN524299:HRN524316 IBJ524299:IBJ524316 ILF524299:ILF524316 IVB524299:IVB524316 JEX524299:JEX524316 JOT524299:JOT524316 JYP524299:JYP524316 KIL524299:KIL524316 KSH524299:KSH524316 LCD524299:LCD524316 LLZ524299:LLZ524316 LVV524299:LVV524316 MFR524299:MFR524316 MPN524299:MPN524316 MZJ524299:MZJ524316 NJF524299:NJF524316 NTB524299:NTB524316 OCX524299:OCX524316 OMT524299:OMT524316 OWP524299:OWP524316 PGL524299:PGL524316 PQH524299:PQH524316 QAD524299:QAD524316 QJZ524299:QJZ524316 QTV524299:QTV524316 RDR524299:RDR524316 RNN524299:RNN524316 RXJ524299:RXJ524316 SHF524299:SHF524316 SRB524299:SRB524316 TAX524299:TAX524316 TKT524299:TKT524316 TUP524299:TUP524316 UEL524299:UEL524316 UOH524299:UOH524316 UYD524299:UYD524316 VHZ524299:VHZ524316 VRV524299:VRV524316 WBR524299:WBR524316 WLN524299:WLN524316 WVJ524299:WVJ524316 B589835:B589852 IX589835:IX589852 ST589835:ST589852 ACP589835:ACP589852 AML589835:AML589852 AWH589835:AWH589852 BGD589835:BGD589852 BPZ589835:BPZ589852 BZV589835:BZV589852 CJR589835:CJR589852 CTN589835:CTN589852 DDJ589835:DDJ589852 DNF589835:DNF589852 DXB589835:DXB589852 EGX589835:EGX589852 EQT589835:EQT589852 FAP589835:FAP589852 FKL589835:FKL589852 FUH589835:FUH589852 GED589835:GED589852 GNZ589835:GNZ589852 GXV589835:GXV589852 HHR589835:HHR589852 HRN589835:HRN589852 IBJ589835:IBJ589852 ILF589835:ILF589852 IVB589835:IVB589852 JEX589835:JEX589852 JOT589835:JOT589852 JYP589835:JYP589852 KIL589835:KIL589852 KSH589835:KSH589852 LCD589835:LCD589852 LLZ589835:LLZ589852 LVV589835:LVV589852 MFR589835:MFR589852 MPN589835:MPN589852 MZJ589835:MZJ589852 NJF589835:NJF589852 NTB589835:NTB589852 OCX589835:OCX589852 OMT589835:OMT589852 OWP589835:OWP589852 PGL589835:PGL589852 PQH589835:PQH589852 QAD589835:QAD589852 QJZ589835:QJZ589852 QTV589835:QTV589852 RDR589835:RDR589852 RNN589835:RNN589852 RXJ589835:RXJ589852 SHF589835:SHF589852 SRB589835:SRB589852 TAX589835:TAX589852 TKT589835:TKT589852 TUP589835:TUP589852 UEL589835:UEL589852 UOH589835:UOH589852 UYD589835:UYD589852 VHZ589835:VHZ589852 VRV589835:VRV589852 WBR589835:WBR589852 WLN589835:WLN589852 WVJ589835:WVJ589852 B655371:B655388 IX655371:IX655388 ST655371:ST655388 ACP655371:ACP655388 AML655371:AML655388 AWH655371:AWH655388 BGD655371:BGD655388 BPZ655371:BPZ655388 BZV655371:BZV655388 CJR655371:CJR655388 CTN655371:CTN655388 DDJ655371:DDJ655388 DNF655371:DNF655388 DXB655371:DXB655388 EGX655371:EGX655388 EQT655371:EQT655388 FAP655371:FAP655388 FKL655371:FKL655388 FUH655371:FUH655388 GED655371:GED655388 GNZ655371:GNZ655388 GXV655371:GXV655388 HHR655371:HHR655388 HRN655371:HRN655388 IBJ655371:IBJ655388 ILF655371:ILF655388 IVB655371:IVB655388 JEX655371:JEX655388 JOT655371:JOT655388 JYP655371:JYP655388 KIL655371:KIL655388 KSH655371:KSH655388 LCD655371:LCD655388 LLZ655371:LLZ655388 LVV655371:LVV655388 MFR655371:MFR655388 MPN655371:MPN655388 MZJ655371:MZJ655388 NJF655371:NJF655388 NTB655371:NTB655388 OCX655371:OCX655388 OMT655371:OMT655388 OWP655371:OWP655388 PGL655371:PGL655388 PQH655371:PQH655388 QAD655371:QAD655388 QJZ655371:QJZ655388 QTV655371:QTV655388 RDR655371:RDR655388 RNN655371:RNN655388 RXJ655371:RXJ655388 SHF655371:SHF655388 SRB655371:SRB655388 TAX655371:TAX655388 TKT655371:TKT655388 TUP655371:TUP655388 UEL655371:UEL655388 UOH655371:UOH655388 UYD655371:UYD655388 VHZ655371:VHZ655388 VRV655371:VRV655388 WBR655371:WBR655388 WLN655371:WLN655388 WVJ655371:WVJ655388 B720907:B720924 IX720907:IX720924 ST720907:ST720924 ACP720907:ACP720924 AML720907:AML720924 AWH720907:AWH720924 BGD720907:BGD720924 BPZ720907:BPZ720924 BZV720907:BZV720924 CJR720907:CJR720924 CTN720907:CTN720924 DDJ720907:DDJ720924 DNF720907:DNF720924 DXB720907:DXB720924 EGX720907:EGX720924 EQT720907:EQT720924 FAP720907:FAP720924 FKL720907:FKL720924 FUH720907:FUH720924 GED720907:GED720924 GNZ720907:GNZ720924 GXV720907:GXV720924 HHR720907:HHR720924 HRN720907:HRN720924 IBJ720907:IBJ720924 ILF720907:ILF720924 IVB720907:IVB720924 JEX720907:JEX720924 JOT720907:JOT720924 JYP720907:JYP720924 KIL720907:KIL720924 KSH720907:KSH720924 LCD720907:LCD720924 LLZ720907:LLZ720924 LVV720907:LVV720924 MFR720907:MFR720924 MPN720907:MPN720924 MZJ720907:MZJ720924 NJF720907:NJF720924 NTB720907:NTB720924 OCX720907:OCX720924 OMT720907:OMT720924 OWP720907:OWP720924 PGL720907:PGL720924 PQH720907:PQH720924 QAD720907:QAD720924 QJZ720907:QJZ720924 QTV720907:QTV720924 RDR720907:RDR720924 RNN720907:RNN720924 RXJ720907:RXJ720924 SHF720907:SHF720924 SRB720907:SRB720924 TAX720907:TAX720924 TKT720907:TKT720924 TUP720907:TUP720924 UEL720907:UEL720924 UOH720907:UOH720924 UYD720907:UYD720924 VHZ720907:VHZ720924 VRV720907:VRV720924 WBR720907:WBR720924 WLN720907:WLN720924 WVJ720907:WVJ720924 B786443:B786460 IX786443:IX786460 ST786443:ST786460 ACP786443:ACP786460 AML786443:AML786460 AWH786443:AWH786460 BGD786443:BGD786460 BPZ786443:BPZ786460 BZV786443:BZV786460 CJR786443:CJR786460 CTN786443:CTN786460 DDJ786443:DDJ786460 DNF786443:DNF786460 DXB786443:DXB786460 EGX786443:EGX786460 EQT786443:EQT786460 FAP786443:FAP786460 FKL786443:FKL786460 FUH786443:FUH786460 GED786443:GED786460 GNZ786443:GNZ786460 GXV786443:GXV786460 HHR786443:HHR786460 HRN786443:HRN786460 IBJ786443:IBJ786460 ILF786443:ILF786460 IVB786443:IVB786460 JEX786443:JEX786460 JOT786443:JOT786460 JYP786443:JYP786460 KIL786443:KIL786460 KSH786443:KSH786460 LCD786443:LCD786460 LLZ786443:LLZ786460 LVV786443:LVV786460 MFR786443:MFR786460 MPN786443:MPN786460 MZJ786443:MZJ786460 NJF786443:NJF786460 NTB786443:NTB786460 OCX786443:OCX786460 OMT786443:OMT786460 OWP786443:OWP786460 PGL786443:PGL786460 PQH786443:PQH786460 QAD786443:QAD786460 QJZ786443:QJZ786460 QTV786443:QTV786460 RDR786443:RDR786460 RNN786443:RNN786460 RXJ786443:RXJ786460 SHF786443:SHF786460 SRB786443:SRB786460 TAX786443:TAX786460 TKT786443:TKT786460 TUP786443:TUP786460 UEL786443:UEL786460 UOH786443:UOH786460 UYD786443:UYD786460 VHZ786443:VHZ786460 VRV786443:VRV786460 WBR786443:WBR786460 WLN786443:WLN786460 WVJ786443:WVJ786460 B851979:B851996 IX851979:IX851996 ST851979:ST851996 ACP851979:ACP851996 AML851979:AML851996 AWH851979:AWH851996 BGD851979:BGD851996 BPZ851979:BPZ851996 BZV851979:BZV851996 CJR851979:CJR851996 CTN851979:CTN851996 DDJ851979:DDJ851996 DNF851979:DNF851996 DXB851979:DXB851996 EGX851979:EGX851996 EQT851979:EQT851996 FAP851979:FAP851996 FKL851979:FKL851996 FUH851979:FUH851996 GED851979:GED851996 GNZ851979:GNZ851996 GXV851979:GXV851996 HHR851979:HHR851996 HRN851979:HRN851996 IBJ851979:IBJ851996 ILF851979:ILF851996 IVB851979:IVB851996 JEX851979:JEX851996 JOT851979:JOT851996 JYP851979:JYP851996 KIL851979:KIL851996 KSH851979:KSH851996 LCD851979:LCD851996 LLZ851979:LLZ851996 LVV851979:LVV851996 MFR851979:MFR851996 MPN851979:MPN851996 MZJ851979:MZJ851996 NJF851979:NJF851996 NTB851979:NTB851996 OCX851979:OCX851996 OMT851979:OMT851996 OWP851979:OWP851996 PGL851979:PGL851996 PQH851979:PQH851996 QAD851979:QAD851996 QJZ851979:QJZ851996 QTV851979:QTV851996 RDR851979:RDR851996 RNN851979:RNN851996 RXJ851979:RXJ851996 SHF851979:SHF851996 SRB851979:SRB851996 TAX851979:TAX851996 TKT851979:TKT851996 TUP851979:TUP851996 UEL851979:UEL851996 UOH851979:UOH851996 UYD851979:UYD851996 VHZ851979:VHZ851996 VRV851979:VRV851996 WBR851979:WBR851996 WLN851979:WLN851996 WVJ851979:WVJ851996 B917515:B917532 IX917515:IX917532 ST917515:ST917532 ACP917515:ACP917532 AML917515:AML917532 AWH917515:AWH917532 BGD917515:BGD917532 BPZ917515:BPZ917532 BZV917515:BZV917532 CJR917515:CJR917532 CTN917515:CTN917532 DDJ917515:DDJ917532 DNF917515:DNF917532 DXB917515:DXB917532 EGX917515:EGX917532 EQT917515:EQT917532 FAP917515:FAP917532 FKL917515:FKL917532 FUH917515:FUH917532 GED917515:GED917532 GNZ917515:GNZ917532 GXV917515:GXV917532 HHR917515:HHR917532 HRN917515:HRN917532 IBJ917515:IBJ917532 ILF917515:ILF917532 IVB917515:IVB917532 JEX917515:JEX917532 JOT917515:JOT917532 JYP917515:JYP917532 KIL917515:KIL917532 KSH917515:KSH917532 LCD917515:LCD917532 LLZ917515:LLZ917532 LVV917515:LVV917532 MFR917515:MFR917532 MPN917515:MPN917532 MZJ917515:MZJ917532 NJF917515:NJF917532 NTB917515:NTB917532 OCX917515:OCX917532 OMT917515:OMT917532 OWP917515:OWP917532 PGL917515:PGL917532 PQH917515:PQH917532 QAD917515:QAD917532 QJZ917515:QJZ917532 QTV917515:QTV917532 RDR917515:RDR917532 RNN917515:RNN917532 RXJ917515:RXJ917532 SHF917515:SHF917532 SRB917515:SRB917532 TAX917515:TAX917532 TKT917515:TKT917532 TUP917515:TUP917532 UEL917515:UEL917532 UOH917515:UOH917532 UYD917515:UYD917532 VHZ917515:VHZ917532 VRV917515:VRV917532 WBR917515:WBR917532 WLN917515:WLN917532 WVJ917515:WVJ917532" xr:uid="{00000000-0002-0000-4000-000001000000}">
      <formula1>trung</formula1>
    </dataValidation>
  </dataValidation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345"/>
  <sheetViews>
    <sheetView topLeftCell="A16" workbookViewId="0">
      <selection activeCell="B35" sqref="B35:F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9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2445</v>
      </c>
      <c r="B8" s="420"/>
      <c r="C8" s="420"/>
      <c r="D8" s="420"/>
      <c r="E8" s="420"/>
      <c r="F8" s="420"/>
      <c r="G8" s="420"/>
      <c r="H8" s="420"/>
    </row>
    <row r="9" spans="1:8" s="98" customFormat="1" ht="23.25" customHeight="1">
      <c r="A9" s="420" t="s">
        <v>2383</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40.5" customHeight="1">
      <c r="A13" s="96" t="s">
        <v>17</v>
      </c>
      <c r="B13" s="425" t="s">
        <v>2446</v>
      </c>
      <c r="C13" s="425"/>
      <c r="D13" s="425"/>
      <c r="E13" s="425"/>
      <c r="F13" s="425"/>
      <c r="G13" s="73">
        <f>G14+G16</f>
        <v>21172800</v>
      </c>
      <c r="H13" s="74"/>
    </row>
    <row r="14" spans="1:8" s="12" customFormat="1" ht="21.75" customHeight="1">
      <c r="A14" s="212">
        <v>1</v>
      </c>
      <c r="B14" s="452" t="s">
        <v>2102</v>
      </c>
      <c r="C14" s="452"/>
      <c r="D14" s="452"/>
      <c r="E14" s="213"/>
      <c r="F14" s="214"/>
      <c r="G14" s="215">
        <f>G15</f>
        <v>13296000</v>
      </c>
      <c r="H14" s="216"/>
    </row>
    <row r="15" spans="1:8" s="12" customFormat="1" ht="46.8">
      <c r="A15" s="212"/>
      <c r="B15" s="124" t="s">
        <v>2360</v>
      </c>
      <c r="C15" s="220" t="s">
        <v>2120</v>
      </c>
      <c r="D15" s="221">
        <v>166.2</v>
      </c>
      <c r="E15" s="222">
        <v>80000</v>
      </c>
      <c r="F15" s="223">
        <v>1</v>
      </c>
      <c r="G15" s="225">
        <f>D15*E15*F15</f>
        <v>13296000</v>
      </c>
      <c r="H15" s="216"/>
    </row>
    <row r="16" spans="1:8" s="12" customFormat="1" ht="21.75" customHeight="1">
      <c r="A16" s="212">
        <v>2</v>
      </c>
      <c r="B16" s="219" t="s">
        <v>2116</v>
      </c>
      <c r="C16" s="220"/>
      <c r="D16" s="221"/>
      <c r="E16" s="222"/>
      <c r="F16" s="223"/>
      <c r="G16" s="224">
        <f>G18+G19</f>
        <v>7876800</v>
      </c>
      <c r="H16" s="216"/>
    </row>
    <row r="17" spans="1:9" s="229" customFormat="1" ht="204" customHeight="1">
      <c r="A17" s="454" t="s">
        <v>2117</v>
      </c>
      <c r="B17" s="456" t="s">
        <v>2123</v>
      </c>
      <c r="C17" s="227" t="s">
        <v>2124</v>
      </c>
      <c r="D17" s="227" t="s">
        <v>2125</v>
      </c>
      <c r="E17" s="228" t="s">
        <v>2126</v>
      </c>
      <c r="F17" s="227" t="s">
        <v>2127</v>
      </c>
      <c r="G17" s="227" t="s">
        <v>2128</v>
      </c>
      <c r="H17" s="227" t="s">
        <v>2129</v>
      </c>
    </row>
    <row r="18" spans="1:9" s="229" customFormat="1" ht="47.25" customHeight="1">
      <c r="A18" s="455"/>
      <c r="B18" s="457"/>
      <c r="C18" s="278">
        <v>3</v>
      </c>
      <c r="D18" s="279">
        <f>IF(H18&lt;30%,3,IF(H18&lt;70%,6,IF(H18&gt;70%,12,0)))</f>
        <v>3</v>
      </c>
      <c r="E18" s="280">
        <v>14400</v>
      </c>
      <c r="F18" s="281">
        <f>IF(H18&lt;30%,30,IF(H18&gt;30%,30))</f>
        <v>30</v>
      </c>
      <c r="G18" s="282">
        <f>C18*D18*E18*F18</f>
        <v>3888000</v>
      </c>
      <c r="H18" s="283">
        <f>D15/1019</f>
        <v>0.16310107948969577</v>
      </c>
    </row>
    <row r="19" spans="1:9" s="229" customFormat="1" ht="96.6">
      <c r="A19" s="237" t="s">
        <v>2122</v>
      </c>
      <c r="B19" s="238" t="s">
        <v>2131</v>
      </c>
      <c r="C19" s="239" t="s">
        <v>66</v>
      </c>
      <c r="D19" s="240">
        <f>D15</f>
        <v>166.2</v>
      </c>
      <c r="E19" s="241">
        <v>80000</v>
      </c>
      <c r="F19" s="242">
        <f>30%</f>
        <v>0.3</v>
      </c>
      <c r="G19" s="246">
        <f>D19*E19*F19</f>
        <v>3988800</v>
      </c>
      <c r="H19" s="244"/>
      <c r="I19" s="245"/>
    </row>
    <row r="20" spans="1:9" ht="27" customHeight="1">
      <c r="A20" s="75" t="s">
        <v>18</v>
      </c>
      <c r="B20" s="426" t="s">
        <v>1725</v>
      </c>
      <c r="C20" s="426"/>
      <c r="D20" s="426"/>
      <c r="E20" s="426"/>
      <c r="F20" s="426"/>
      <c r="G20" s="76">
        <f>SUM(G21:G29)</f>
        <v>7260618.9016000004</v>
      </c>
      <c r="H20" s="11"/>
    </row>
    <row r="21" spans="1:9" ht="31.2">
      <c r="A21" s="77">
        <v>1</v>
      </c>
      <c r="B21" s="78" t="s">
        <v>2447</v>
      </c>
      <c r="C21" s="14" t="s">
        <v>1754</v>
      </c>
      <c r="D21" s="132">
        <f>5*1.6*0.11</f>
        <v>0.88</v>
      </c>
      <c r="E21" s="15">
        <v>2126713</v>
      </c>
      <c r="F21" s="187">
        <v>0.2</v>
      </c>
      <c r="G21" s="79">
        <f t="shared" ref="G21:G29" si="0">D21*E21*F21</f>
        <v>374301.48800000001</v>
      </c>
      <c r="H21" s="15"/>
    </row>
    <row r="22" spans="1:9" ht="62.4">
      <c r="A22" s="77">
        <v>2</v>
      </c>
      <c r="B22" s="78" t="s">
        <v>2448</v>
      </c>
      <c r="C22" s="14" t="s">
        <v>1755</v>
      </c>
      <c r="D22" s="132">
        <f>(6.62/6)*2.5*8</f>
        <v>22.066666666666666</v>
      </c>
      <c r="E22" s="15">
        <v>19900</v>
      </c>
      <c r="F22" s="187">
        <v>0.2</v>
      </c>
      <c r="G22" s="79">
        <f t="shared" si="0"/>
        <v>87825.333333333343</v>
      </c>
      <c r="H22" s="15"/>
    </row>
    <row r="23" spans="1:9" ht="15.6">
      <c r="A23" s="77">
        <v>3</v>
      </c>
      <c r="B23" s="78" t="s">
        <v>2449</v>
      </c>
      <c r="C23" s="14" t="s">
        <v>66</v>
      </c>
      <c r="D23" s="132">
        <f>2.9*2.3</f>
        <v>6.669999999999999</v>
      </c>
      <c r="E23" s="15">
        <v>379477</v>
      </c>
      <c r="F23" s="187">
        <v>0.2</v>
      </c>
      <c r="G23" s="79">
        <f t="shared" si="0"/>
        <v>506222.31799999997</v>
      </c>
      <c r="H23" s="15"/>
    </row>
    <row r="24" spans="1:9" ht="30.6" customHeight="1">
      <c r="A24" s="77">
        <v>4</v>
      </c>
      <c r="B24" s="78" t="s">
        <v>2450</v>
      </c>
      <c r="C24" s="14" t="s">
        <v>1754</v>
      </c>
      <c r="D24" s="132">
        <f>6.2*12.5*0.15</f>
        <v>11.625</v>
      </c>
      <c r="E24" s="15">
        <v>1629758</v>
      </c>
      <c r="F24" s="187">
        <v>0.2</v>
      </c>
      <c r="G24" s="79">
        <f t="shared" si="0"/>
        <v>3789187.35</v>
      </c>
      <c r="H24" s="15"/>
    </row>
    <row r="25" spans="1:9" ht="15.6">
      <c r="A25" s="77">
        <v>5</v>
      </c>
      <c r="B25" s="78" t="s">
        <v>2451</v>
      </c>
      <c r="C25" s="14" t="s">
        <v>66</v>
      </c>
      <c r="D25" s="132">
        <f>1.8*3</f>
        <v>5.4</v>
      </c>
      <c r="E25" s="15">
        <v>379477</v>
      </c>
      <c r="F25" s="187">
        <v>0.2</v>
      </c>
      <c r="G25" s="79">
        <f t="shared" si="0"/>
        <v>409835.16000000003</v>
      </c>
      <c r="H25" s="15"/>
    </row>
    <row r="26" spans="1:9" ht="46.8">
      <c r="A26" s="77">
        <v>6</v>
      </c>
      <c r="B26" s="78" t="s">
        <v>2452</v>
      </c>
      <c r="C26" s="14" t="s">
        <v>1755</v>
      </c>
      <c r="D26" s="132">
        <f>(10.76/6)*2*2</f>
        <v>7.1733333333333329</v>
      </c>
      <c r="E26" s="15">
        <v>19900</v>
      </c>
      <c r="F26" s="187">
        <v>0.2</v>
      </c>
      <c r="G26" s="79">
        <f t="shared" si="0"/>
        <v>28549.866666666665</v>
      </c>
      <c r="H26" s="15"/>
    </row>
    <row r="27" spans="1:9" ht="31.2">
      <c r="A27" s="77">
        <v>7</v>
      </c>
      <c r="B27" s="78" t="s">
        <v>2453</v>
      </c>
      <c r="C27" s="14" t="s">
        <v>1754</v>
      </c>
      <c r="D27" s="132">
        <f>4*3*0.11*2</f>
        <v>2.64</v>
      </c>
      <c r="E27" s="15">
        <v>2126713</v>
      </c>
      <c r="F27" s="187">
        <v>0.2</v>
      </c>
      <c r="G27" s="79">
        <f t="shared" si="0"/>
        <v>1122904.4640000002</v>
      </c>
      <c r="H27" s="15"/>
    </row>
    <row r="28" spans="1:9" ht="31.2">
      <c r="A28" s="77">
        <v>8</v>
      </c>
      <c r="B28" s="78" t="s">
        <v>2454</v>
      </c>
      <c r="C28" s="14" t="s">
        <v>1754</v>
      </c>
      <c r="D28" s="132">
        <f>2*2.4*0.22</f>
        <v>1.056</v>
      </c>
      <c r="E28" s="15">
        <v>1919493</v>
      </c>
      <c r="F28" s="187">
        <v>0.2</v>
      </c>
      <c r="G28" s="79">
        <f t="shared" si="0"/>
        <v>405396.9216</v>
      </c>
      <c r="H28" s="15"/>
    </row>
    <row r="29" spans="1:9" ht="30.6" customHeight="1">
      <c r="A29" s="77">
        <v>9</v>
      </c>
      <c r="B29" s="78" t="s">
        <v>2455</v>
      </c>
      <c r="C29" s="14" t="s">
        <v>66</v>
      </c>
      <c r="D29" s="132">
        <f>4*5</f>
        <v>20</v>
      </c>
      <c r="E29" s="79">
        <v>134099</v>
      </c>
      <c r="F29" s="187">
        <v>0.2</v>
      </c>
      <c r="G29" s="79">
        <f t="shared" si="0"/>
        <v>536396</v>
      </c>
      <c r="H29" s="15"/>
    </row>
    <row r="30" spans="1:9" ht="24" customHeight="1">
      <c r="A30" s="75" t="s">
        <v>19</v>
      </c>
      <c r="B30" s="426" t="s">
        <v>1727</v>
      </c>
      <c r="C30" s="426"/>
      <c r="D30" s="426"/>
      <c r="E30" s="426"/>
      <c r="F30" s="426"/>
      <c r="G30" s="76">
        <f>SUM(G31:G34)</f>
        <v>16686000</v>
      </c>
      <c r="H30" s="11"/>
    </row>
    <row r="31" spans="1:9" s="12" customFormat="1" ht="34.200000000000003" customHeight="1">
      <c r="A31" s="94">
        <v>1</v>
      </c>
      <c r="B31" s="13" t="s">
        <v>847</v>
      </c>
      <c r="C31" s="14" t="s">
        <v>1724</v>
      </c>
      <c r="D31" s="14">
        <v>2</v>
      </c>
      <c r="E31" s="79" t="str">
        <f>VLOOKUP(B31,'[20]Đơn giá cây cối'!$A$2:$C$1361,3,0)</f>
        <v>3.981.000</v>
      </c>
      <c r="F31" s="14">
        <v>1</v>
      </c>
      <c r="G31" s="79">
        <f t="shared" ref="G31:G34" si="1">D31*E31*F31</f>
        <v>7962000</v>
      </c>
      <c r="H31" s="95"/>
    </row>
    <row r="32" spans="1:9" s="12" customFormat="1" ht="34.200000000000003" customHeight="1">
      <c r="A32" s="94">
        <v>2</v>
      </c>
      <c r="B32" s="267" t="s">
        <v>821</v>
      </c>
      <c r="C32" s="14" t="s">
        <v>1724</v>
      </c>
      <c r="D32" s="326">
        <v>2</v>
      </c>
      <c r="E32" s="79" t="str">
        <f>VLOOKUP(B32,'[20]Đơn giá cây cối'!$A$2:$C$1361,3,0)</f>
        <v>3.981.000</v>
      </c>
      <c r="F32" s="14">
        <v>1</v>
      </c>
      <c r="G32" s="79">
        <f t="shared" si="1"/>
        <v>7962000</v>
      </c>
      <c r="H32" s="95"/>
    </row>
    <row r="33" spans="1:8" s="12" customFormat="1" ht="34.200000000000003" customHeight="1">
      <c r="A33" s="94">
        <v>3</v>
      </c>
      <c r="B33" s="267" t="s">
        <v>300</v>
      </c>
      <c r="C33" s="14" t="s">
        <v>1724</v>
      </c>
      <c r="D33" s="326">
        <v>2</v>
      </c>
      <c r="E33" s="79">
        <f>VLOOKUP(B33,'[20]Đơn giá cây cối'!$A$2:$C$1361,3,0)</f>
        <v>70000</v>
      </c>
      <c r="F33" s="14">
        <v>1</v>
      </c>
      <c r="G33" s="79">
        <f t="shared" si="1"/>
        <v>140000</v>
      </c>
      <c r="H33" s="95"/>
    </row>
    <row r="34" spans="1:8" s="12" customFormat="1" ht="34.200000000000003" customHeight="1">
      <c r="A34" s="94">
        <v>4</v>
      </c>
      <c r="B34" s="267" t="s">
        <v>805</v>
      </c>
      <c r="C34" s="14" t="s">
        <v>1724</v>
      </c>
      <c r="D34" s="326">
        <v>2</v>
      </c>
      <c r="E34" s="79" t="str">
        <f>VLOOKUP(B34,'[20]Đơn giá cây cối'!$A$2:$C$1361,3,0)</f>
        <v>311.000</v>
      </c>
      <c r="F34" s="14">
        <v>1</v>
      </c>
      <c r="G34" s="79">
        <f t="shared" si="1"/>
        <v>622000</v>
      </c>
      <c r="H34" s="95"/>
    </row>
    <row r="35" spans="1:8" ht="15.6">
      <c r="A35" s="80"/>
      <c r="B35" s="427" t="s">
        <v>62</v>
      </c>
      <c r="C35" s="428"/>
      <c r="D35" s="428"/>
      <c r="E35" s="428"/>
      <c r="F35" s="429"/>
      <c r="G35" s="81">
        <f>G13+G20+G30</f>
        <v>45119418.901600003</v>
      </c>
      <c r="H35" s="82"/>
    </row>
    <row r="36" spans="1:8" ht="15.6">
      <c r="A36" s="80"/>
      <c r="B36" s="427" t="s">
        <v>1726</v>
      </c>
      <c r="C36" s="428"/>
      <c r="D36" s="428"/>
      <c r="E36" s="428"/>
      <c r="F36" s="429"/>
      <c r="G36" s="81">
        <f>ROUND(G35,-3)</f>
        <v>45119000</v>
      </c>
      <c r="H36" s="82"/>
    </row>
    <row r="37" spans="1:8" ht="15.6">
      <c r="A37" s="430" t="str">
        <f>[18]!uni(G36)</f>
        <v xml:space="preserve">Bốn mươi lăm triệu một trăm mười chín nghìn đồng </v>
      </c>
      <c r="B37" s="431"/>
      <c r="C37" s="431"/>
      <c r="D37" s="431"/>
      <c r="E37" s="431"/>
      <c r="F37" s="431"/>
      <c r="G37" s="431"/>
      <c r="H37" s="432"/>
    </row>
    <row r="38" spans="1:8">
      <c r="A38" s="17"/>
      <c r="B38" s="17"/>
      <c r="C38" s="97"/>
      <c r="D38" s="20"/>
      <c r="E38" s="19"/>
      <c r="G38" s="19"/>
      <c r="H38" s="17"/>
    </row>
    <row r="39" spans="1:8" s="109" customFormat="1" ht="16.5" customHeight="1">
      <c r="A39" s="108"/>
      <c r="B39" s="108"/>
      <c r="C39" s="424" t="s">
        <v>1742</v>
      </c>
      <c r="D39" s="424"/>
      <c r="E39" s="424"/>
      <c r="F39" s="424"/>
      <c r="G39" s="424"/>
      <c r="H39" s="424"/>
    </row>
    <row r="40" spans="1:8" s="109" customFormat="1" ht="16.5" customHeight="1">
      <c r="A40" s="423" t="s">
        <v>63</v>
      </c>
      <c r="B40" s="423"/>
      <c r="C40" s="424" t="s">
        <v>1743</v>
      </c>
      <c r="D40" s="424"/>
      <c r="E40" s="424"/>
      <c r="F40" s="424" t="s">
        <v>1744</v>
      </c>
      <c r="G40" s="424"/>
      <c r="H40" s="424"/>
    </row>
    <row r="41" spans="1:8" s="109" customFormat="1" ht="15.6">
      <c r="A41" s="108"/>
      <c r="B41" s="108"/>
      <c r="C41" s="108"/>
      <c r="D41" s="110"/>
      <c r="E41" s="111"/>
      <c r="F41" s="112"/>
      <c r="G41" s="111"/>
      <c r="H41" s="113"/>
    </row>
    <row r="42" spans="1:8" s="109" customFormat="1" ht="15.6">
      <c r="A42" s="108"/>
      <c r="B42" s="108"/>
      <c r="C42" s="108"/>
      <c r="D42" s="110"/>
      <c r="E42" s="111"/>
      <c r="F42" s="112"/>
      <c r="G42" s="114"/>
      <c r="H42" s="113"/>
    </row>
    <row r="43" spans="1:8" s="109" customFormat="1" ht="15.6">
      <c r="A43" s="108"/>
      <c r="B43" s="108"/>
      <c r="C43" s="108"/>
      <c r="D43" s="110"/>
      <c r="E43" s="111"/>
      <c r="F43" s="112"/>
      <c r="G43" s="111"/>
      <c r="H43" s="113"/>
    </row>
    <row r="44" spans="1:8" s="109" customFormat="1" ht="15.6">
      <c r="A44" s="108"/>
      <c r="B44" s="108"/>
      <c r="C44" s="108"/>
      <c r="D44" s="110"/>
      <c r="E44" s="111"/>
      <c r="F44" s="112"/>
      <c r="G44" s="111"/>
      <c r="H44" s="113"/>
    </row>
    <row r="45" spans="1:8" s="109" customFormat="1" ht="15.6">
      <c r="A45" s="108"/>
      <c r="B45" s="108"/>
      <c r="C45" s="108"/>
      <c r="D45" s="110"/>
      <c r="E45" s="111"/>
      <c r="F45" s="112"/>
      <c r="G45" s="111"/>
      <c r="H45" s="113"/>
    </row>
    <row r="46" spans="1:8" s="109" customFormat="1" ht="16.5" customHeight="1">
      <c r="A46" s="108"/>
      <c r="B46" s="198" t="s">
        <v>64</v>
      </c>
      <c r="C46" s="424"/>
      <c r="D46" s="424"/>
      <c r="E46" s="424"/>
      <c r="F46" s="424" t="s">
        <v>1745</v>
      </c>
      <c r="G46" s="424"/>
      <c r="H46" s="424"/>
    </row>
    <row r="47" spans="1:8" s="109" customFormat="1" ht="15.6">
      <c r="A47" s="108"/>
      <c r="B47" s="198"/>
      <c r="C47" s="199"/>
      <c r="D47" s="199"/>
      <c r="E47" s="199"/>
      <c r="F47" s="199"/>
      <c r="G47" s="199"/>
      <c r="H47" s="199"/>
    </row>
    <row r="48" spans="1:8" s="109" customFormat="1" ht="15" customHeight="1">
      <c r="A48" s="424" t="s">
        <v>1746</v>
      </c>
      <c r="B48" s="424"/>
      <c r="C48" s="424"/>
      <c r="D48" s="424"/>
      <c r="E48" s="424" t="s">
        <v>1747</v>
      </c>
      <c r="F48" s="424"/>
      <c r="G48" s="424"/>
      <c r="H48" s="424"/>
    </row>
    <row r="49" spans="1:8" s="109" customFormat="1" ht="33.6" customHeight="1">
      <c r="A49" s="424" t="s">
        <v>1748</v>
      </c>
      <c r="B49" s="424"/>
      <c r="C49" s="424"/>
      <c r="D49" s="424"/>
      <c r="E49" s="424" t="s">
        <v>65</v>
      </c>
      <c r="F49" s="424"/>
      <c r="G49" s="424"/>
      <c r="H49" s="424"/>
    </row>
    <row r="50" spans="1:8" s="109" customFormat="1" ht="15.6">
      <c r="A50" s="108"/>
      <c r="B50" s="108"/>
      <c r="C50" s="108"/>
      <c r="D50" s="110"/>
      <c r="E50" s="111"/>
      <c r="F50" s="112"/>
      <c r="G50" s="111"/>
      <c r="H50" s="113"/>
    </row>
    <row r="51" spans="1:8" s="109" customFormat="1" ht="15.6">
      <c r="A51" s="108"/>
      <c r="B51" s="108"/>
      <c r="C51" s="108"/>
      <c r="D51" s="110"/>
      <c r="E51" s="111"/>
      <c r="F51" s="112"/>
      <c r="G51" s="111"/>
      <c r="H51" s="113"/>
    </row>
    <row r="52" spans="1:8" s="109" customFormat="1" ht="15.6">
      <c r="A52" s="108"/>
      <c r="B52" s="108"/>
      <c r="C52" s="108"/>
      <c r="D52" s="110"/>
      <c r="E52" s="111"/>
      <c r="F52" s="112"/>
      <c r="G52" s="111"/>
      <c r="H52" s="113"/>
    </row>
    <row r="53" spans="1:8" s="109" customFormat="1" ht="15.6">
      <c r="A53" s="108"/>
      <c r="B53" s="108"/>
      <c r="C53" s="108"/>
      <c r="D53" s="110"/>
      <c r="E53" s="111"/>
      <c r="F53" s="112"/>
      <c r="G53" s="111"/>
      <c r="H53" s="113"/>
    </row>
    <row r="54" spans="1:8" s="109" customFormat="1" ht="15.6">
      <c r="A54" s="108"/>
      <c r="B54" s="108"/>
      <c r="C54" s="108"/>
      <c r="D54" s="110"/>
      <c r="E54" s="111"/>
      <c r="F54" s="112"/>
      <c r="G54" s="111"/>
      <c r="H54" s="113"/>
    </row>
    <row r="55" spans="1:8" s="109" customFormat="1" ht="15.6" customHeight="1">
      <c r="A55" s="108"/>
      <c r="B55" s="108"/>
      <c r="C55" s="108"/>
      <c r="D55" s="115"/>
      <c r="E55" s="439" t="s">
        <v>1749</v>
      </c>
      <c r="F55" s="439"/>
      <c r="G55" s="439"/>
      <c r="H55" s="439"/>
    </row>
    <row r="56" spans="1:8" s="109" customFormat="1" ht="16.5" customHeight="1">
      <c r="A56" s="424" t="s">
        <v>1751</v>
      </c>
      <c r="B56" s="424"/>
      <c r="C56" s="424"/>
      <c r="D56" s="424"/>
      <c r="E56" s="424" t="s">
        <v>1750</v>
      </c>
      <c r="F56" s="424"/>
      <c r="G56" s="424"/>
      <c r="H56" s="424"/>
    </row>
    <row r="57" spans="1:8" s="118" customFormat="1" ht="16.2" customHeight="1">
      <c r="A57" s="440"/>
      <c r="B57" s="440"/>
      <c r="C57" s="116"/>
      <c r="D57" s="117"/>
      <c r="E57" s="440"/>
      <c r="F57" s="440"/>
      <c r="G57" s="440"/>
      <c r="H57" s="440"/>
    </row>
    <row r="58" spans="1:8" s="118" customFormat="1" ht="15.75" customHeight="1">
      <c r="A58" s="440"/>
      <c r="B58" s="440"/>
      <c r="C58" s="440"/>
      <c r="D58" s="440"/>
      <c r="E58" s="440"/>
      <c r="F58" s="440"/>
      <c r="G58" s="440"/>
      <c r="H58" s="440"/>
    </row>
    <row r="59" spans="1:8" s="98" customFormat="1" ht="16.2" customHeight="1">
      <c r="A59" s="436"/>
      <c r="B59" s="436"/>
      <c r="C59" s="436"/>
      <c r="D59" s="436"/>
      <c r="E59" s="119"/>
      <c r="F59" s="120"/>
      <c r="G59" s="119"/>
      <c r="H59" s="121"/>
    </row>
    <row r="60" spans="1:8" s="98" customFormat="1" ht="16.2" customHeight="1">
      <c r="A60" s="436"/>
      <c r="B60" s="436"/>
      <c r="C60" s="436"/>
      <c r="D60" s="436"/>
      <c r="E60" s="119"/>
      <c r="F60" s="120"/>
      <c r="G60" s="119"/>
      <c r="H60" s="121"/>
    </row>
    <row r="61" spans="1:8" s="98" customFormat="1" ht="16.2" customHeight="1">
      <c r="A61" s="121"/>
      <c r="B61" s="121"/>
      <c r="C61" s="121"/>
      <c r="D61" s="122"/>
      <c r="E61" s="119"/>
      <c r="F61" s="120"/>
      <c r="G61" s="119"/>
      <c r="H61" s="121"/>
    </row>
    <row r="62" spans="1:8" ht="16.2" customHeight="1">
      <c r="A62" s="83"/>
      <c r="B62" s="83"/>
      <c r="C62" s="83"/>
      <c r="D62" s="84"/>
      <c r="E62" s="85"/>
      <c r="F62" s="86"/>
      <c r="G62" s="85"/>
      <c r="H62" s="83"/>
    </row>
    <row r="63" spans="1:8" ht="16.2" customHeight="1">
      <c r="A63" s="83"/>
      <c r="B63" s="83"/>
      <c r="C63" s="83"/>
      <c r="D63" s="84"/>
      <c r="E63" s="85"/>
      <c r="F63" s="86"/>
      <c r="G63" s="85"/>
      <c r="H63" s="83"/>
    </row>
    <row r="64" spans="1:8" ht="16.2" customHeight="1">
      <c r="A64" s="83"/>
      <c r="B64" s="83"/>
      <c r="C64" s="83"/>
      <c r="D64" s="84"/>
      <c r="E64" s="85"/>
      <c r="F64" s="86"/>
      <c r="G64" s="85"/>
      <c r="H64" s="83"/>
    </row>
    <row r="65" spans="1:8" ht="16.2" customHeight="1">
      <c r="A65" s="83"/>
      <c r="B65" s="83"/>
      <c r="C65" s="83"/>
      <c r="D65" s="84"/>
      <c r="E65" s="437"/>
      <c r="F65" s="437"/>
      <c r="G65" s="437"/>
      <c r="H65" s="437"/>
    </row>
    <row r="66" spans="1:8" ht="20.25" customHeight="1">
      <c r="A66" s="438"/>
      <c r="B66" s="438"/>
      <c r="C66" s="438"/>
      <c r="D66" s="438"/>
      <c r="E66" s="438"/>
      <c r="F66" s="438"/>
      <c r="G66" s="438"/>
      <c r="H66" s="438"/>
    </row>
    <row r="67" spans="1:8" s="17" customFormat="1" ht="16.2" customHeight="1">
      <c r="D67" s="18"/>
      <c r="E67" s="19"/>
      <c r="F67" s="97"/>
      <c r="G67" s="19"/>
    </row>
    <row r="68" spans="1:8" s="17" customFormat="1" ht="16.2" customHeight="1">
      <c r="D68" s="18"/>
      <c r="E68" s="19"/>
      <c r="F68" s="97"/>
      <c r="G68" s="19"/>
    </row>
    <row r="69" spans="1:8" s="17" customFormat="1" ht="16.2" customHeight="1">
      <c r="D69" s="18"/>
      <c r="E69" s="19"/>
      <c r="F69" s="97"/>
      <c r="G69" s="19"/>
    </row>
    <row r="70" spans="1:8" s="17" customFormat="1" ht="16.2" customHeight="1">
      <c r="D70" s="18"/>
      <c r="E70" s="19"/>
      <c r="F70" s="97"/>
      <c r="G70" s="19"/>
    </row>
    <row r="71" spans="1:8" s="17" customFormat="1" ht="16.2" customHeight="1">
      <c r="D71" s="18"/>
      <c r="E71" s="19"/>
      <c r="F71" s="97"/>
      <c r="G71" s="19"/>
    </row>
    <row r="72" spans="1:8" s="17" customFormat="1" ht="16.2" customHeight="1">
      <c r="D72" s="18"/>
      <c r="E72" s="19"/>
      <c r="F72" s="97"/>
      <c r="G72" s="19"/>
    </row>
    <row r="73" spans="1:8" s="17" customFormat="1" ht="16.2" customHeight="1">
      <c r="D73" s="18"/>
      <c r="E73" s="19"/>
      <c r="F73" s="97"/>
      <c r="G73" s="19"/>
    </row>
    <row r="74" spans="1:8" s="17" customFormat="1" ht="16.2" customHeight="1">
      <c r="D74" s="18"/>
      <c r="E74" s="19"/>
      <c r="F74" s="97"/>
      <c r="G74" s="19"/>
    </row>
    <row r="75" spans="1:8" s="17" customFormat="1" ht="16.2" customHeight="1">
      <c r="D75" s="18"/>
      <c r="E75" s="19"/>
      <c r="F75" s="97"/>
      <c r="G75" s="19"/>
    </row>
    <row r="76" spans="1:8" s="17" customFormat="1" ht="16.2" customHeight="1">
      <c r="D76" s="18"/>
      <c r="E76" s="19"/>
      <c r="F76" s="97"/>
      <c r="G76" s="19"/>
    </row>
    <row r="77" spans="1:8" s="17" customFormat="1" ht="16.2" customHeight="1">
      <c r="D77" s="18"/>
      <c r="E77" s="19"/>
      <c r="F77" s="97"/>
      <c r="G77" s="19"/>
    </row>
    <row r="78" spans="1:8" s="17" customFormat="1" ht="16.2" customHeight="1">
      <c r="D78" s="18"/>
      <c r="E78" s="19"/>
      <c r="F78" s="97"/>
      <c r="G78" s="19"/>
    </row>
    <row r="79" spans="1:8" s="17" customFormat="1" ht="16.2" customHeight="1">
      <c r="D79" s="18"/>
      <c r="E79" s="19"/>
      <c r="F79" s="97"/>
      <c r="G79" s="19"/>
    </row>
    <row r="80" spans="1:8" s="17" customFormat="1" ht="16.2" customHeight="1">
      <c r="D80" s="18"/>
      <c r="E80" s="19"/>
      <c r="F80" s="97"/>
      <c r="G80" s="19"/>
    </row>
    <row r="81" spans="3:7" s="17" customFormat="1" ht="16.2" customHeight="1">
      <c r="D81" s="18"/>
      <c r="E81" s="19"/>
      <c r="F81" s="97"/>
      <c r="G81" s="19"/>
    </row>
    <row r="82" spans="3:7" s="17" customFormat="1" ht="16.2" customHeight="1">
      <c r="D82" s="18"/>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s="17" customFormat="1" ht="16.2" customHeight="1">
      <c r="C87" s="97"/>
      <c r="D87" s="20"/>
      <c r="E87" s="19"/>
      <c r="F87" s="97"/>
      <c r="G87" s="19"/>
    </row>
    <row r="88" spans="3:7" s="17" customFormat="1" ht="16.2" customHeight="1">
      <c r="C88" s="97"/>
      <c r="D88" s="20"/>
      <c r="E88" s="19"/>
      <c r="F88" s="97"/>
      <c r="G88" s="19"/>
    </row>
    <row r="89" spans="3:7" s="17" customFormat="1" ht="16.2" customHeight="1">
      <c r="C89" s="97"/>
      <c r="D89" s="20"/>
      <c r="E89" s="19"/>
      <c r="F89" s="97"/>
      <c r="G89" s="19"/>
    </row>
    <row r="90" spans="3:7" s="17" customFormat="1" ht="16.2" customHeight="1">
      <c r="C90" s="97"/>
      <c r="D90" s="20"/>
      <c r="E90" s="19"/>
      <c r="F90" s="97"/>
      <c r="G90" s="19"/>
    </row>
    <row r="91" spans="3:7" s="17" customFormat="1" ht="16.2" customHeight="1">
      <c r="C91" s="97"/>
      <c r="D91" s="20"/>
      <c r="E91" s="19"/>
      <c r="F91" s="97"/>
      <c r="G91" s="19"/>
    </row>
    <row r="92" spans="3:7" s="17" customFormat="1" ht="16.2" customHeight="1">
      <c r="C92" s="97"/>
      <c r="D92" s="20"/>
      <c r="E92" s="19"/>
      <c r="F92" s="97"/>
      <c r="G92" s="19"/>
    </row>
    <row r="93" spans="3:7" s="17" customFormat="1" ht="16.2" customHeight="1">
      <c r="C93" s="97"/>
      <c r="D93" s="20"/>
      <c r="E93" s="19"/>
      <c r="F93" s="97"/>
      <c r="G93" s="19"/>
    </row>
    <row r="94" spans="3:7" s="17" customFormat="1" ht="16.2" customHeight="1">
      <c r="C94" s="97"/>
      <c r="D94" s="20"/>
      <c r="E94" s="19"/>
      <c r="F94" s="97"/>
      <c r="G94" s="19"/>
    </row>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ht="16.2" customHeight="1"/>
    <row r="235" ht="16.2" customHeight="1"/>
    <row r="236" ht="16.2" customHeight="1"/>
    <row r="237" ht="16.2" customHeight="1"/>
    <row r="238" ht="16.2" customHeight="1"/>
    <row r="239" ht="16.2" customHeight="1"/>
    <row r="240" ht="16.2" customHeight="1"/>
    <row r="241"/>
    <row r="242"/>
    <row r="243"/>
    <row r="244"/>
    <row r="245"/>
    <row r="246"/>
    <row r="247"/>
    <row r="248"/>
    <row r="249"/>
    <row r="250"/>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sheetData>
  <mergeCells count="43">
    <mergeCell ref="A4:B4"/>
    <mergeCell ref="C4:H4"/>
    <mergeCell ref="A1:B1"/>
    <mergeCell ref="C1:H1"/>
    <mergeCell ref="A2:B2"/>
    <mergeCell ref="C2:H2"/>
    <mergeCell ref="A3:B3"/>
    <mergeCell ref="B30:F30"/>
    <mergeCell ref="A6:H6"/>
    <mergeCell ref="A7:H7"/>
    <mergeCell ref="A8:H8"/>
    <mergeCell ref="A9:H9"/>
    <mergeCell ref="A10:H10"/>
    <mergeCell ref="A11:H11"/>
    <mergeCell ref="B13:F13"/>
    <mergeCell ref="B14:D14"/>
    <mergeCell ref="A17:A18"/>
    <mergeCell ref="B17:B18"/>
    <mergeCell ref="B20:F20"/>
    <mergeCell ref="B35:F35"/>
    <mergeCell ref="B36:F36"/>
    <mergeCell ref="A37:H37"/>
    <mergeCell ref="C39:H39"/>
    <mergeCell ref="A40:B40"/>
    <mergeCell ref="C40:E40"/>
    <mergeCell ref="F40:H40"/>
    <mergeCell ref="C46:E46"/>
    <mergeCell ref="F46:H46"/>
    <mergeCell ref="A48:D48"/>
    <mergeCell ref="E48:H48"/>
    <mergeCell ref="A49:D49"/>
    <mergeCell ref="E49:H49"/>
    <mergeCell ref="A59:D59"/>
    <mergeCell ref="A60:D60"/>
    <mergeCell ref="E65:H65"/>
    <mergeCell ref="A66:H66"/>
    <mergeCell ref="E55:H55"/>
    <mergeCell ref="A56:D56"/>
    <mergeCell ref="E56:H56"/>
    <mergeCell ref="A57:B57"/>
    <mergeCell ref="E57:H57"/>
    <mergeCell ref="A58:D58"/>
    <mergeCell ref="E58:H58"/>
  </mergeCells>
  <dataValidations count="2">
    <dataValidation type="list" allowBlank="1" showInputMessage="1" showErrorMessage="1" sqref="B31:B34" xr:uid="{00000000-0002-0000-4100-000000000000}">
      <formula1>bichphuong</formula1>
    </dataValidation>
    <dataValidation type="list" allowBlank="1" showInputMessage="1" showErrorMessage="1" sqref="WVJ983058:WVJ983075 B983058:B983075 IX983058:IX983075 ST983058:ST983075 ACP983058:ACP983075 AML983058:AML983075 AWH983058:AWH983075 BGD983058:BGD983075 BPZ983058:BPZ983075 BZV983058:BZV983075 CJR983058:CJR983075 CTN983058:CTN983075 DDJ983058:DDJ983075 DNF983058:DNF983075 DXB983058:DXB983075 EGX983058:EGX983075 EQT983058:EQT983075 FAP983058:FAP983075 FKL983058:FKL983075 FUH983058:FUH983075 GED983058:GED983075 GNZ983058:GNZ983075 GXV983058:GXV983075 HHR983058:HHR983075 HRN983058:HRN983075 IBJ983058:IBJ983075 ILF983058:ILF983075 IVB983058:IVB983075 JEX983058:JEX983075 JOT983058:JOT983075 JYP983058:JYP983075 KIL983058:KIL983075 KSH983058:KSH983075 LCD983058:LCD983075 LLZ983058:LLZ983075 LVV983058:LVV983075 MFR983058:MFR983075 MPN983058:MPN983075 MZJ983058:MZJ983075 NJF983058:NJF983075 NTB983058:NTB983075 OCX983058:OCX983075 OMT983058:OMT983075 OWP983058:OWP983075 PGL983058:PGL983075 PQH983058:PQH983075 QAD983058:QAD983075 QJZ983058:QJZ983075 QTV983058:QTV983075 RDR983058:RDR983075 RNN983058:RNN983075 RXJ983058:RXJ983075 SHF983058:SHF983075 SRB983058:SRB983075 TAX983058:TAX983075 TKT983058:TKT983075 TUP983058:TUP983075 UEL983058:UEL983075 UOH983058:UOH983075 UYD983058:UYD983075 VHZ983058:VHZ983075 VRV983058:VRV983075 WBR983058:WBR983075 WLN983058:WLN983075 B65554:B65571 IX65554:IX65571 ST65554:ST65571 ACP65554:ACP65571 AML65554:AML65571 AWH65554:AWH65571 BGD65554:BGD65571 BPZ65554:BPZ65571 BZV65554:BZV65571 CJR65554:CJR65571 CTN65554:CTN65571 DDJ65554:DDJ65571 DNF65554:DNF65571 DXB65554:DXB65571 EGX65554:EGX65571 EQT65554:EQT65571 FAP65554:FAP65571 FKL65554:FKL65571 FUH65554:FUH65571 GED65554:GED65571 GNZ65554:GNZ65571 GXV65554:GXV65571 HHR65554:HHR65571 HRN65554:HRN65571 IBJ65554:IBJ65571 ILF65554:ILF65571 IVB65554:IVB65571 JEX65554:JEX65571 JOT65554:JOT65571 JYP65554:JYP65571 KIL65554:KIL65571 KSH65554:KSH65571 LCD65554:LCD65571 LLZ65554:LLZ65571 LVV65554:LVV65571 MFR65554:MFR65571 MPN65554:MPN65571 MZJ65554:MZJ65571 NJF65554:NJF65571 NTB65554:NTB65571 OCX65554:OCX65571 OMT65554:OMT65571 OWP65554:OWP65571 PGL65554:PGL65571 PQH65554:PQH65571 QAD65554:QAD65571 QJZ65554:QJZ65571 QTV65554:QTV65571 RDR65554:RDR65571 RNN65554:RNN65571 RXJ65554:RXJ65571 SHF65554:SHF65571 SRB65554:SRB65571 TAX65554:TAX65571 TKT65554:TKT65571 TUP65554:TUP65571 UEL65554:UEL65571 UOH65554:UOH65571 UYD65554:UYD65571 VHZ65554:VHZ65571 VRV65554:VRV65571 WBR65554:WBR65571 WLN65554:WLN65571 WVJ65554:WVJ65571 B131090:B131107 IX131090:IX131107 ST131090:ST131107 ACP131090:ACP131107 AML131090:AML131107 AWH131090:AWH131107 BGD131090:BGD131107 BPZ131090:BPZ131107 BZV131090:BZV131107 CJR131090:CJR131107 CTN131090:CTN131107 DDJ131090:DDJ131107 DNF131090:DNF131107 DXB131090:DXB131107 EGX131090:EGX131107 EQT131090:EQT131107 FAP131090:FAP131107 FKL131090:FKL131107 FUH131090:FUH131107 GED131090:GED131107 GNZ131090:GNZ131107 GXV131090:GXV131107 HHR131090:HHR131107 HRN131090:HRN131107 IBJ131090:IBJ131107 ILF131090:ILF131107 IVB131090:IVB131107 JEX131090:JEX131107 JOT131090:JOT131107 JYP131090:JYP131107 KIL131090:KIL131107 KSH131090:KSH131107 LCD131090:LCD131107 LLZ131090:LLZ131107 LVV131090:LVV131107 MFR131090:MFR131107 MPN131090:MPN131107 MZJ131090:MZJ131107 NJF131090:NJF131107 NTB131090:NTB131107 OCX131090:OCX131107 OMT131090:OMT131107 OWP131090:OWP131107 PGL131090:PGL131107 PQH131090:PQH131107 QAD131090:QAD131107 QJZ131090:QJZ131107 QTV131090:QTV131107 RDR131090:RDR131107 RNN131090:RNN131107 RXJ131090:RXJ131107 SHF131090:SHF131107 SRB131090:SRB131107 TAX131090:TAX131107 TKT131090:TKT131107 TUP131090:TUP131107 UEL131090:UEL131107 UOH131090:UOH131107 UYD131090:UYD131107 VHZ131090:VHZ131107 VRV131090:VRV131107 WBR131090:WBR131107 WLN131090:WLN131107 WVJ131090:WVJ131107 B196626:B196643 IX196626:IX196643 ST196626:ST196643 ACP196626:ACP196643 AML196626:AML196643 AWH196626:AWH196643 BGD196626:BGD196643 BPZ196626:BPZ196643 BZV196626:BZV196643 CJR196626:CJR196643 CTN196626:CTN196643 DDJ196626:DDJ196643 DNF196626:DNF196643 DXB196626:DXB196643 EGX196626:EGX196643 EQT196626:EQT196643 FAP196626:FAP196643 FKL196626:FKL196643 FUH196626:FUH196643 GED196626:GED196643 GNZ196626:GNZ196643 GXV196626:GXV196643 HHR196626:HHR196643 HRN196626:HRN196643 IBJ196626:IBJ196643 ILF196626:ILF196643 IVB196626:IVB196643 JEX196626:JEX196643 JOT196626:JOT196643 JYP196626:JYP196643 KIL196626:KIL196643 KSH196626:KSH196643 LCD196626:LCD196643 LLZ196626:LLZ196643 LVV196626:LVV196643 MFR196626:MFR196643 MPN196626:MPN196643 MZJ196626:MZJ196643 NJF196626:NJF196643 NTB196626:NTB196643 OCX196626:OCX196643 OMT196626:OMT196643 OWP196626:OWP196643 PGL196626:PGL196643 PQH196626:PQH196643 QAD196626:QAD196643 QJZ196626:QJZ196643 QTV196626:QTV196643 RDR196626:RDR196643 RNN196626:RNN196643 RXJ196626:RXJ196643 SHF196626:SHF196643 SRB196626:SRB196643 TAX196626:TAX196643 TKT196626:TKT196643 TUP196626:TUP196643 UEL196626:UEL196643 UOH196626:UOH196643 UYD196626:UYD196643 VHZ196626:VHZ196643 VRV196626:VRV196643 WBR196626:WBR196643 WLN196626:WLN196643 WVJ196626:WVJ196643 B262162:B262179 IX262162:IX262179 ST262162:ST262179 ACP262162:ACP262179 AML262162:AML262179 AWH262162:AWH262179 BGD262162:BGD262179 BPZ262162:BPZ262179 BZV262162:BZV262179 CJR262162:CJR262179 CTN262162:CTN262179 DDJ262162:DDJ262179 DNF262162:DNF262179 DXB262162:DXB262179 EGX262162:EGX262179 EQT262162:EQT262179 FAP262162:FAP262179 FKL262162:FKL262179 FUH262162:FUH262179 GED262162:GED262179 GNZ262162:GNZ262179 GXV262162:GXV262179 HHR262162:HHR262179 HRN262162:HRN262179 IBJ262162:IBJ262179 ILF262162:ILF262179 IVB262162:IVB262179 JEX262162:JEX262179 JOT262162:JOT262179 JYP262162:JYP262179 KIL262162:KIL262179 KSH262162:KSH262179 LCD262162:LCD262179 LLZ262162:LLZ262179 LVV262162:LVV262179 MFR262162:MFR262179 MPN262162:MPN262179 MZJ262162:MZJ262179 NJF262162:NJF262179 NTB262162:NTB262179 OCX262162:OCX262179 OMT262162:OMT262179 OWP262162:OWP262179 PGL262162:PGL262179 PQH262162:PQH262179 QAD262162:QAD262179 QJZ262162:QJZ262179 QTV262162:QTV262179 RDR262162:RDR262179 RNN262162:RNN262179 RXJ262162:RXJ262179 SHF262162:SHF262179 SRB262162:SRB262179 TAX262162:TAX262179 TKT262162:TKT262179 TUP262162:TUP262179 UEL262162:UEL262179 UOH262162:UOH262179 UYD262162:UYD262179 VHZ262162:VHZ262179 VRV262162:VRV262179 WBR262162:WBR262179 WLN262162:WLN262179 WVJ262162:WVJ262179 B327698:B327715 IX327698:IX327715 ST327698:ST327715 ACP327698:ACP327715 AML327698:AML327715 AWH327698:AWH327715 BGD327698:BGD327715 BPZ327698:BPZ327715 BZV327698:BZV327715 CJR327698:CJR327715 CTN327698:CTN327715 DDJ327698:DDJ327715 DNF327698:DNF327715 DXB327698:DXB327715 EGX327698:EGX327715 EQT327698:EQT327715 FAP327698:FAP327715 FKL327698:FKL327715 FUH327698:FUH327715 GED327698:GED327715 GNZ327698:GNZ327715 GXV327698:GXV327715 HHR327698:HHR327715 HRN327698:HRN327715 IBJ327698:IBJ327715 ILF327698:ILF327715 IVB327698:IVB327715 JEX327698:JEX327715 JOT327698:JOT327715 JYP327698:JYP327715 KIL327698:KIL327715 KSH327698:KSH327715 LCD327698:LCD327715 LLZ327698:LLZ327715 LVV327698:LVV327715 MFR327698:MFR327715 MPN327698:MPN327715 MZJ327698:MZJ327715 NJF327698:NJF327715 NTB327698:NTB327715 OCX327698:OCX327715 OMT327698:OMT327715 OWP327698:OWP327715 PGL327698:PGL327715 PQH327698:PQH327715 QAD327698:QAD327715 QJZ327698:QJZ327715 QTV327698:QTV327715 RDR327698:RDR327715 RNN327698:RNN327715 RXJ327698:RXJ327715 SHF327698:SHF327715 SRB327698:SRB327715 TAX327698:TAX327715 TKT327698:TKT327715 TUP327698:TUP327715 UEL327698:UEL327715 UOH327698:UOH327715 UYD327698:UYD327715 VHZ327698:VHZ327715 VRV327698:VRV327715 WBR327698:WBR327715 WLN327698:WLN327715 WVJ327698:WVJ327715 B393234:B393251 IX393234:IX393251 ST393234:ST393251 ACP393234:ACP393251 AML393234:AML393251 AWH393234:AWH393251 BGD393234:BGD393251 BPZ393234:BPZ393251 BZV393234:BZV393251 CJR393234:CJR393251 CTN393234:CTN393251 DDJ393234:DDJ393251 DNF393234:DNF393251 DXB393234:DXB393251 EGX393234:EGX393251 EQT393234:EQT393251 FAP393234:FAP393251 FKL393234:FKL393251 FUH393234:FUH393251 GED393234:GED393251 GNZ393234:GNZ393251 GXV393234:GXV393251 HHR393234:HHR393251 HRN393234:HRN393251 IBJ393234:IBJ393251 ILF393234:ILF393251 IVB393234:IVB393251 JEX393234:JEX393251 JOT393234:JOT393251 JYP393234:JYP393251 KIL393234:KIL393251 KSH393234:KSH393251 LCD393234:LCD393251 LLZ393234:LLZ393251 LVV393234:LVV393251 MFR393234:MFR393251 MPN393234:MPN393251 MZJ393234:MZJ393251 NJF393234:NJF393251 NTB393234:NTB393251 OCX393234:OCX393251 OMT393234:OMT393251 OWP393234:OWP393251 PGL393234:PGL393251 PQH393234:PQH393251 QAD393234:QAD393251 QJZ393234:QJZ393251 QTV393234:QTV393251 RDR393234:RDR393251 RNN393234:RNN393251 RXJ393234:RXJ393251 SHF393234:SHF393251 SRB393234:SRB393251 TAX393234:TAX393251 TKT393234:TKT393251 TUP393234:TUP393251 UEL393234:UEL393251 UOH393234:UOH393251 UYD393234:UYD393251 VHZ393234:VHZ393251 VRV393234:VRV393251 WBR393234:WBR393251 WLN393234:WLN393251 WVJ393234:WVJ393251 B458770:B458787 IX458770:IX458787 ST458770:ST458787 ACP458770:ACP458787 AML458770:AML458787 AWH458770:AWH458787 BGD458770:BGD458787 BPZ458770:BPZ458787 BZV458770:BZV458787 CJR458770:CJR458787 CTN458770:CTN458787 DDJ458770:DDJ458787 DNF458770:DNF458787 DXB458770:DXB458787 EGX458770:EGX458787 EQT458770:EQT458787 FAP458770:FAP458787 FKL458770:FKL458787 FUH458770:FUH458787 GED458770:GED458787 GNZ458770:GNZ458787 GXV458770:GXV458787 HHR458770:HHR458787 HRN458770:HRN458787 IBJ458770:IBJ458787 ILF458770:ILF458787 IVB458770:IVB458787 JEX458770:JEX458787 JOT458770:JOT458787 JYP458770:JYP458787 KIL458770:KIL458787 KSH458770:KSH458787 LCD458770:LCD458787 LLZ458770:LLZ458787 LVV458770:LVV458787 MFR458770:MFR458787 MPN458770:MPN458787 MZJ458770:MZJ458787 NJF458770:NJF458787 NTB458770:NTB458787 OCX458770:OCX458787 OMT458770:OMT458787 OWP458770:OWP458787 PGL458770:PGL458787 PQH458770:PQH458787 QAD458770:QAD458787 QJZ458770:QJZ458787 QTV458770:QTV458787 RDR458770:RDR458787 RNN458770:RNN458787 RXJ458770:RXJ458787 SHF458770:SHF458787 SRB458770:SRB458787 TAX458770:TAX458787 TKT458770:TKT458787 TUP458770:TUP458787 UEL458770:UEL458787 UOH458770:UOH458787 UYD458770:UYD458787 VHZ458770:VHZ458787 VRV458770:VRV458787 WBR458770:WBR458787 WLN458770:WLN458787 WVJ458770:WVJ458787 B524306:B524323 IX524306:IX524323 ST524306:ST524323 ACP524306:ACP524323 AML524306:AML524323 AWH524306:AWH524323 BGD524306:BGD524323 BPZ524306:BPZ524323 BZV524306:BZV524323 CJR524306:CJR524323 CTN524306:CTN524323 DDJ524306:DDJ524323 DNF524306:DNF524323 DXB524306:DXB524323 EGX524306:EGX524323 EQT524306:EQT524323 FAP524306:FAP524323 FKL524306:FKL524323 FUH524306:FUH524323 GED524306:GED524323 GNZ524306:GNZ524323 GXV524306:GXV524323 HHR524306:HHR524323 HRN524306:HRN524323 IBJ524306:IBJ524323 ILF524306:ILF524323 IVB524306:IVB524323 JEX524306:JEX524323 JOT524306:JOT524323 JYP524306:JYP524323 KIL524306:KIL524323 KSH524306:KSH524323 LCD524306:LCD524323 LLZ524306:LLZ524323 LVV524306:LVV524323 MFR524306:MFR524323 MPN524306:MPN524323 MZJ524306:MZJ524323 NJF524306:NJF524323 NTB524306:NTB524323 OCX524306:OCX524323 OMT524306:OMT524323 OWP524306:OWP524323 PGL524306:PGL524323 PQH524306:PQH524323 QAD524306:QAD524323 QJZ524306:QJZ524323 QTV524306:QTV524323 RDR524306:RDR524323 RNN524306:RNN524323 RXJ524306:RXJ524323 SHF524306:SHF524323 SRB524306:SRB524323 TAX524306:TAX524323 TKT524306:TKT524323 TUP524306:TUP524323 UEL524306:UEL524323 UOH524306:UOH524323 UYD524306:UYD524323 VHZ524306:VHZ524323 VRV524306:VRV524323 WBR524306:WBR524323 WLN524306:WLN524323 WVJ524306:WVJ524323 B589842:B589859 IX589842:IX589859 ST589842:ST589859 ACP589842:ACP589859 AML589842:AML589859 AWH589842:AWH589859 BGD589842:BGD589859 BPZ589842:BPZ589859 BZV589842:BZV589859 CJR589842:CJR589859 CTN589842:CTN589859 DDJ589842:DDJ589859 DNF589842:DNF589859 DXB589842:DXB589859 EGX589842:EGX589859 EQT589842:EQT589859 FAP589842:FAP589859 FKL589842:FKL589859 FUH589842:FUH589859 GED589842:GED589859 GNZ589842:GNZ589859 GXV589842:GXV589859 HHR589842:HHR589859 HRN589842:HRN589859 IBJ589842:IBJ589859 ILF589842:ILF589859 IVB589842:IVB589859 JEX589842:JEX589859 JOT589842:JOT589859 JYP589842:JYP589859 KIL589842:KIL589859 KSH589842:KSH589859 LCD589842:LCD589859 LLZ589842:LLZ589859 LVV589842:LVV589859 MFR589842:MFR589859 MPN589842:MPN589859 MZJ589842:MZJ589859 NJF589842:NJF589859 NTB589842:NTB589859 OCX589842:OCX589859 OMT589842:OMT589859 OWP589842:OWP589859 PGL589842:PGL589859 PQH589842:PQH589859 QAD589842:QAD589859 QJZ589842:QJZ589859 QTV589842:QTV589859 RDR589842:RDR589859 RNN589842:RNN589859 RXJ589842:RXJ589859 SHF589842:SHF589859 SRB589842:SRB589859 TAX589842:TAX589859 TKT589842:TKT589859 TUP589842:TUP589859 UEL589842:UEL589859 UOH589842:UOH589859 UYD589842:UYD589859 VHZ589842:VHZ589859 VRV589842:VRV589859 WBR589842:WBR589859 WLN589842:WLN589859 WVJ589842:WVJ589859 B655378:B655395 IX655378:IX655395 ST655378:ST655395 ACP655378:ACP655395 AML655378:AML655395 AWH655378:AWH655395 BGD655378:BGD655395 BPZ655378:BPZ655395 BZV655378:BZV655395 CJR655378:CJR655395 CTN655378:CTN655395 DDJ655378:DDJ655395 DNF655378:DNF655395 DXB655378:DXB655395 EGX655378:EGX655395 EQT655378:EQT655395 FAP655378:FAP655395 FKL655378:FKL655395 FUH655378:FUH655395 GED655378:GED655395 GNZ655378:GNZ655395 GXV655378:GXV655395 HHR655378:HHR655395 HRN655378:HRN655395 IBJ655378:IBJ655395 ILF655378:ILF655395 IVB655378:IVB655395 JEX655378:JEX655395 JOT655378:JOT655395 JYP655378:JYP655395 KIL655378:KIL655395 KSH655378:KSH655395 LCD655378:LCD655395 LLZ655378:LLZ655395 LVV655378:LVV655395 MFR655378:MFR655395 MPN655378:MPN655395 MZJ655378:MZJ655395 NJF655378:NJF655395 NTB655378:NTB655395 OCX655378:OCX655395 OMT655378:OMT655395 OWP655378:OWP655395 PGL655378:PGL655395 PQH655378:PQH655395 QAD655378:QAD655395 QJZ655378:QJZ655395 QTV655378:QTV655395 RDR655378:RDR655395 RNN655378:RNN655395 RXJ655378:RXJ655395 SHF655378:SHF655395 SRB655378:SRB655395 TAX655378:TAX655395 TKT655378:TKT655395 TUP655378:TUP655395 UEL655378:UEL655395 UOH655378:UOH655395 UYD655378:UYD655395 VHZ655378:VHZ655395 VRV655378:VRV655395 WBR655378:WBR655395 WLN655378:WLN655395 WVJ655378:WVJ655395 B720914:B720931 IX720914:IX720931 ST720914:ST720931 ACP720914:ACP720931 AML720914:AML720931 AWH720914:AWH720931 BGD720914:BGD720931 BPZ720914:BPZ720931 BZV720914:BZV720931 CJR720914:CJR720931 CTN720914:CTN720931 DDJ720914:DDJ720931 DNF720914:DNF720931 DXB720914:DXB720931 EGX720914:EGX720931 EQT720914:EQT720931 FAP720914:FAP720931 FKL720914:FKL720931 FUH720914:FUH720931 GED720914:GED720931 GNZ720914:GNZ720931 GXV720914:GXV720931 HHR720914:HHR720931 HRN720914:HRN720931 IBJ720914:IBJ720931 ILF720914:ILF720931 IVB720914:IVB720931 JEX720914:JEX720931 JOT720914:JOT720931 JYP720914:JYP720931 KIL720914:KIL720931 KSH720914:KSH720931 LCD720914:LCD720931 LLZ720914:LLZ720931 LVV720914:LVV720931 MFR720914:MFR720931 MPN720914:MPN720931 MZJ720914:MZJ720931 NJF720914:NJF720931 NTB720914:NTB720931 OCX720914:OCX720931 OMT720914:OMT720931 OWP720914:OWP720931 PGL720914:PGL720931 PQH720914:PQH720931 QAD720914:QAD720931 QJZ720914:QJZ720931 QTV720914:QTV720931 RDR720914:RDR720931 RNN720914:RNN720931 RXJ720914:RXJ720931 SHF720914:SHF720931 SRB720914:SRB720931 TAX720914:TAX720931 TKT720914:TKT720931 TUP720914:TUP720931 UEL720914:UEL720931 UOH720914:UOH720931 UYD720914:UYD720931 VHZ720914:VHZ720931 VRV720914:VRV720931 WBR720914:WBR720931 WLN720914:WLN720931 WVJ720914:WVJ720931 B786450:B786467 IX786450:IX786467 ST786450:ST786467 ACP786450:ACP786467 AML786450:AML786467 AWH786450:AWH786467 BGD786450:BGD786467 BPZ786450:BPZ786467 BZV786450:BZV786467 CJR786450:CJR786467 CTN786450:CTN786467 DDJ786450:DDJ786467 DNF786450:DNF786467 DXB786450:DXB786467 EGX786450:EGX786467 EQT786450:EQT786467 FAP786450:FAP786467 FKL786450:FKL786467 FUH786450:FUH786467 GED786450:GED786467 GNZ786450:GNZ786467 GXV786450:GXV786467 HHR786450:HHR786467 HRN786450:HRN786467 IBJ786450:IBJ786467 ILF786450:ILF786467 IVB786450:IVB786467 JEX786450:JEX786467 JOT786450:JOT786467 JYP786450:JYP786467 KIL786450:KIL786467 KSH786450:KSH786467 LCD786450:LCD786467 LLZ786450:LLZ786467 LVV786450:LVV786467 MFR786450:MFR786467 MPN786450:MPN786467 MZJ786450:MZJ786467 NJF786450:NJF786467 NTB786450:NTB786467 OCX786450:OCX786467 OMT786450:OMT786467 OWP786450:OWP786467 PGL786450:PGL786467 PQH786450:PQH786467 QAD786450:QAD786467 QJZ786450:QJZ786467 QTV786450:QTV786467 RDR786450:RDR786467 RNN786450:RNN786467 RXJ786450:RXJ786467 SHF786450:SHF786467 SRB786450:SRB786467 TAX786450:TAX786467 TKT786450:TKT786467 TUP786450:TUP786467 UEL786450:UEL786467 UOH786450:UOH786467 UYD786450:UYD786467 VHZ786450:VHZ786467 VRV786450:VRV786467 WBR786450:WBR786467 WLN786450:WLN786467 WVJ786450:WVJ786467 B851986:B852003 IX851986:IX852003 ST851986:ST852003 ACP851986:ACP852003 AML851986:AML852003 AWH851986:AWH852003 BGD851986:BGD852003 BPZ851986:BPZ852003 BZV851986:BZV852003 CJR851986:CJR852003 CTN851986:CTN852003 DDJ851986:DDJ852003 DNF851986:DNF852003 DXB851986:DXB852003 EGX851986:EGX852003 EQT851986:EQT852003 FAP851986:FAP852003 FKL851986:FKL852003 FUH851986:FUH852003 GED851986:GED852003 GNZ851986:GNZ852003 GXV851986:GXV852003 HHR851986:HHR852003 HRN851986:HRN852003 IBJ851986:IBJ852003 ILF851986:ILF852003 IVB851986:IVB852003 JEX851986:JEX852003 JOT851986:JOT852003 JYP851986:JYP852003 KIL851986:KIL852003 KSH851986:KSH852003 LCD851986:LCD852003 LLZ851986:LLZ852003 LVV851986:LVV852003 MFR851986:MFR852003 MPN851986:MPN852003 MZJ851986:MZJ852003 NJF851986:NJF852003 NTB851986:NTB852003 OCX851986:OCX852003 OMT851986:OMT852003 OWP851986:OWP852003 PGL851986:PGL852003 PQH851986:PQH852003 QAD851986:QAD852003 QJZ851986:QJZ852003 QTV851986:QTV852003 RDR851986:RDR852003 RNN851986:RNN852003 RXJ851986:RXJ852003 SHF851986:SHF852003 SRB851986:SRB852003 TAX851986:TAX852003 TKT851986:TKT852003 TUP851986:TUP852003 UEL851986:UEL852003 UOH851986:UOH852003 UYD851986:UYD852003 VHZ851986:VHZ852003 VRV851986:VRV852003 WBR851986:WBR852003 WLN851986:WLN852003 WVJ851986:WVJ852003 B917522:B917539 IX917522:IX917539 ST917522:ST917539 ACP917522:ACP917539 AML917522:AML917539 AWH917522:AWH917539 BGD917522:BGD917539 BPZ917522:BPZ917539 BZV917522:BZV917539 CJR917522:CJR917539 CTN917522:CTN917539 DDJ917522:DDJ917539 DNF917522:DNF917539 DXB917522:DXB917539 EGX917522:EGX917539 EQT917522:EQT917539 FAP917522:FAP917539 FKL917522:FKL917539 FUH917522:FUH917539 GED917522:GED917539 GNZ917522:GNZ917539 GXV917522:GXV917539 HHR917522:HHR917539 HRN917522:HRN917539 IBJ917522:IBJ917539 ILF917522:ILF917539 IVB917522:IVB917539 JEX917522:JEX917539 JOT917522:JOT917539 JYP917522:JYP917539 KIL917522:KIL917539 KSH917522:KSH917539 LCD917522:LCD917539 LLZ917522:LLZ917539 LVV917522:LVV917539 MFR917522:MFR917539 MPN917522:MPN917539 MZJ917522:MZJ917539 NJF917522:NJF917539 NTB917522:NTB917539 OCX917522:OCX917539 OMT917522:OMT917539 OWP917522:OWP917539 PGL917522:PGL917539 PQH917522:PQH917539 QAD917522:QAD917539 QJZ917522:QJZ917539 QTV917522:QTV917539 RDR917522:RDR917539 RNN917522:RNN917539 RXJ917522:RXJ917539 SHF917522:SHF917539 SRB917522:SRB917539 TAX917522:TAX917539 TKT917522:TKT917539 TUP917522:TUP917539 UEL917522:UEL917539 UOH917522:UOH917539 UYD917522:UYD917539 VHZ917522:VHZ917539 VRV917522:VRV917539 WBR917522:WBR917539 WLN917522:WLN917539 WVJ917522:WVJ917539" xr:uid="{00000000-0002-0000-4100-000001000000}">
      <formula1>trung</formula1>
    </dataValidation>
  </dataValidation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I338"/>
  <sheetViews>
    <sheetView topLeftCell="A20"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9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2456</v>
      </c>
      <c r="B8" s="420"/>
      <c r="C8" s="420"/>
      <c r="D8" s="420"/>
      <c r="E8" s="420"/>
      <c r="F8" s="420"/>
      <c r="G8" s="420"/>
      <c r="H8" s="420"/>
    </row>
    <row r="9" spans="1:8" s="98" customFormat="1" ht="23.25" customHeight="1">
      <c r="A9" s="420" t="s">
        <v>2383</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40.5" customHeight="1">
      <c r="A13" s="96" t="s">
        <v>17</v>
      </c>
      <c r="B13" s="425" t="s">
        <v>2457</v>
      </c>
      <c r="C13" s="425"/>
      <c r="D13" s="425"/>
      <c r="E13" s="425"/>
      <c r="F13" s="425"/>
      <c r="G13" s="73">
        <f>G14+G16</f>
        <v>25616000</v>
      </c>
      <c r="H13" s="74"/>
    </row>
    <row r="14" spans="1:8" s="12" customFormat="1" ht="21.75" customHeight="1">
      <c r="A14" s="212">
        <v>1</v>
      </c>
      <c r="B14" s="452" t="s">
        <v>2102</v>
      </c>
      <c r="C14" s="452"/>
      <c r="D14" s="452"/>
      <c r="E14" s="213"/>
      <c r="F14" s="214"/>
      <c r="G14" s="215">
        <f>G15</f>
        <v>14720000</v>
      </c>
      <c r="H14" s="216"/>
    </row>
    <row r="15" spans="1:8" s="12" customFormat="1" ht="46.8">
      <c r="A15" s="212"/>
      <c r="B15" s="124" t="s">
        <v>2360</v>
      </c>
      <c r="C15" s="220" t="s">
        <v>2120</v>
      </c>
      <c r="D15" s="221">
        <v>184</v>
      </c>
      <c r="E15" s="222">
        <v>80000</v>
      </c>
      <c r="F15" s="223">
        <v>1</v>
      </c>
      <c r="G15" s="225">
        <f>D15*E15*F15</f>
        <v>14720000</v>
      </c>
      <c r="H15" s="216"/>
    </row>
    <row r="16" spans="1:8" s="12" customFormat="1" ht="21.75" customHeight="1">
      <c r="A16" s="212">
        <v>2</v>
      </c>
      <c r="B16" s="219" t="s">
        <v>2116</v>
      </c>
      <c r="C16" s="220"/>
      <c r="D16" s="221"/>
      <c r="E16" s="222"/>
      <c r="F16" s="223"/>
      <c r="G16" s="224">
        <f>G18+G19</f>
        <v>10896000</v>
      </c>
      <c r="H16" s="216"/>
    </row>
    <row r="17" spans="1:9" s="229" customFormat="1" ht="204" customHeight="1">
      <c r="A17" s="454" t="s">
        <v>2117</v>
      </c>
      <c r="B17" s="456" t="s">
        <v>2123</v>
      </c>
      <c r="C17" s="227" t="s">
        <v>2124</v>
      </c>
      <c r="D17" s="227" t="s">
        <v>2125</v>
      </c>
      <c r="E17" s="228" t="s">
        <v>2126</v>
      </c>
      <c r="F17" s="227" t="s">
        <v>2127</v>
      </c>
      <c r="G17" s="227" t="s">
        <v>2128</v>
      </c>
      <c r="H17" s="227" t="s">
        <v>2129</v>
      </c>
    </row>
    <row r="18" spans="1:9" s="229" customFormat="1" ht="47.25" customHeight="1">
      <c r="A18" s="455"/>
      <c r="B18" s="457"/>
      <c r="C18" s="278">
        <v>5</v>
      </c>
      <c r="D18" s="279">
        <f>IF(H18&lt;30%,3,IF(H18&lt;70%,6,IF(H18&gt;70%,12,0)))</f>
        <v>3</v>
      </c>
      <c r="E18" s="280">
        <v>14400</v>
      </c>
      <c r="F18" s="281">
        <f>IF(H18&lt;30%,30,IF(H18&gt;30%,30))</f>
        <v>30</v>
      </c>
      <c r="G18" s="282">
        <f>C18*D18*E18*F18</f>
        <v>6480000</v>
      </c>
      <c r="H18" s="283">
        <f>D15/2092</f>
        <v>8.7954110898661564E-2</v>
      </c>
    </row>
    <row r="19" spans="1:9" s="229" customFormat="1" ht="96.6">
      <c r="A19" s="237" t="s">
        <v>2122</v>
      </c>
      <c r="B19" s="238" t="s">
        <v>2131</v>
      </c>
      <c r="C19" s="239" t="s">
        <v>66</v>
      </c>
      <c r="D19" s="240">
        <f>D15</f>
        <v>184</v>
      </c>
      <c r="E19" s="241">
        <v>80000</v>
      </c>
      <c r="F19" s="242">
        <f>30%</f>
        <v>0.3</v>
      </c>
      <c r="G19" s="246">
        <f>D19*E19*F19</f>
        <v>4416000</v>
      </c>
      <c r="H19" s="244"/>
      <c r="I19" s="245"/>
    </row>
    <row r="20" spans="1:9" ht="27" customHeight="1">
      <c r="A20" s="75" t="s">
        <v>18</v>
      </c>
      <c r="B20" s="426" t="s">
        <v>1725</v>
      </c>
      <c r="C20" s="426"/>
      <c r="D20" s="426"/>
      <c r="E20" s="426"/>
      <c r="F20" s="426"/>
      <c r="G20" s="76">
        <f>SUM(G21:G23)</f>
        <v>1490000.8503</v>
      </c>
      <c r="H20" s="11"/>
    </row>
    <row r="21" spans="1:9" ht="30.6" customHeight="1">
      <c r="A21" s="77">
        <v>1</v>
      </c>
      <c r="B21" s="78" t="s">
        <v>2458</v>
      </c>
      <c r="C21" s="14" t="s">
        <v>1754</v>
      </c>
      <c r="D21" s="132">
        <f>(19.8*0.7)*0.11</f>
        <v>1.5246</v>
      </c>
      <c r="E21" s="15">
        <v>1081965</v>
      </c>
      <c r="F21" s="187">
        <v>0.2</v>
      </c>
      <c r="G21" s="79">
        <f t="shared" ref="G21:G23" si="0">D21*E21*F21</f>
        <v>329912.76780000003</v>
      </c>
      <c r="H21" s="15"/>
    </row>
    <row r="22" spans="1:9" ht="30.6" customHeight="1">
      <c r="A22" s="77">
        <v>2</v>
      </c>
      <c r="B22" s="78" t="s">
        <v>2459</v>
      </c>
      <c r="C22" s="14" t="s">
        <v>1754</v>
      </c>
      <c r="D22" s="132">
        <f>(28.5*1.5)*0.11</f>
        <v>4.7024999999999997</v>
      </c>
      <c r="E22" s="15">
        <v>1081965</v>
      </c>
      <c r="F22" s="187">
        <v>0.2</v>
      </c>
      <c r="G22" s="79">
        <f t="shared" si="0"/>
        <v>1017588.0825</v>
      </c>
      <c r="H22" s="15"/>
    </row>
    <row r="23" spans="1:9" ht="30.6" customHeight="1">
      <c r="A23" s="77"/>
      <c r="B23" s="78" t="s">
        <v>2460</v>
      </c>
      <c r="C23" s="14" t="s">
        <v>2461</v>
      </c>
      <c r="D23" s="132">
        <v>28.5</v>
      </c>
      <c r="E23" s="15">
        <v>25000</v>
      </c>
      <c r="F23" s="187">
        <v>0.2</v>
      </c>
      <c r="G23" s="79">
        <f t="shared" si="0"/>
        <v>142500</v>
      </c>
      <c r="H23" s="15"/>
    </row>
    <row r="24" spans="1:9" ht="24" customHeight="1">
      <c r="A24" s="75" t="s">
        <v>19</v>
      </c>
      <c r="B24" s="426" t="s">
        <v>1727</v>
      </c>
      <c r="C24" s="426"/>
      <c r="D24" s="426"/>
      <c r="E24" s="426"/>
      <c r="F24" s="426"/>
      <c r="G24" s="76">
        <f>SUM(G25:G28)</f>
        <v>4197000</v>
      </c>
      <c r="H24" s="11"/>
    </row>
    <row r="25" spans="1:9" s="12" customFormat="1" ht="34.200000000000003" customHeight="1">
      <c r="A25" s="94">
        <v>1</v>
      </c>
      <c r="B25" s="13" t="s">
        <v>804</v>
      </c>
      <c r="C25" s="14" t="s">
        <v>1724</v>
      </c>
      <c r="D25" s="14">
        <v>5</v>
      </c>
      <c r="E25" s="79" t="str">
        <f>VLOOKUP(B25,'[20]Đơn giá cây cối'!$A$2:$C$1361,3,0)</f>
        <v>149.000</v>
      </c>
      <c r="F25" s="14">
        <v>1</v>
      </c>
      <c r="G25" s="79">
        <f t="shared" ref="G25:G28" si="1">D25*E25*F25</f>
        <v>745000</v>
      </c>
      <c r="H25" s="95"/>
    </row>
    <row r="26" spans="1:9" s="12" customFormat="1" ht="34.200000000000003" customHeight="1">
      <c r="A26" s="94">
        <v>2</v>
      </c>
      <c r="B26" s="13" t="s">
        <v>805</v>
      </c>
      <c r="C26" s="14" t="s">
        <v>1724</v>
      </c>
      <c r="D26" s="14">
        <v>3</v>
      </c>
      <c r="E26" s="79" t="str">
        <f>VLOOKUP(B26,'[20]Đơn giá cây cối'!$A$2:$C$1361,3,0)</f>
        <v>311.000</v>
      </c>
      <c r="F26" s="14">
        <v>1</v>
      </c>
      <c r="G26" s="79">
        <f t="shared" si="1"/>
        <v>933000</v>
      </c>
      <c r="H26" s="95"/>
    </row>
    <row r="27" spans="1:9" s="12" customFormat="1" ht="34.200000000000003" customHeight="1">
      <c r="A27" s="94">
        <v>3</v>
      </c>
      <c r="B27" s="13" t="s">
        <v>806</v>
      </c>
      <c r="C27" s="14" t="s">
        <v>1724</v>
      </c>
      <c r="D27" s="14">
        <v>3</v>
      </c>
      <c r="E27" s="79" t="str">
        <f>VLOOKUP(B27,'[20]Đơn giá cây cối'!$A$2:$C$1361,3,0)</f>
        <v>473.000</v>
      </c>
      <c r="F27" s="14">
        <v>1</v>
      </c>
      <c r="G27" s="79">
        <f t="shared" si="1"/>
        <v>1419000</v>
      </c>
      <c r="H27" s="95"/>
    </row>
    <row r="28" spans="1:9" s="12" customFormat="1" ht="34.200000000000003" customHeight="1">
      <c r="A28" s="94">
        <v>4</v>
      </c>
      <c r="B28" s="13" t="s">
        <v>26</v>
      </c>
      <c r="C28" s="14" t="s">
        <v>66</v>
      </c>
      <c r="D28" s="14">
        <v>100</v>
      </c>
      <c r="E28" s="79">
        <f>VLOOKUP(B28,'[20]Đơn giá cây cối'!$A$2:$C$1361,3,0)</f>
        <v>11000</v>
      </c>
      <c r="F28" s="14">
        <v>1</v>
      </c>
      <c r="G28" s="79">
        <f t="shared" si="1"/>
        <v>1100000</v>
      </c>
      <c r="H28" s="95"/>
    </row>
    <row r="29" spans="1:9" ht="15.6">
      <c r="A29" s="80"/>
      <c r="B29" s="427" t="s">
        <v>62</v>
      </c>
      <c r="C29" s="428"/>
      <c r="D29" s="428"/>
      <c r="E29" s="428"/>
      <c r="F29" s="429"/>
      <c r="G29" s="81">
        <f>G13+G20+G24</f>
        <v>31303000.850299999</v>
      </c>
      <c r="H29" s="82"/>
    </row>
    <row r="30" spans="1:9" ht="15.6">
      <c r="A30" s="80"/>
      <c r="B30" s="427" t="s">
        <v>1726</v>
      </c>
      <c r="C30" s="428"/>
      <c r="D30" s="428"/>
      <c r="E30" s="428"/>
      <c r="F30" s="429"/>
      <c r="G30" s="81">
        <f>ROUND(G29,-3)</f>
        <v>31303000</v>
      </c>
      <c r="H30" s="82"/>
    </row>
    <row r="31" spans="1:9" ht="15.6">
      <c r="A31" s="430" t="str">
        <f>[18]!uni(G30)</f>
        <v xml:space="preserve">Ba mươi mốt triệu ba trăm linh ba nghìn đồng </v>
      </c>
      <c r="B31" s="431"/>
      <c r="C31" s="431"/>
      <c r="D31" s="431"/>
      <c r="E31" s="431"/>
      <c r="F31" s="431"/>
      <c r="G31" s="431"/>
      <c r="H31" s="432"/>
    </row>
    <row r="32" spans="1:9">
      <c r="A32" s="17"/>
      <c r="B32" s="17"/>
      <c r="C32" s="97"/>
      <c r="D32" s="20"/>
      <c r="E32" s="19"/>
      <c r="G32" s="19"/>
      <c r="H32" s="17"/>
    </row>
    <row r="33" spans="1:8" s="109" customFormat="1" ht="16.5" customHeight="1">
      <c r="A33" s="108"/>
      <c r="B33" s="108"/>
      <c r="C33" s="424" t="s">
        <v>1742</v>
      </c>
      <c r="D33" s="424"/>
      <c r="E33" s="424"/>
      <c r="F33" s="424"/>
      <c r="G33" s="424"/>
      <c r="H33" s="424"/>
    </row>
    <row r="34" spans="1:8" s="109" customFormat="1" ht="16.5" customHeight="1">
      <c r="A34" s="423" t="s">
        <v>63</v>
      </c>
      <c r="B34" s="423"/>
      <c r="C34" s="424" t="s">
        <v>1743</v>
      </c>
      <c r="D34" s="424"/>
      <c r="E34" s="424"/>
      <c r="F34" s="424" t="s">
        <v>1744</v>
      </c>
      <c r="G34" s="424"/>
      <c r="H34" s="424"/>
    </row>
    <row r="35" spans="1:8" s="109" customFormat="1" ht="15.6">
      <c r="A35" s="108"/>
      <c r="B35" s="108"/>
      <c r="C35" s="108"/>
      <c r="D35" s="110"/>
      <c r="E35" s="111"/>
      <c r="F35" s="112"/>
      <c r="G35" s="111"/>
      <c r="H35" s="113"/>
    </row>
    <row r="36" spans="1:8" s="109" customFormat="1" ht="15.6">
      <c r="A36" s="108"/>
      <c r="B36" s="108"/>
      <c r="C36" s="108"/>
      <c r="D36" s="110"/>
      <c r="E36" s="111"/>
      <c r="F36" s="112"/>
      <c r="G36" s="114"/>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6.5" customHeight="1">
      <c r="A40" s="108"/>
      <c r="B40" s="198" t="s">
        <v>64</v>
      </c>
      <c r="C40" s="424"/>
      <c r="D40" s="424"/>
      <c r="E40" s="424"/>
      <c r="F40" s="424" t="s">
        <v>1745</v>
      </c>
      <c r="G40" s="424"/>
      <c r="H40" s="424"/>
    </row>
    <row r="41" spans="1:8" s="109" customFormat="1" ht="15.6">
      <c r="A41" s="108"/>
      <c r="B41" s="198"/>
      <c r="C41" s="199"/>
      <c r="D41" s="199"/>
      <c r="E41" s="199"/>
      <c r="F41" s="199"/>
      <c r="G41" s="199"/>
      <c r="H41" s="199"/>
    </row>
    <row r="42" spans="1:8" s="109" customFormat="1" ht="15" customHeight="1">
      <c r="A42" s="424" t="s">
        <v>1746</v>
      </c>
      <c r="B42" s="424"/>
      <c r="C42" s="424"/>
      <c r="D42" s="424"/>
      <c r="E42" s="424" t="s">
        <v>1747</v>
      </c>
      <c r="F42" s="424"/>
      <c r="G42" s="424"/>
      <c r="H42" s="424"/>
    </row>
    <row r="43" spans="1:8" s="109" customFormat="1" ht="33.6" customHeight="1">
      <c r="A43" s="424" t="s">
        <v>1748</v>
      </c>
      <c r="B43" s="424"/>
      <c r="C43" s="424"/>
      <c r="D43" s="424"/>
      <c r="E43" s="424" t="s">
        <v>65</v>
      </c>
      <c r="F43" s="424"/>
      <c r="G43" s="424"/>
      <c r="H43" s="424"/>
    </row>
    <row r="44" spans="1:8" s="109" customFormat="1" ht="15.6">
      <c r="A44" s="108"/>
      <c r="B44" s="108"/>
      <c r="C44" s="108"/>
      <c r="D44" s="110"/>
      <c r="E44" s="111"/>
      <c r="F44" s="112"/>
      <c r="G44" s="111"/>
      <c r="H44" s="113"/>
    </row>
    <row r="45" spans="1:8" s="109" customFormat="1" ht="15.6">
      <c r="A45" s="108"/>
      <c r="B45" s="108"/>
      <c r="C45" s="108"/>
      <c r="D45" s="110"/>
      <c r="E45" s="111"/>
      <c r="F45" s="112"/>
      <c r="G45" s="111"/>
      <c r="H45" s="113"/>
    </row>
    <row r="46" spans="1:8" s="109" customFormat="1" ht="15.6">
      <c r="A46" s="108"/>
      <c r="B46" s="108"/>
      <c r="C46" s="108"/>
      <c r="D46" s="110"/>
      <c r="E46" s="111"/>
      <c r="F46" s="112"/>
      <c r="G46" s="111"/>
      <c r="H46" s="113"/>
    </row>
    <row r="47" spans="1:8" s="109" customFormat="1" ht="15.6">
      <c r="A47" s="108"/>
      <c r="B47" s="108"/>
      <c r="C47" s="108"/>
      <c r="D47" s="110"/>
      <c r="E47" s="111"/>
      <c r="F47" s="112"/>
      <c r="G47" s="111"/>
      <c r="H47" s="113"/>
    </row>
    <row r="48" spans="1:8" s="109" customFormat="1" ht="15.6">
      <c r="A48" s="108"/>
      <c r="B48" s="108"/>
      <c r="C48" s="108"/>
      <c r="D48" s="110"/>
      <c r="E48" s="111"/>
      <c r="F48" s="112"/>
      <c r="G48" s="111"/>
      <c r="H48" s="113"/>
    </row>
    <row r="49" spans="1:8" s="109" customFormat="1" ht="15.6" customHeight="1">
      <c r="A49" s="108"/>
      <c r="B49" s="108"/>
      <c r="C49" s="108"/>
      <c r="D49" s="115"/>
      <c r="E49" s="439" t="s">
        <v>1749</v>
      </c>
      <c r="F49" s="439"/>
      <c r="G49" s="439"/>
      <c r="H49" s="439"/>
    </row>
    <row r="50" spans="1:8" s="109" customFormat="1" ht="16.5" customHeight="1">
      <c r="A50" s="424" t="s">
        <v>1751</v>
      </c>
      <c r="B50" s="424"/>
      <c r="C50" s="424"/>
      <c r="D50" s="424"/>
      <c r="E50" s="424" t="s">
        <v>1750</v>
      </c>
      <c r="F50" s="424"/>
      <c r="G50" s="424"/>
      <c r="H50" s="424"/>
    </row>
    <row r="51" spans="1:8" s="118" customFormat="1" ht="16.2" customHeight="1">
      <c r="A51" s="440"/>
      <c r="B51" s="440"/>
      <c r="C51" s="116"/>
      <c r="D51" s="117"/>
      <c r="E51" s="440"/>
      <c r="F51" s="440"/>
      <c r="G51" s="440"/>
      <c r="H51" s="440"/>
    </row>
    <row r="52" spans="1:8" s="118" customFormat="1" ht="15.75" customHeight="1">
      <c r="A52" s="440"/>
      <c r="B52" s="440"/>
      <c r="C52" s="440"/>
      <c r="D52" s="440"/>
      <c r="E52" s="440"/>
      <c r="F52" s="440"/>
      <c r="G52" s="440"/>
      <c r="H52" s="440"/>
    </row>
    <row r="53" spans="1:8" s="98" customFormat="1" ht="16.2" customHeight="1">
      <c r="A53" s="436"/>
      <c r="B53" s="436"/>
      <c r="C53" s="436"/>
      <c r="D53" s="436"/>
      <c r="E53" s="119"/>
      <c r="F53" s="120"/>
      <c r="G53" s="119"/>
      <c r="H53" s="121"/>
    </row>
    <row r="54" spans="1:8" s="98" customFormat="1" ht="16.2" customHeight="1">
      <c r="A54" s="436"/>
      <c r="B54" s="436"/>
      <c r="C54" s="436"/>
      <c r="D54" s="436"/>
      <c r="E54" s="119"/>
      <c r="F54" s="120"/>
      <c r="G54" s="119"/>
      <c r="H54" s="121"/>
    </row>
    <row r="55" spans="1:8" s="98" customFormat="1" ht="16.2" customHeight="1">
      <c r="A55" s="121"/>
      <c r="B55" s="121"/>
      <c r="C55" s="121"/>
      <c r="D55" s="122"/>
      <c r="E55" s="119"/>
      <c r="F55" s="120"/>
      <c r="G55" s="119"/>
      <c r="H55" s="121"/>
    </row>
    <row r="56" spans="1:8" ht="16.2" customHeight="1">
      <c r="A56" s="83"/>
      <c r="B56" s="83"/>
      <c r="C56" s="83"/>
      <c r="D56" s="84"/>
      <c r="E56" s="85"/>
      <c r="F56" s="86"/>
      <c r="G56" s="85"/>
      <c r="H56" s="83"/>
    </row>
    <row r="57" spans="1:8" ht="16.2" customHeight="1">
      <c r="A57" s="83"/>
      <c r="B57" s="83"/>
      <c r="C57" s="83"/>
      <c r="D57" s="84"/>
      <c r="E57" s="85"/>
      <c r="F57" s="86"/>
      <c r="G57" s="85"/>
      <c r="H57" s="83"/>
    </row>
    <row r="58" spans="1:8" ht="16.2" customHeight="1">
      <c r="A58" s="83"/>
      <c r="B58" s="83"/>
      <c r="C58" s="83"/>
      <c r="D58" s="84"/>
      <c r="E58" s="85"/>
      <c r="F58" s="86"/>
      <c r="G58" s="85"/>
      <c r="H58" s="83"/>
    </row>
    <row r="59" spans="1:8" ht="16.2" customHeight="1">
      <c r="A59" s="83"/>
      <c r="B59" s="83"/>
      <c r="C59" s="83"/>
      <c r="D59" s="84"/>
      <c r="E59" s="437"/>
      <c r="F59" s="437"/>
      <c r="G59" s="437"/>
      <c r="H59" s="437"/>
    </row>
    <row r="60" spans="1:8" ht="20.25" customHeight="1">
      <c r="A60" s="438"/>
      <c r="B60" s="438"/>
      <c r="C60" s="438"/>
      <c r="D60" s="438"/>
      <c r="E60" s="438"/>
      <c r="F60" s="438"/>
      <c r="G60" s="438"/>
      <c r="H60" s="438"/>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D73" s="18"/>
      <c r="E73" s="19"/>
      <c r="F73" s="97"/>
      <c r="G73" s="19"/>
    </row>
    <row r="74" spans="3:7" s="17" customFormat="1" ht="16.2" customHeight="1">
      <c r="D74" s="18"/>
      <c r="E74" s="19"/>
      <c r="F74" s="97"/>
      <c r="G74" s="19"/>
    </row>
    <row r="75" spans="3:7" s="17" customFormat="1" ht="16.2" customHeight="1">
      <c r="D75" s="18"/>
      <c r="E75" s="19"/>
      <c r="F75" s="97"/>
      <c r="G75" s="19"/>
    </row>
    <row r="76" spans="3:7" s="17" customFormat="1" ht="16.2" customHeight="1">
      <c r="D76" s="18"/>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s="17" customFormat="1" ht="16.2" customHeight="1">
      <c r="C87" s="97"/>
      <c r="D87" s="20"/>
      <c r="E87" s="19"/>
      <c r="F87" s="97"/>
      <c r="G87" s="19"/>
    </row>
    <row r="88" spans="3:7" s="17" customFormat="1" ht="16.2" customHeight="1">
      <c r="C88" s="97"/>
      <c r="D88" s="20"/>
      <c r="E88" s="19"/>
      <c r="F88" s="97"/>
      <c r="G88" s="19"/>
    </row>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ht="16.2" customHeight="1"/>
    <row r="235"/>
    <row r="236"/>
    <row r="237"/>
    <row r="238"/>
    <row r="239"/>
    <row r="240"/>
    <row r="241"/>
    <row r="242"/>
    <row r="243"/>
    <row r="244"/>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sheetData>
  <mergeCells count="43">
    <mergeCell ref="A4:B4"/>
    <mergeCell ref="C4:H4"/>
    <mergeCell ref="A1:B1"/>
    <mergeCell ref="C1:H1"/>
    <mergeCell ref="A2:B2"/>
    <mergeCell ref="C2:H2"/>
    <mergeCell ref="A3:B3"/>
    <mergeCell ref="B24:F24"/>
    <mergeCell ref="A6:H6"/>
    <mergeCell ref="A7:H7"/>
    <mergeCell ref="A8:H8"/>
    <mergeCell ref="A9:H9"/>
    <mergeCell ref="A10:H10"/>
    <mergeCell ref="A11:H11"/>
    <mergeCell ref="B13:F13"/>
    <mergeCell ref="B14:D14"/>
    <mergeCell ref="A17:A18"/>
    <mergeCell ref="B17:B18"/>
    <mergeCell ref="B20:F20"/>
    <mergeCell ref="B29:F29"/>
    <mergeCell ref="B30:F30"/>
    <mergeCell ref="A31:H31"/>
    <mergeCell ref="C33:H33"/>
    <mergeCell ref="A34:B34"/>
    <mergeCell ref="C34:E34"/>
    <mergeCell ref="F34:H34"/>
    <mergeCell ref="C40:E40"/>
    <mergeCell ref="F40:H40"/>
    <mergeCell ref="A42:D42"/>
    <mergeCell ref="E42:H42"/>
    <mergeCell ref="A43:D43"/>
    <mergeCell ref="E43:H43"/>
    <mergeCell ref="A53:D53"/>
    <mergeCell ref="A54:D54"/>
    <mergeCell ref="E59:H59"/>
    <mergeCell ref="A60:H60"/>
    <mergeCell ref="E49:H49"/>
    <mergeCell ref="A50:D50"/>
    <mergeCell ref="E50:H50"/>
    <mergeCell ref="A51:B51"/>
    <mergeCell ref="E51:H51"/>
    <mergeCell ref="A52:D52"/>
    <mergeCell ref="E52:H52"/>
  </mergeCells>
  <dataValidations count="2">
    <dataValidation type="list" allowBlank="1" showInputMessage="1" showErrorMessage="1" sqref="WVJ983052:WVJ983069 B983052:B983069 IX983052:IX983069 ST983052:ST983069 ACP983052:ACP983069 AML983052:AML983069 AWH983052:AWH983069 BGD983052:BGD983069 BPZ983052:BPZ983069 BZV983052:BZV983069 CJR983052:CJR983069 CTN983052:CTN983069 DDJ983052:DDJ983069 DNF983052:DNF983069 DXB983052:DXB983069 EGX983052:EGX983069 EQT983052:EQT983069 FAP983052:FAP983069 FKL983052:FKL983069 FUH983052:FUH983069 GED983052:GED983069 GNZ983052:GNZ983069 GXV983052:GXV983069 HHR983052:HHR983069 HRN983052:HRN983069 IBJ983052:IBJ983069 ILF983052:ILF983069 IVB983052:IVB983069 JEX983052:JEX983069 JOT983052:JOT983069 JYP983052:JYP983069 KIL983052:KIL983069 KSH983052:KSH983069 LCD983052:LCD983069 LLZ983052:LLZ983069 LVV983052:LVV983069 MFR983052:MFR983069 MPN983052:MPN983069 MZJ983052:MZJ983069 NJF983052:NJF983069 NTB983052:NTB983069 OCX983052:OCX983069 OMT983052:OMT983069 OWP983052:OWP983069 PGL983052:PGL983069 PQH983052:PQH983069 QAD983052:QAD983069 QJZ983052:QJZ983069 QTV983052:QTV983069 RDR983052:RDR983069 RNN983052:RNN983069 RXJ983052:RXJ983069 SHF983052:SHF983069 SRB983052:SRB983069 TAX983052:TAX983069 TKT983052:TKT983069 TUP983052:TUP983069 UEL983052:UEL983069 UOH983052:UOH983069 UYD983052:UYD983069 VHZ983052:VHZ983069 VRV983052:VRV983069 WBR983052:WBR983069 WLN983052:WLN983069 B65548:B65565 IX65548:IX65565 ST65548:ST65565 ACP65548:ACP65565 AML65548:AML65565 AWH65548:AWH65565 BGD65548:BGD65565 BPZ65548:BPZ65565 BZV65548:BZV65565 CJR65548:CJR65565 CTN65548:CTN65565 DDJ65548:DDJ65565 DNF65548:DNF65565 DXB65548:DXB65565 EGX65548:EGX65565 EQT65548:EQT65565 FAP65548:FAP65565 FKL65548:FKL65565 FUH65548:FUH65565 GED65548:GED65565 GNZ65548:GNZ65565 GXV65548:GXV65565 HHR65548:HHR65565 HRN65548:HRN65565 IBJ65548:IBJ65565 ILF65548:ILF65565 IVB65548:IVB65565 JEX65548:JEX65565 JOT65548:JOT65565 JYP65548:JYP65565 KIL65548:KIL65565 KSH65548:KSH65565 LCD65548:LCD65565 LLZ65548:LLZ65565 LVV65548:LVV65565 MFR65548:MFR65565 MPN65548:MPN65565 MZJ65548:MZJ65565 NJF65548:NJF65565 NTB65548:NTB65565 OCX65548:OCX65565 OMT65548:OMT65565 OWP65548:OWP65565 PGL65548:PGL65565 PQH65548:PQH65565 QAD65548:QAD65565 QJZ65548:QJZ65565 QTV65548:QTV65565 RDR65548:RDR65565 RNN65548:RNN65565 RXJ65548:RXJ65565 SHF65548:SHF65565 SRB65548:SRB65565 TAX65548:TAX65565 TKT65548:TKT65565 TUP65548:TUP65565 UEL65548:UEL65565 UOH65548:UOH65565 UYD65548:UYD65565 VHZ65548:VHZ65565 VRV65548:VRV65565 WBR65548:WBR65565 WLN65548:WLN65565 WVJ65548:WVJ65565 B131084:B131101 IX131084:IX131101 ST131084:ST131101 ACP131084:ACP131101 AML131084:AML131101 AWH131084:AWH131101 BGD131084:BGD131101 BPZ131084:BPZ131101 BZV131084:BZV131101 CJR131084:CJR131101 CTN131084:CTN131101 DDJ131084:DDJ131101 DNF131084:DNF131101 DXB131084:DXB131101 EGX131084:EGX131101 EQT131084:EQT131101 FAP131084:FAP131101 FKL131084:FKL131101 FUH131084:FUH131101 GED131084:GED131101 GNZ131084:GNZ131101 GXV131084:GXV131101 HHR131084:HHR131101 HRN131084:HRN131101 IBJ131084:IBJ131101 ILF131084:ILF131101 IVB131084:IVB131101 JEX131084:JEX131101 JOT131084:JOT131101 JYP131084:JYP131101 KIL131084:KIL131101 KSH131084:KSH131101 LCD131084:LCD131101 LLZ131084:LLZ131101 LVV131084:LVV131101 MFR131084:MFR131101 MPN131084:MPN131101 MZJ131084:MZJ131101 NJF131084:NJF131101 NTB131084:NTB131101 OCX131084:OCX131101 OMT131084:OMT131101 OWP131084:OWP131101 PGL131084:PGL131101 PQH131084:PQH131101 QAD131084:QAD131101 QJZ131084:QJZ131101 QTV131084:QTV131101 RDR131084:RDR131101 RNN131084:RNN131101 RXJ131084:RXJ131101 SHF131084:SHF131101 SRB131084:SRB131101 TAX131084:TAX131101 TKT131084:TKT131101 TUP131084:TUP131101 UEL131084:UEL131101 UOH131084:UOH131101 UYD131084:UYD131101 VHZ131084:VHZ131101 VRV131084:VRV131101 WBR131084:WBR131101 WLN131084:WLN131101 WVJ131084:WVJ131101 B196620:B196637 IX196620:IX196637 ST196620:ST196637 ACP196620:ACP196637 AML196620:AML196637 AWH196620:AWH196637 BGD196620:BGD196637 BPZ196620:BPZ196637 BZV196620:BZV196637 CJR196620:CJR196637 CTN196620:CTN196637 DDJ196620:DDJ196637 DNF196620:DNF196637 DXB196620:DXB196637 EGX196620:EGX196637 EQT196620:EQT196637 FAP196620:FAP196637 FKL196620:FKL196637 FUH196620:FUH196637 GED196620:GED196637 GNZ196620:GNZ196637 GXV196620:GXV196637 HHR196620:HHR196637 HRN196620:HRN196637 IBJ196620:IBJ196637 ILF196620:ILF196637 IVB196620:IVB196637 JEX196620:JEX196637 JOT196620:JOT196637 JYP196620:JYP196637 KIL196620:KIL196637 KSH196620:KSH196637 LCD196620:LCD196637 LLZ196620:LLZ196637 LVV196620:LVV196637 MFR196620:MFR196637 MPN196620:MPN196637 MZJ196620:MZJ196637 NJF196620:NJF196637 NTB196620:NTB196637 OCX196620:OCX196637 OMT196620:OMT196637 OWP196620:OWP196637 PGL196620:PGL196637 PQH196620:PQH196637 QAD196620:QAD196637 QJZ196620:QJZ196637 QTV196620:QTV196637 RDR196620:RDR196637 RNN196620:RNN196637 RXJ196620:RXJ196637 SHF196620:SHF196637 SRB196620:SRB196637 TAX196620:TAX196637 TKT196620:TKT196637 TUP196620:TUP196637 UEL196620:UEL196637 UOH196620:UOH196637 UYD196620:UYD196637 VHZ196620:VHZ196637 VRV196620:VRV196637 WBR196620:WBR196637 WLN196620:WLN196637 WVJ196620:WVJ196637 B262156:B262173 IX262156:IX262173 ST262156:ST262173 ACP262156:ACP262173 AML262156:AML262173 AWH262156:AWH262173 BGD262156:BGD262173 BPZ262156:BPZ262173 BZV262156:BZV262173 CJR262156:CJR262173 CTN262156:CTN262173 DDJ262156:DDJ262173 DNF262156:DNF262173 DXB262156:DXB262173 EGX262156:EGX262173 EQT262156:EQT262173 FAP262156:FAP262173 FKL262156:FKL262173 FUH262156:FUH262173 GED262156:GED262173 GNZ262156:GNZ262173 GXV262156:GXV262173 HHR262156:HHR262173 HRN262156:HRN262173 IBJ262156:IBJ262173 ILF262156:ILF262173 IVB262156:IVB262173 JEX262156:JEX262173 JOT262156:JOT262173 JYP262156:JYP262173 KIL262156:KIL262173 KSH262156:KSH262173 LCD262156:LCD262173 LLZ262156:LLZ262173 LVV262156:LVV262173 MFR262156:MFR262173 MPN262156:MPN262173 MZJ262156:MZJ262173 NJF262156:NJF262173 NTB262156:NTB262173 OCX262156:OCX262173 OMT262156:OMT262173 OWP262156:OWP262173 PGL262156:PGL262173 PQH262156:PQH262173 QAD262156:QAD262173 QJZ262156:QJZ262173 QTV262156:QTV262173 RDR262156:RDR262173 RNN262156:RNN262173 RXJ262156:RXJ262173 SHF262156:SHF262173 SRB262156:SRB262173 TAX262156:TAX262173 TKT262156:TKT262173 TUP262156:TUP262173 UEL262156:UEL262173 UOH262156:UOH262173 UYD262156:UYD262173 VHZ262156:VHZ262173 VRV262156:VRV262173 WBR262156:WBR262173 WLN262156:WLN262173 WVJ262156:WVJ262173 B327692:B327709 IX327692:IX327709 ST327692:ST327709 ACP327692:ACP327709 AML327692:AML327709 AWH327692:AWH327709 BGD327692:BGD327709 BPZ327692:BPZ327709 BZV327692:BZV327709 CJR327692:CJR327709 CTN327692:CTN327709 DDJ327692:DDJ327709 DNF327692:DNF327709 DXB327692:DXB327709 EGX327692:EGX327709 EQT327692:EQT327709 FAP327692:FAP327709 FKL327692:FKL327709 FUH327692:FUH327709 GED327692:GED327709 GNZ327692:GNZ327709 GXV327692:GXV327709 HHR327692:HHR327709 HRN327692:HRN327709 IBJ327692:IBJ327709 ILF327692:ILF327709 IVB327692:IVB327709 JEX327692:JEX327709 JOT327692:JOT327709 JYP327692:JYP327709 KIL327692:KIL327709 KSH327692:KSH327709 LCD327692:LCD327709 LLZ327692:LLZ327709 LVV327692:LVV327709 MFR327692:MFR327709 MPN327692:MPN327709 MZJ327692:MZJ327709 NJF327692:NJF327709 NTB327692:NTB327709 OCX327692:OCX327709 OMT327692:OMT327709 OWP327692:OWP327709 PGL327692:PGL327709 PQH327692:PQH327709 QAD327692:QAD327709 QJZ327692:QJZ327709 QTV327692:QTV327709 RDR327692:RDR327709 RNN327692:RNN327709 RXJ327692:RXJ327709 SHF327692:SHF327709 SRB327692:SRB327709 TAX327692:TAX327709 TKT327692:TKT327709 TUP327692:TUP327709 UEL327692:UEL327709 UOH327692:UOH327709 UYD327692:UYD327709 VHZ327692:VHZ327709 VRV327692:VRV327709 WBR327692:WBR327709 WLN327692:WLN327709 WVJ327692:WVJ327709 B393228:B393245 IX393228:IX393245 ST393228:ST393245 ACP393228:ACP393245 AML393228:AML393245 AWH393228:AWH393245 BGD393228:BGD393245 BPZ393228:BPZ393245 BZV393228:BZV393245 CJR393228:CJR393245 CTN393228:CTN393245 DDJ393228:DDJ393245 DNF393228:DNF393245 DXB393228:DXB393245 EGX393228:EGX393245 EQT393228:EQT393245 FAP393228:FAP393245 FKL393228:FKL393245 FUH393228:FUH393245 GED393228:GED393245 GNZ393228:GNZ393245 GXV393228:GXV393245 HHR393228:HHR393245 HRN393228:HRN393245 IBJ393228:IBJ393245 ILF393228:ILF393245 IVB393228:IVB393245 JEX393228:JEX393245 JOT393228:JOT393245 JYP393228:JYP393245 KIL393228:KIL393245 KSH393228:KSH393245 LCD393228:LCD393245 LLZ393228:LLZ393245 LVV393228:LVV393245 MFR393228:MFR393245 MPN393228:MPN393245 MZJ393228:MZJ393245 NJF393228:NJF393245 NTB393228:NTB393245 OCX393228:OCX393245 OMT393228:OMT393245 OWP393228:OWP393245 PGL393228:PGL393245 PQH393228:PQH393245 QAD393228:QAD393245 QJZ393228:QJZ393245 QTV393228:QTV393245 RDR393228:RDR393245 RNN393228:RNN393245 RXJ393228:RXJ393245 SHF393228:SHF393245 SRB393228:SRB393245 TAX393228:TAX393245 TKT393228:TKT393245 TUP393228:TUP393245 UEL393228:UEL393245 UOH393228:UOH393245 UYD393228:UYD393245 VHZ393228:VHZ393245 VRV393228:VRV393245 WBR393228:WBR393245 WLN393228:WLN393245 WVJ393228:WVJ393245 B458764:B458781 IX458764:IX458781 ST458764:ST458781 ACP458764:ACP458781 AML458764:AML458781 AWH458764:AWH458781 BGD458764:BGD458781 BPZ458764:BPZ458781 BZV458764:BZV458781 CJR458764:CJR458781 CTN458764:CTN458781 DDJ458764:DDJ458781 DNF458764:DNF458781 DXB458764:DXB458781 EGX458764:EGX458781 EQT458764:EQT458781 FAP458764:FAP458781 FKL458764:FKL458781 FUH458764:FUH458781 GED458764:GED458781 GNZ458764:GNZ458781 GXV458764:GXV458781 HHR458764:HHR458781 HRN458764:HRN458781 IBJ458764:IBJ458781 ILF458764:ILF458781 IVB458764:IVB458781 JEX458764:JEX458781 JOT458764:JOT458781 JYP458764:JYP458781 KIL458764:KIL458781 KSH458764:KSH458781 LCD458764:LCD458781 LLZ458764:LLZ458781 LVV458764:LVV458781 MFR458764:MFR458781 MPN458764:MPN458781 MZJ458764:MZJ458781 NJF458764:NJF458781 NTB458764:NTB458781 OCX458764:OCX458781 OMT458764:OMT458781 OWP458764:OWP458781 PGL458764:PGL458781 PQH458764:PQH458781 QAD458764:QAD458781 QJZ458764:QJZ458781 QTV458764:QTV458781 RDR458764:RDR458781 RNN458764:RNN458781 RXJ458764:RXJ458781 SHF458764:SHF458781 SRB458764:SRB458781 TAX458764:TAX458781 TKT458764:TKT458781 TUP458764:TUP458781 UEL458764:UEL458781 UOH458764:UOH458781 UYD458764:UYD458781 VHZ458764:VHZ458781 VRV458764:VRV458781 WBR458764:WBR458781 WLN458764:WLN458781 WVJ458764:WVJ458781 B524300:B524317 IX524300:IX524317 ST524300:ST524317 ACP524300:ACP524317 AML524300:AML524317 AWH524300:AWH524317 BGD524300:BGD524317 BPZ524300:BPZ524317 BZV524300:BZV524317 CJR524300:CJR524317 CTN524300:CTN524317 DDJ524300:DDJ524317 DNF524300:DNF524317 DXB524300:DXB524317 EGX524300:EGX524317 EQT524300:EQT524317 FAP524300:FAP524317 FKL524300:FKL524317 FUH524300:FUH524317 GED524300:GED524317 GNZ524300:GNZ524317 GXV524300:GXV524317 HHR524300:HHR524317 HRN524300:HRN524317 IBJ524300:IBJ524317 ILF524300:ILF524317 IVB524300:IVB524317 JEX524300:JEX524317 JOT524300:JOT524317 JYP524300:JYP524317 KIL524300:KIL524317 KSH524300:KSH524317 LCD524300:LCD524317 LLZ524300:LLZ524317 LVV524300:LVV524317 MFR524300:MFR524317 MPN524300:MPN524317 MZJ524300:MZJ524317 NJF524300:NJF524317 NTB524300:NTB524317 OCX524300:OCX524317 OMT524300:OMT524317 OWP524300:OWP524317 PGL524300:PGL524317 PQH524300:PQH524317 QAD524300:QAD524317 QJZ524300:QJZ524317 QTV524300:QTV524317 RDR524300:RDR524317 RNN524300:RNN524317 RXJ524300:RXJ524317 SHF524300:SHF524317 SRB524300:SRB524317 TAX524300:TAX524317 TKT524300:TKT524317 TUP524300:TUP524317 UEL524300:UEL524317 UOH524300:UOH524317 UYD524300:UYD524317 VHZ524300:VHZ524317 VRV524300:VRV524317 WBR524300:WBR524317 WLN524300:WLN524317 WVJ524300:WVJ524317 B589836:B589853 IX589836:IX589853 ST589836:ST589853 ACP589836:ACP589853 AML589836:AML589853 AWH589836:AWH589853 BGD589836:BGD589853 BPZ589836:BPZ589853 BZV589836:BZV589853 CJR589836:CJR589853 CTN589836:CTN589853 DDJ589836:DDJ589853 DNF589836:DNF589853 DXB589836:DXB589853 EGX589836:EGX589853 EQT589836:EQT589853 FAP589836:FAP589853 FKL589836:FKL589853 FUH589836:FUH589853 GED589836:GED589853 GNZ589836:GNZ589853 GXV589836:GXV589853 HHR589836:HHR589853 HRN589836:HRN589853 IBJ589836:IBJ589853 ILF589836:ILF589853 IVB589836:IVB589853 JEX589836:JEX589853 JOT589836:JOT589853 JYP589836:JYP589853 KIL589836:KIL589853 KSH589836:KSH589853 LCD589836:LCD589853 LLZ589836:LLZ589853 LVV589836:LVV589853 MFR589836:MFR589853 MPN589836:MPN589853 MZJ589836:MZJ589853 NJF589836:NJF589853 NTB589836:NTB589853 OCX589836:OCX589853 OMT589836:OMT589853 OWP589836:OWP589853 PGL589836:PGL589853 PQH589836:PQH589853 QAD589836:QAD589853 QJZ589836:QJZ589853 QTV589836:QTV589853 RDR589836:RDR589853 RNN589836:RNN589853 RXJ589836:RXJ589853 SHF589836:SHF589853 SRB589836:SRB589853 TAX589836:TAX589853 TKT589836:TKT589853 TUP589836:TUP589853 UEL589836:UEL589853 UOH589836:UOH589853 UYD589836:UYD589853 VHZ589836:VHZ589853 VRV589836:VRV589853 WBR589836:WBR589853 WLN589836:WLN589853 WVJ589836:WVJ589853 B655372:B655389 IX655372:IX655389 ST655372:ST655389 ACP655372:ACP655389 AML655372:AML655389 AWH655372:AWH655389 BGD655372:BGD655389 BPZ655372:BPZ655389 BZV655372:BZV655389 CJR655372:CJR655389 CTN655372:CTN655389 DDJ655372:DDJ655389 DNF655372:DNF655389 DXB655372:DXB655389 EGX655372:EGX655389 EQT655372:EQT655389 FAP655372:FAP655389 FKL655372:FKL655389 FUH655372:FUH655389 GED655372:GED655389 GNZ655372:GNZ655389 GXV655372:GXV655389 HHR655372:HHR655389 HRN655372:HRN655389 IBJ655372:IBJ655389 ILF655372:ILF655389 IVB655372:IVB655389 JEX655372:JEX655389 JOT655372:JOT655389 JYP655372:JYP655389 KIL655372:KIL655389 KSH655372:KSH655389 LCD655372:LCD655389 LLZ655372:LLZ655389 LVV655372:LVV655389 MFR655372:MFR655389 MPN655372:MPN655389 MZJ655372:MZJ655389 NJF655372:NJF655389 NTB655372:NTB655389 OCX655372:OCX655389 OMT655372:OMT655389 OWP655372:OWP655389 PGL655372:PGL655389 PQH655372:PQH655389 QAD655372:QAD655389 QJZ655372:QJZ655389 QTV655372:QTV655389 RDR655372:RDR655389 RNN655372:RNN655389 RXJ655372:RXJ655389 SHF655372:SHF655389 SRB655372:SRB655389 TAX655372:TAX655389 TKT655372:TKT655389 TUP655372:TUP655389 UEL655372:UEL655389 UOH655372:UOH655389 UYD655372:UYD655389 VHZ655372:VHZ655389 VRV655372:VRV655389 WBR655372:WBR655389 WLN655372:WLN655389 WVJ655372:WVJ655389 B720908:B720925 IX720908:IX720925 ST720908:ST720925 ACP720908:ACP720925 AML720908:AML720925 AWH720908:AWH720925 BGD720908:BGD720925 BPZ720908:BPZ720925 BZV720908:BZV720925 CJR720908:CJR720925 CTN720908:CTN720925 DDJ720908:DDJ720925 DNF720908:DNF720925 DXB720908:DXB720925 EGX720908:EGX720925 EQT720908:EQT720925 FAP720908:FAP720925 FKL720908:FKL720925 FUH720908:FUH720925 GED720908:GED720925 GNZ720908:GNZ720925 GXV720908:GXV720925 HHR720908:HHR720925 HRN720908:HRN720925 IBJ720908:IBJ720925 ILF720908:ILF720925 IVB720908:IVB720925 JEX720908:JEX720925 JOT720908:JOT720925 JYP720908:JYP720925 KIL720908:KIL720925 KSH720908:KSH720925 LCD720908:LCD720925 LLZ720908:LLZ720925 LVV720908:LVV720925 MFR720908:MFR720925 MPN720908:MPN720925 MZJ720908:MZJ720925 NJF720908:NJF720925 NTB720908:NTB720925 OCX720908:OCX720925 OMT720908:OMT720925 OWP720908:OWP720925 PGL720908:PGL720925 PQH720908:PQH720925 QAD720908:QAD720925 QJZ720908:QJZ720925 QTV720908:QTV720925 RDR720908:RDR720925 RNN720908:RNN720925 RXJ720908:RXJ720925 SHF720908:SHF720925 SRB720908:SRB720925 TAX720908:TAX720925 TKT720908:TKT720925 TUP720908:TUP720925 UEL720908:UEL720925 UOH720908:UOH720925 UYD720908:UYD720925 VHZ720908:VHZ720925 VRV720908:VRV720925 WBR720908:WBR720925 WLN720908:WLN720925 WVJ720908:WVJ720925 B786444:B786461 IX786444:IX786461 ST786444:ST786461 ACP786444:ACP786461 AML786444:AML786461 AWH786444:AWH786461 BGD786444:BGD786461 BPZ786444:BPZ786461 BZV786444:BZV786461 CJR786444:CJR786461 CTN786444:CTN786461 DDJ786444:DDJ786461 DNF786444:DNF786461 DXB786444:DXB786461 EGX786444:EGX786461 EQT786444:EQT786461 FAP786444:FAP786461 FKL786444:FKL786461 FUH786444:FUH786461 GED786444:GED786461 GNZ786444:GNZ786461 GXV786444:GXV786461 HHR786444:HHR786461 HRN786444:HRN786461 IBJ786444:IBJ786461 ILF786444:ILF786461 IVB786444:IVB786461 JEX786444:JEX786461 JOT786444:JOT786461 JYP786444:JYP786461 KIL786444:KIL786461 KSH786444:KSH786461 LCD786444:LCD786461 LLZ786444:LLZ786461 LVV786444:LVV786461 MFR786444:MFR786461 MPN786444:MPN786461 MZJ786444:MZJ786461 NJF786444:NJF786461 NTB786444:NTB786461 OCX786444:OCX786461 OMT786444:OMT786461 OWP786444:OWP786461 PGL786444:PGL786461 PQH786444:PQH786461 QAD786444:QAD786461 QJZ786444:QJZ786461 QTV786444:QTV786461 RDR786444:RDR786461 RNN786444:RNN786461 RXJ786444:RXJ786461 SHF786444:SHF786461 SRB786444:SRB786461 TAX786444:TAX786461 TKT786444:TKT786461 TUP786444:TUP786461 UEL786444:UEL786461 UOH786444:UOH786461 UYD786444:UYD786461 VHZ786444:VHZ786461 VRV786444:VRV786461 WBR786444:WBR786461 WLN786444:WLN786461 WVJ786444:WVJ786461 B851980:B851997 IX851980:IX851997 ST851980:ST851997 ACP851980:ACP851997 AML851980:AML851997 AWH851980:AWH851997 BGD851980:BGD851997 BPZ851980:BPZ851997 BZV851980:BZV851997 CJR851980:CJR851997 CTN851980:CTN851997 DDJ851980:DDJ851997 DNF851980:DNF851997 DXB851980:DXB851997 EGX851980:EGX851997 EQT851980:EQT851997 FAP851980:FAP851997 FKL851980:FKL851997 FUH851980:FUH851997 GED851980:GED851997 GNZ851980:GNZ851997 GXV851980:GXV851997 HHR851980:HHR851997 HRN851980:HRN851997 IBJ851980:IBJ851997 ILF851980:ILF851997 IVB851980:IVB851997 JEX851980:JEX851997 JOT851980:JOT851997 JYP851980:JYP851997 KIL851980:KIL851997 KSH851980:KSH851997 LCD851980:LCD851997 LLZ851980:LLZ851997 LVV851980:LVV851997 MFR851980:MFR851997 MPN851980:MPN851997 MZJ851980:MZJ851997 NJF851980:NJF851997 NTB851980:NTB851997 OCX851980:OCX851997 OMT851980:OMT851997 OWP851980:OWP851997 PGL851980:PGL851997 PQH851980:PQH851997 QAD851980:QAD851997 QJZ851980:QJZ851997 QTV851980:QTV851997 RDR851980:RDR851997 RNN851980:RNN851997 RXJ851980:RXJ851997 SHF851980:SHF851997 SRB851980:SRB851997 TAX851980:TAX851997 TKT851980:TKT851997 TUP851980:TUP851997 UEL851980:UEL851997 UOH851980:UOH851997 UYD851980:UYD851997 VHZ851980:VHZ851997 VRV851980:VRV851997 WBR851980:WBR851997 WLN851980:WLN851997 WVJ851980:WVJ851997 B917516:B917533 IX917516:IX917533 ST917516:ST917533 ACP917516:ACP917533 AML917516:AML917533 AWH917516:AWH917533 BGD917516:BGD917533 BPZ917516:BPZ917533 BZV917516:BZV917533 CJR917516:CJR917533 CTN917516:CTN917533 DDJ917516:DDJ917533 DNF917516:DNF917533 DXB917516:DXB917533 EGX917516:EGX917533 EQT917516:EQT917533 FAP917516:FAP917533 FKL917516:FKL917533 FUH917516:FUH917533 GED917516:GED917533 GNZ917516:GNZ917533 GXV917516:GXV917533 HHR917516:HHR917533 HRN917516:HRN917533 IBJ917516:IBJ917533 ILF917516:ILF917533 IVB917516:IVB917533 JEX917516:JEX917533 JOT917516:JOT917533 JYP917516:JYP917533 KIL917516:KIL917533 KSH917516:KSH917533 LCD917516:LCD917533 LLZ917516:LLZ917533 LVV917516:LVV917533 MFR917516:MFR917533 MPN917516:MPN917533 MZJ917516:MZJ917533 NJF917516:NJF917533 NTB917516:NTB917533 OCX917516:OCX917533 OMT917516:OMT917533 OWP917516:OWP917533 PGL917516:PGL917533 PQH917516:PQH917533 QAD917516:QAD917533 QJZ917516:QJZ917533 QTV917516:QTV917533 RDR917516:RDR917533 RNN917516:RNN917533 RXJ917516:RXJ917533 SHF917516:SHF917533 SRB917516:SRB917533 TAX917516:TAX917533 TKT917516:TKT917533 TUP917516:TUP917533 UEL917516:UEL917533 UOH917516:UOH917533 UYD917516:UYD917533 VHZ917516:VHZ917533 VRV917516:VRV917533 WBR917516:WBR917533 WLN917516:WLN917533 WVJ917516:WVJ917533" xr:uid="{00000000-0002-0000-4200-000000000000}">
      <formula1>trung</formula1>
    </dataValidation>
    <dataValidation type="list" allowBlank="1" showInputMessage="1" showErrorMessage="1" sqref="B25:B28" xr:uid="{00000000-0002-0000-4200-000001000000}">
      <formula1>bichphuong</formula1>
    </dataValidation>
  </dataValidation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I381"/>
  <sheetViews>
    <sheetView topLeftCell="A20"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7" style="88" customWidth="1"/>
    <col min="5" max="5" width="10.8984375" style="89" customWidth="1"/>
    <col min="6" max="6" width="5.8984375" style="9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2462</v>
      </c>
      <c r="B8" s="420"/>
      <c r="C8" s="420"/>
      <c r="D8" s="420"/>
      <c r="E8" s="420"/>
      <c r="F8" s="420"/>
      <c r="G8" s="420"/>
      <c r="H8" s="420"/>
    </row>
    <row r="9" spans="1:8" s="98" customFormat="1" ht="23.25" customHeight="1">
      <c r="A9" s="420" t="s">
        <v>2383</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40.5" customHeight="1">
      <c r="A13" s="96" t="s">
        <v>17</v>
      </c>
      <c r="B13" s="425" t="s">
        <v>2463</v>
      </c>
      <c r="C13" s="425"/>
      <c r="D13" s="425"/>
      <c r="E13" s="425"/>
      <c r="F13" s="425"/>
      <c r="G13" s="73">
        <f>G14+G17</f>
        <v>73004800</v>
      </c>
      <c r="H13" s="74"/>
    </row>
    <row r="14" spans="1:8" s="12" customFormat="1" ht="21.75" customHeight="1">
      <c r="A14" s="212">
        <v>1</v>
      </c>
      <c r="B14" s="483" t="s">
        <v>2102</v>
      </c>
      <c r="C14" s="484"/>
      <c r="D14" s="485"/>
      <c r="E14" s="213"/>
      <c r="F14" s="214"/>
      <c r="G14" s="215">
        <f>G15+G16</f>
        <v>15056000</v>
      </c>
      <c r="H14" s="216"/>
    </row>
    <row r="15" spans="1:8" s="12" customFormat="1" ht="31.2">
      <c r="A15" s="212"/>
      <c r="B15" s="226" t="s">
        <v>2121</v>
      </c>
      <c r="C15" s="220" t="s">
        <v>2120</v>
      </c>
      <c r="D15" s="221">
        <v>127.1</v>
      </c>
      <c r="E15" s="222">
        <v>80000</v>
      </c>
      <c r="F15" s="223">
        <v>1</v>
      </c>
      <c r="G15" s="225">
        <f>D15*E15*F15</f>
        <v>10168000</v>
      </c>
      <c r="H15" s="216"/>
    </row>
    <row r="16" spans="1:8" s="12" customFormat="1" ht="46.8">
      <c r="A16" s="212"/>
      <c r="B16" s="124" t="s">
        <v>2360</v>
      </c>
      <c r="C16" s="220" t="s">
        <v>2120</v>
      </c>
      <c r="D16" s="221">
        <f>188.2-D15</f>
        <v>61.099999999999994</v>
      </c>
      <c r="E16" s="222">
        <v>80000</v>
      </c>
      <c r="F16" s="223">
        <v>1</v>
      </c>
      <c r="G16" s="225">
        <f>D16*E16*F16</f>
        <v>4888000</v>
      </c>
      <c r="H16" s="216"/>
    </row>
    <row r="17" spans="1:9" s="12" customFormat="1" ht="21.75" customHeight="1">
      <c r="A17" s="212">
        <v>2</v>
      </c>
      <c r="B17" s="219" t="s">
        <v>2116</v>
      </c>
      <c r="C17" s="220"/>
      <c r="D17" s="221"/>
      <c r="E17" s="222"/>
      <c r="F17" s="223"/>
      <c r="G17" s="224">
        <f>G19+G21+G22</f>
        <v>57948800</v>
      </c>
      <c r="H17" s="216"/>
    </row>
    <row r="18" spans="1:9" s="12" customFormat="1" ht="25.5" customHeight="1">
      <c r="A18" s="212" t="s">
        <v>2117</v>
      </c>
      <c r="B18" s="486" t="s">
        <v>2118</v>
      </c>
      <c r="C18" s="487"/>
      <c r="D18" s="487"/>
      <c r="E18" s="487"/>
      <c r="F18" s="488"/>
      <c r="G18" s="225"/>
      <c r="H18" s="96"/>
    </row>
    <row r="19" spans="1:9" s="12" customFormat="1" ht="31.2">
      <c r="A19" s="212"/>
      <c r="B19" s="226" t="s">
        <v>2121</v>
      </c>
      <c r="C19" s="220" t="s">
        <v>2120</v>
      </c>
      <c r="D19" s="221">
        <f>D15</f>
        <v>127.1</v>
      </c>
      <c r="E19" s="222">
        <v>80000</v>
      </c>
      <c r="F19" s="223">
        <v>5</v>
      </c>
      <c r="G19" s="225">
        <f>D19*E19*F19</f>
        <v>50840000</v>
      </c>
      <c r="H19" s="216"/>
    </row>
    <row r="20" spans="1:9" s="229" customFormat="1" ht="204" customHeight="1">
      <c r="A20" s="454" t="s">
        <v>2122</v>
      </c>
      <c r="B20" s="456" t="s">
        <v>2123</v>
      </c>
      <c r="C20" s="227" t="s">
        <v>2124</v>
      </c>
      <c r="D20" s="227" t="s">
        <v>2125</v>
      </c>
      <c r="E20" s="228" t="s">
        <v>2126</v>
      </c>
      <c r="F20" s="227" t="s">
        <v>2127</v>
      </c>
      <c r="G20" s="227" t="s">
        <v>2128</v>
      </c>
      <c r="H20" s="227" t="s">
        <v>2129</v>
      </c>
    </row>
    <row r="21" spans="1:9" s="229" customFormat="1" ht="47.25" customHeight="1">
      <c r="A21" s="455"/>
      <c r="B21" s="457"/>
      <c r="C21" s="278">
        <v>2</v>
      </c>
      <c r="D21" s="279">
        <f>IF(H21&lt;30%,3,IF(H21&lt;70%,6,IF(H21&gt;70%,12,0)))</f>
        <v>3</v>
      </c>
      <c r="E21" s="280">
        <v>14400</v>
      </c>
      <c r="F21" s="281">
        <f>IF(H21&lt;30%,30,IF(H21&gt;30%,30))</f>
        <v>30</v>
      </c>
      <c r="G21" s="282">
        <f>C21*D21*E21*F21</f>
        <v>2592000</v>
      </c>
      <c r="H21" s="283">
        <f>(D19+D16)/3903</f>
        <v>4.8219318472969508E-2</v>
      </c>
    </row>
    <row r="22" spans="1:9" s="229" customFormat="1" ht="96.6">
      <c r="A22" s="237" t="s">
        <v>2130</v>
      </c>
      <c r="B22" s="238" t="s">
        <v>2131</v>
      </c>
      <c r="C22" s="239" t="s">
        <v>66</v>
      </c>
      <c r="D22" s="240">
        <f>D19+D16</f>
        <v>188.2</v>
      </c>
      <c r="E22" s="241">
        <v>80000</v>
      </c>
      <c r="F22" s="242">
        <f>30%</f>
        <v>0.3</v>
      </c>
      <c r="G22" s="246">
        <f>D22*E22*F22</f>
        <v>4516800</v>
      </c>
      <c r="H22" s="244"/>
      <c r="I22" s="245"/>
    </row>
    <row r="23" spans="1:9" ht="27" customHeight="1">
      <c r="A23" s="75" t="s">
        <v>18</v>
      </c>
      <c r="B23" s="426" t="s">
        <v>1725</v>
      </c>
      <c r="C23" s="426"/>
      <c r="D23" s="426"/>
      <c r="E23" s="426"/>
      <c r="F23" s="426"/>
      <c r="G23" s="76">
        <f>SUM(G24:G35)</f>
        <v>48516968.250333346</v>
      </c>
      <c r="H23" s="11"/>
    </row>
    <row r="24" spans="1:9" ht="31.2">
      <c r="A24" s="77">
        <v>1</v>
      </c>
      <c r="B24" s="78" t="s">
        <v>2464</v>
      </c>
      <c r="C24" s="14" t="s">
        <v>1754</v>
      </c>
      <c r="D24" s="132">
        <f>(43*2.5+13*3)*0.11</f>
        <v>16.114999999999998</v>
      </c>
      <c r="E24" s="15">
        <v>2126713</v>
      </c>
      <c r="F24" s="14">
        <v>1</v>
      </c>
      <c r="G24" s="79">
        <f t="shared" ref="G24:G35" si="0">D24*E24*F24</f>
        <v>34271979.994999997</v>
      </c>
      <c r="H24" s="15"/>
    </row>
    <row r="25" spans="1:9" ht="15.6">
      <c r="A25" s="77">
        <v>2</v>
      </c>
      <c r="B25" s="78" t="s">
        <v>2465</v>
      </c>
      <c r="C25" s="14" t="s">
        <v>66</v>
      </c>
      <c r="D25" s="132">
        <f>5.5*5.4</f>
        <v>29.700000000000003</v>
      </c>
      <c r="E25" s="15">
        <v>379477</v>
      </c>
      <c r="F25" s="187">
        <v>0.2</v>
      </c>
      <c r="G25" s="79">
        <f t="shared" si="0"/>
        <v>2254093.3800000004</v>
      </c>
      <c r="H25" s="15"/>
    </row>
    <row r="26" spans="1:9" ht="24" customHeight="1">
      <c r="A26" s="77">
        <v>3</v>
      </c>
      <c r="B26" s="78" t="s">
        <v>2466</v>
      </c>
      <c r="C26" s="14" t="s">
        <v>66</v>
      </c>
      <c r="D26" s="132">
        <f>1.5*5.5</f>
        <v>8.25</v>
      </c>
      <c r="E26" s="79">
        <v>214934</v>
      </c>
      <c r="F26" s="187">
        <v>0.2</v>
      </c>
      <c r="G26" s="79">
        <f t="shared" si="0"/>
        <v>354641.10000000003</v>
      </c>
      <c r="H26" s="15"/>
    </row>
    <row r="27" spans="1:9" ht="62.4">
      <c r="A27" s="77">
        <v>4</v>
      </c>
      <c r="B27" s="78" t="s">
        <v>2467</v>
      </c>
      <c r="C27" s="14" t="s">
        <v>1755</v>
      </c>
      <c r="D27" s="132">
        <f>(15.47/6)*3.5*2</f>
        <v>18.048333333333336</v>
      </c>
      <c r="E27" s="15">
        <v>19900</v>
      </c>
      <c r="F27" s="14">
        <v>1</v>
      </c>
      <c r="G27" s="79">
        <f t="shared" si="0"/>
        <v>359161.83333333337</v>
      </c>
      <c r="H27" s="15"/>
    </row>
    <row r="28" spans="1:9" ht="31.2">
      <c r="A28" s="77">
        <v>5</v>
      </c>
      <c r="B28" s="78" t="s">
        <v>2468</v>
      </c>
      <c r="C28" s="14" t="s">
        <v>1754</v>
      </c>
      <c r="D28" s="132">
        <f>0.45*0.45*3*2</f>
        <v>1.2150000000000001</v>
      </c>
      <c r="E28" s="15">
        <v>2623803</v>
      </c>
      <c r="F28" s="14">
        <v>1</v>
      </c>
      <c r="G28" s="79">
        <f t="shared" si="0"/>
        <v>3187920.645</v>
      </c>
      <c r="H28" s="15"/>
    </row>
    <row r="29" spans="1:9" ht="62.4">
      <c r="A29" s="77">
        <v>6</v>
      </c>
      <c r="B29" s="78" t="s">
        <v>2469</v>
      </c>
      <c r="C29" s="14" t="s">
        <v>1755</v>
      </c>
      <c r="D29" s="132">
        <f>(3.76/6)*4*3*2</f>
        <v>15.04</v>
      </c>
      <c r="E29" s="15">
        <v>19900</v>
      </c>
      <c r="F29" s="14">
        <v>1</v>
      </c>
      <c r="G29" s="79">
        <f t="shared" si="0"/>
        <v>299296</v>
      </c>
      <c r="H29" s="15"/>
    </row>
    <row r="30" spans="1:9" ht="31.2">
      <c r="A30" s="77">
        <v>7</v>
      </c>
      <c r="B30" s="78" t="s">
        <v>2470</v>
      </c>
      <c r="C30" s="14" t="s">
        <v>1754</v>
      </c>
      <c r="D30" s="132">
        <f>0.4*0.6*3*2</f>
        <v>1.44</v>
      </c>
      <c r="E30" s="15">
        <v>1081965</v>
      </c>
      <c r="F30" s="14">
        <v>1</v>
      </c>
      <c r="G30" s="79">
        <f t="shared" si="0"/>
        <v>1558029.5999999999</v>
      </c>
      <c r="H30" s="15"/>
    </row>
    <row r="31" spans="1:9" ht="31.2">
      <c r="A31" s="77">
        <v>8</v>
      </c>
      <c r="B31" s="78" t="s">
        <v>2471</v>
      </c>
      <c r="C31" s="14" t="s">
        <v>1754</v>
      </c>
      <c r="D31" s="132">
        <f>0.22*0.22*2.5*3</f>
        <v>0.36299999999999999</v>
      </c>
      <c r="E31" s="15">
        <v>2623803</v>
      </c>
      <c r="F31" s="14">
        <v>1</v>
      </c>
      <c r="G31" s="79">
        <f t="shared" si="0"/>
        <v>952440.48899999994</v>
      </c>
      <c r="H31" s="15"/>
    </row>
    <row r="32" spans="1:9" ht="15.6">
      <c r="A32" s="77">
        <v>9</v>
      </c>
      <c r="B32" s="78" t="s">
        <v>2472</v>
      </c>
      <c r="C32" s="14" t="s">
        <v>66</v>
      </c>
      <c r="D32" s="132">
        <f>2.2*2.1</f>
        <v>4.620000000000001</v>
      </c>
      <c r="E32" s="15">
        <v>550000</v>
      </c>
      <c r="F32" s="14">
        <v>1</v>
      </c>
      <c r="G32" s="79">
        <f t="shared" si="0"/>
        <v>2541000.0000000005</v>
      </c>
      <c r="H32" s="15"/>
    </row>
    <row r="33" spans="1:8" ht="15.6">
      <c r="A33" s="77">
        <v>10</v>
      </c>
      <c r="B33" s="78" t="s">
        <v>2473</v>
      </c>
      <c r="C33" s="14" t="s">
        <v>66</v>
      </c>
      <c r="D33" s="132">
        <f>2*1</f>
        <v>2</v>
      </c>
      <c r="E33" s="15">
        <v>103000</v>
      </c>
      <c r="F33" s="14">
        <v>1</v>
      </c>
      <c r="G33" s="79">
        <f t="shared" si="0"/>
        <v>206000</v>
      </c>
      <c r="H33" s="15"/>
    </row>
    <row r="34" spans="1:8" ht="31.2">
      <c r="A34" s="77">
        <v>11</v>
      </c>
      <c r="B34" s="78" t="s">
        <v>2474</v>
      </c>
      <c r="C34" s="14" t="s">
        <v>1754</v>
      </c>
      <c r="D34" s="132">
        <f>(2.2*2+5.5*2)*0.1</f>
        <v>1.54</v>
      </c>
      <c r="E34" s="15">
        <v>1629758</v>
      </c>
      <c r="F34" s="187">
        <v>0.2</v>
      </c>
      <c r="G34" s="79">
        <f t="shared" si="0"/>
        <v>501965.46399999998</v>
      </c>
      <c r="H34" s="15"/>
    </row>
    <row r="35" spans="1:8" ht="30.6" customHeight="1">
      <c r="A35" s="77">
        <v>12</v>
      </c>
      <c r="B35" s="78" t="s">
        <v>2475</v>
      </c>
      <c r="C35" s="14" t="s">
        <v>1754</v>
      </c>
      <c r="D35" s="132">
        <f>0.12*0.12*2*10</f>
        <v>0.28799999999999998</v>
      </c>
      <c r="E35" s="15">
        <v>7050138</v>
      </c>
      <c r="F35" s="14">
        <v>1</v>
      </c>
      <c r="G35" s="79">
        <f t="shared" si="0"/>
        <v>2030439.7439999999</v>
      </c>
      <c r="H35" s="15"/>
    </row>
    <row r="36" spans="1:8" ht="24" customHeight="1">
      <c r="A36" s="75" t="s">
        <v>19</v>
      </c>
      <c r="B36" s="426" t="s">
        <v>1727</v>
      </c>
      <c r="C36" s="426"/>
      <c r="D36" s="426"/>
      <c r="E36" s="426"/>
      <c r="F36" s="426"/>
      <c r="G36" s="76">
        <f>SUM(G37:G48)</f>
        <v>14101300</v>
      </c>
      <c r="H36" s="11"/>
    </row>
    <row r="37" spans="1:8" s="12" customFormat="1" ht="34.200000000000003" customHeight="1">
      <c r="A37" s="94">
        <v>1</v>
      </c>
      <c r="B37" s="13" t="s">
        <v>919</v>
      </c>
      <c r="C37" s="14" t="s">
        <v>1724</v>
      </c>
      <c r="D37" s="14">
        <v>1</v>
      </c>
      <c r="E37" s="79" t="str">
        <f>VLOOKUP(B37,'[20]Đơn giá cây cối'!$A$2:$C$1361,3,0)</f>
        <v>1.120.000</v>
      </c>
      <c r="F37" s="14">
        <v>1</v>
      </c>
      <c r="G37" s="79">
        <f t="shared" ref="G37:G48" si="1">D37*E37*F37</f>
        <v>1120000</v>
      </c>
      <c r="H37" s="95"/>
    </row>
    <row r="38" spans="1:8" s="12" customFormat="1" ht="34.200000000000003" customHeight="1">
      <c r="A38" s="94">
        <v>2</v>
      </c>
      <c r="B38" s="267" t="s">
        <v>806</v>
      </c>
      <c r="C38" s="14" t="s">
        <v>1724</v>
      </c>
      <c r="D38" s="326">
        <v>7</v>
      </c>
      <c r="E38" s="79" t="str">
        <f>VLOOKUP(B38,'[20]Đơn giá cây cối'!$A$2:$C$1361,3,0)</f>
        <v>473.000</v>
      </c>
      <c r="F38" s="14">
        <v>1</v>
      </c>
      <c r="G38" s="79">
        <f t="shared" si="1"/>
        <v>3311000</v>
      </c>
      <c r="H38" s="95"/>
    </row>
    <row r="39" spans="1:8" s="12" customFormat="1" ht="34.200000000000003" customHeight="1">
      <c r="A39" s="94">
        <v>3</v>
      </c>
      <c r="B39" s="267" t="s">
        <v>368</v>
      </c>
      <c r="C39" s="14" t="s">
        <v>1724</v>
      </c>
      <c r="D39" s="326">
        <v>2</v>
      </c>
      <c r="E39" s="79" t="str">
        <f>VLOOKUP(B39,'[20]Đơn giá cây cối'!$A$2:$C$1361,3,0)</f>
        <v>398.000</v>
      </c>
      <c r="F39" s="14">
        <v>1</v>
      </c>
      <c r="G39" s="79">
        <f t="shared" si="1"/>
        <v>796000</v>
      </c>
      <c r="H39" s="95"/>
    </row>
    <row r="40" spans="1:8" s="12" customFormat="1" ht="34.200000000000003" customHeight="1">
      <c r="A40" s="94">
        <v>4</v>
      </c>
      <c r="B40" s="267" t="s">
        <v>1490</v>
      </c>
      <c r="C40" s="14" t="s">
        <v>2206</v>
      </c>
      <c r="D40" s="326">
        <v>8</v>
      </c>
      <c r="E40" s="79" t="str">
        <f>VLOOKUP(B40,'[20]Đơn giá cây cối'!$A$2:$C$1361,3,0)</f>
        <v>300.000</v>
      </c>
      <c r="F40" s="14">
        <v>1</v>
      </c>
      <c r="G40" s="79">
        <f t="shared" si="1"/>
        <v>2400000</v>
      </c>
      <c r="H40" s="95"/>
    </row>
    <row r="41" spans="1:8" s="12" customFormat="1" ht="34.200000000000003" customHeight="1">
      <c r="A41" s="94">
        <v>5</v>
      </c>
      <c r="B41" s="267" t="s">
        <v>301</v>
      </c>
      <c r="C41" s="14" t="s">
        <v>1724</v>
      </c>
      <c r="D41" s="326">
        <v>1</v>
      </c>
      <c r="E41" s="79">
        <f>VLOOKUP(B41,'[20]Đơn giá cây cối'!$A$2:$C$1361,3,0)</f>
        <v>200000</v>
      </c>
      <c r="F41" s="14">
        <v>1</v>
      </c>
      <c r="G41" s="79">
        <f t="shared" si="1"/>
        <v>200000</v>
      </c>
      <c r="H41" s="95"/>
    </row>
    <row r="42" spans="1:8" s="12" customFormat="1" ht="34.200000000000003" customHeight="1">
      <c r="A42" s="94">
        <v>6</v>
      </c>
      <c r="B42" s="267" t="s">
        <v>300</v>
      </c>
      <c r="C42" s="14" t="s">
        <v>1724</v>
      </c>
      <c r="D42" s="326">
        <v>10</v>
      </c>
      <c r="E42" s="79">
        <f>VLOOKUP(B42,'[20]Đơn giá cây cối'!$A$2:$C$1361,3,0)</f>
        <v>70000</v>
      </c>
      <c r="F42" s="14">
        <v>1</v>
      </c>
      <c r="G42" s="79">
        <f t="shared" si="1"/>
        <v>700000</v>
      </c>
      <c r="H42" s="95"/>
    </row>
    <row r="43" spans="1:8" s="12" customFormat="1" ht="34.200000000000003" customHeight="1">
      <c r="A43" s="94">
        <v>7</v>
      </c>
      <c r="B43" s="267" t="s">
        <v>381</v>
      </c>
      <c r="C43" s="14" t="s">
        <v>1724</v>
      </c>
      <c r="D43" s="326">
        <v>1</v>
      </c>
      <c r="E43" s="79" t="str">
        <f>VLOOKUP(B43,'[20]Đơn giá cây cối'!$A$2:$C$1361,3,0)</f>
        <v>398.000</v>
      </c>
      <c r="F43" s="14">
        <v>1</v>
      </c>
      <c r="G43" s="79">
        <f t="shared" si="1"/>
        <v>398000</v>
      </c>
      <c r="H43" s="95"/>
    </row>
    <row r="44" spans="1:8" s="12" customFormat="1" ht="34.200000000000003" customHeight="1">
      <c r="A44" s="94">
        <v>8</v>
      </c>
      <c r="B44" s="267" t="s">
        <v>2476</v>
      </c>
      <c r="C44" s="14" t="s">
        <v>1724</v>
      </c>
      <c r="D44" s="326">
        <v>1</v>
      </c>
      <c r="E44" s="79">
        <v>264000</v>
      </c>
      <c r="F44" s="14">
        <v>1</v>
      </c>
      <c r="G44" s="79">
        <f t="shared" si="1"/>
        <v>264000</v>
      </c>
      <c r="H44" s="95"/>
    </row>
    <row r="45" spans="1:8" s="12" customFormat="1" ht="34.200000000000003" customHeight="1">
      <c r="A45" s="94">
        <v>9</v>
      </c>
      <c r="B45" s="267" t="s">
        <v>794</v>
      </c>
      <c r="C45" s="14" t="s">
        <v>1724</v>
      </c>
      <c r="D45" s="326">
        <v>1</v>
      </c>
      <c r="E45" s="79" t="str">
        <f>VLOOKUP(B45,'[20]Đơn giá cây cối'!$A$2:$C$1361,3,0)</f>
        <v>834.000</v>
      </c>
      <c r="F45" s="14">
        <v>1</v>
      </c>
      <c r="G45" s="79">
        <f t="shared" si="1"/>
        <v>834000</v>
      </c>
      <c r="H45" s="95"/>
    </row>
    <row r="46" spans="1:8" s="12" customFormat="1" ht="34.200000000000003" customHeight="1">
      <c r="A46" s="94">
        <v>10</v>
      </c>
      <c r="B46" s="267" t="s">
        <v>262</v>
      </c>
      <c r="C46" s="14" t="s">
        <v>1724</v>
      </c>
      <c r="D46" s="326">
        <v>3</v>
      </c>
      <c r="E46" s="79">
        <f>VLOOKUP(B46,'[20]Đơn giá cây cối'!$A$2:$C$1361,3,0)</f>
        <v>100000</v>
      </c>
      <c r="F46" s="14">
        <v>1</v>
      </c>
      <c r="G46" s="79">
        <f t="shared" si="1"/>
        <v>300000</v>
      </c>
      <c r="H46" s="95"/>
    </row>
    <row r="47" spans="1:8" s="12" customFormat="1" ht="34.200000000000003" customHeight="1">
      <c r="A47" s="94">
        <v>11</v>
      </c>
      <c r="B47" s="267" t="s">
        <v>375</v>
      </c>
      <c r="C47" s="14" t="s">
        <v>1724</v>
      </c>
      <c r="D47" s="326">
        <v>1</v>
      </c>
      <c r="E47" s="79" t="str">
        <f>VLOOKUP(B47,'[20]Đơn giá cây cối'!$A$2:$C$1361,3,0)</f>
        <v>3.733.000</v>
      </c>
      <c r="F47" s="14">
        <v>1</v>
      </c>
      <c r="G47" s="79">
        <f t="shared" si="1"/>
        <v>3733000</v>
      </c>
      <c r="H47" s="95"/>
    </row>
    <row r="48" spans="1:8" s="12" customFormat="1" ht="34.200000000000003" customHeight="1">
      <c r="A48" s="94">
        <v>12</v>
      </c>
      <c r="B48" s="267" t="s">
        <v>100</v>
      </c>
      <c r="C48" s="14" t="s">
        <v>66</v>
      </c>
      <c r="D48" s="326">
        <v>3</v>
      </c>
      <c r="E48" s="79">
        <f>VLOOKUP(B48,'[20]Đơn giá cây cối'!$A$2:$C$1361,3,0)</f>
        <v>15100</v>
      </c>
      <c r="F48" s="14">
        <v>1</v>
      </c>
      <c r="G48" s="79">
        <f t="shared" si="1"/>
        <v>45300</v>
      </c>
      <c r="H48" s="95"/>
    </row>
    <row r="49" spans="1:8" ht="15.6">
      <c r="A49" s="80"/>
      <c r="B49" s="427" t="s">
        <v>62</v>
      </c>
      <c r="C49" s="428"/>
      <c r="D49" s="428"/>
      <c r="E49" s="428"/>
      <c r="F49" s="429"/>
      <c r="G49" s="81">
        <f>G13+G23+G36</f>
        <v>135623068.25033334</v>
      </c>
      <c r="H49" s="82"/>
    </row>
    <row r="50" spans="1:8" ht="15.6">
      <c r="A50" s="80"/>
      <c r="B50" s="427" t="s">
        <v>1726</v>
      </c>
      <c r="C50" s="428"/>
      <c r="D50" s="428"/>
      <c r="E50" s="428"/>
      <c r="F50" s="429"/>
      <c r="G50" s="81">
        <f>ROUND(G49,-3)</f>
        <v>135623000</v>
      </c>
      <c r="H50" s="82"/>
    </row>
    <row r="51" spans="1:8" ht="15.6">
      <c r="A51" s="430" t="str">
        <f>[18]!uni(G50)</f>
        <v xml:space="preserve">Một trăm ba mươi lăm triệu sáu trăm hai mươi ba nghìn đồng </v>
      </c>
      <c r="B51" s="431"/>
      <c r="C51" s="431"/>
      <c r="D51" s="431"/>
      <c r="E51" s="431"/>
      <c r="F51" s="431"/>
      <c r="G51" s="431"/>
      <c r="H51" s="432"/>
    </row>
    <row r="52" spans="1:8" ht="15.6">
      <c r="A52" s="252"/>
      <c r="B52" s="253"/>
      <c r="C52" s="253"/>
      <c r="D52" s="253"/>
      <c r="E52" s="253"/>
      <c r="F52" s="253"/>
      <c r="G52" s="253"/>
      <c r="H52" s="253"/>
    </row>
    <row r="53" spans="1:8" ht="15.6">
      <c r="A53" s="252"/>
      <c r="B53" s="253"/>
      <c r="C53" s="253"/>
      <c r="D53" s="253"/>
      <c r="E53" s="253"/>
      <c r="F53" s="253"/>
      <c r="G53" s="253"/>
      <c r="H53" s="253"/>
    </row>
    <row r="54" spans="1:8">
      <c r="A54" s="17"/>
      <c r="B54" s="17"/>
      <c r="C54" s="97"/>
      <c r="D54" s="20"/>
      <c r="E54" s="19"/>
      <c r="G54" s="19"/>
      <c r="H54" s="17"/>
    </row>
    <row r="55" spans="1:8" s="109" customFormat="1" ht="16.5" customHeight="1">
      <c r="A55" s="108"/>
      <c r="B55" s="108"/>
      <c r="C55" s="424" t="s">
        <v>1742</v>
      </c>
      <c r="D55" s="424"/>
      <c r="E55" s="424"/>
      <c r="F55" s="424"/>
      <c r="G55" s="424"/>
      <c r="H55" s="424"/>
    </row>
    <row r="56" spans="1:8" s="109" customFormat="1" ht="16.5" customHeight="1">
      <c r="A56" s="423" t="s">
        <v>63</v>
      </c>
      <c r="B56" s="423"/>
      <c r="C56" s="424" t="s">
        <v>1743</v>
      </c>
      <c r="D56" s="424"/>
      <c r="E56" s="424"/>
      <c r="F56" s="424" t="s">
        <v>1744</v>
      </c>
      <c r="G56" s="424"/>
      <c r="H56" s="424"/>
    </row>
    <row r="57" spans="1:8" s="109" customFormat="1" ht="15.6">
      <c r="A57" s="108"/>
      <c r="B57" s="108"/>
      <c r="C57" s="108"/>
      <c r="D57" s="110"/>
      <c r="E57" s="111"/>
      <c r="F57" s="112"/>
      <c r="G57" s="111"/>
      <c r="H57" s="113"/>
    </row>
    <row r="58" spans="1:8" s="109" customFormat="1" ht="15.6">
      <c r="A58" s="108"/>
      <c r="B58" s="108"/>
      <c r="C58" s="108"/>
      <c r="D58" s="110"/>
      <c r="E58" s="111"/>
      <c r="F58" s="112"/>
      <c r="G58" s="114"/>
      <c r="H58" s="113"/>
    </row>
    <row r="59" spans="1:8" s="109" customFormat="1" ht="15.6">
      <c r="A59" s="108"/>
      <c r="B59" s="108"/>
      <c r="C59" s="108"/>
      <c r="D59" s="110"/>
      <c r="E59" s="111"/>
      <c r="F59" s="112"/>
      <c r="G59" s="111"/>
      <c r="H59" s="113"/>
    </row>
    <row r="60" spans="1:8" s="109" customFormat="1" ht="15.6">
      <c r="A60" s="108"/>
      <c r="B60" s="108"/>
      <c r="C60" s="108"/>
      <c r="D60" s="110"/>
      <c r="E60" s="111"/>
      <c r="F60" s="112"/>
      <c r="G60" s="111"/>
      <c r="H60" s="113"/>
    </row>
    <row r="61" spans="1:8" s="109" customFormat="1" ht="15.6">
      <c r="A61" s="108"/>
      <c r="B61" s="108"/>
      <c r="C61" s="108"/>
      <c r="D61" s="110"/>
      <c r="E61" s="111"/>
      <c r="F61" s="112"/>
      <c r="G61" s="111"/>
      <c r="H61" s="113"/>
    </row>
    <row r="62" spans="1:8" s="109" customFormat="1" ht="16.5" customHeight="1">
      <c r="A62" s="108"/>
      <c r="B62" s="198" t="s">
        <v>64</v>
      </c>
      <c r="C62" s="424"/>
      <c r="D62" s="424"/>
      <c r="E62" s="424"/>
      <c r="F62" s="424" t="s">
        <v>1745</v>
      </c>
      <c r="G62" s="424"/>
      <c r="H62" s="424"/>
    </row>
    <row r="63" spans="1:8" s="109" customFormat="1" ht="16.5" customHeight="1">
      <c r="A63" s="108"/>
      <c r="B63" s="198"/>
      <c r="C63" s="199"/>
      <c r="D63" s="199"/>
      <c r="E63" s="199"/>
      <c r="F63" s="199"/>
      <c r="G63" s="199"/>
      <c r="H63" s="199"/>
    </row>
    <row r="64" spans="1:8" s="109" customFormat="1" ht="16.5" customHeight="1">
      <c r="A64" s="108"/>
      <c r="B64" s="198"/>
      <c r="C64" s="199"/>
      <c r="D64" s="199"/>
      <c r="E64" s="199"/>
      <c r="F64" s="199"/>
      <c r="G64" s="199"/>
      <c r="H64" s="199"/>
    </row>
    <row r="65" spans="1:8" s="109" customFormat="1" ht="16.5" customHeight="1">
      <c r="A65" s="108"/>
      <c r="B65" s="198"/>
      <c r="C65" s="199"/>
      <c r="D65" s="199"/>
      <c r="E65" s="199"/>
      <c r="F65" s="199"/>
      <c r="G65" s="199"/>
      <c r="H65" s="199"/>
    </row>
    <row r="66" spans="1:8" s="109" customFormat="1" ht="16.5" customHeight="1">
      <c r="A66" s="108"/>
      <c r="B66" s="198"/>
      <c r="C66" s="199"/>
      <c r="D66" s="199"/>
      <c r="E66" s="199"/>
      <c r="F66" s="199"/>
      <c r="G66" s="199"/>
      <c r="H66" s="199"/>
    </row>
    <row r="67" spans="1:8" s="109" customFormat="1" ht="16.5" customHeight="1">
      <c r="A67" s="108"/>
      <c r="B67" s="198"/>
      <c r="C67" s="199"/>
      <c r="D67" s="199"/>
      <c r="E67" s="199"/>
      <c r="F67" s="199"/>
      <c r="G67" s="199"/>
      <c r="H67" s="199"/>
    </row>
    <row r="68" spans="1:8" s="109" customFormat="1" ht="16.5" customHeight="1">
      <c r="A68" s="108"/>
      <c r="B68" s="198"/>
      <c r="C68" s="199"/>
      <c r="D68" s="199"/>
      <c r="E68" s="199"/>
      <c r="F68" s="199"/>
      <c r="G68" s="199"/>
      <c r="H68" s="199"/>
    </row>
    <row r="69" spans="1:8" s="109" customFormat="1" ht="15.6">
      <c r="A69" s="108"/>
      <c r="B69" s="198"/>
      <c r="C69" s="199"/>
      <c r="D69" s="199"/>
      <c r="E69" s="199"/>
      <c r="F69" s="199"/>
      <c r="G69" s="199"/>
      <c r="H69" s="199"/>
    </row>
    <row r="70" spans="1:8" s="109" customFormat="1" ht="15" customHeight="1">
      <c r="A70" s="424" t="s">
        <v>1746</v>
      </c>
      <c r="B70" s="424"/>
      <c r="C70" s="424"/>
      <c r="D70" s="424"/>
      <c r="E70" s="424" t="s">
        <v>1747</v>
      </c>
      <c r="F70" s="424"/>
      <c r="G70" s="424"/>
      <c r="H70" s="424"/>
    </row>
    <row r="71" spans="1:8" s="109" customFormat="1" ht="33.6" customHeight="1">
      <c r="A71" s="424" t="s">
        <v>1748</v>
      </c>
      <c r="B71" s="424"/>
      <c r="C71" s="424"/>
      <c r="D71" s="424"/>
      <c r="E71" s="424" t="s">
        <v>65</v>
      </c>
      <c r="F71" s="424"/>
      <c r="G71" s="424"/>
      <c r="H71" s="424"/>
    </row>
    <row r="72" spans="1:8" s="109" customFormat="1" ht="15.6">
      <c r="A72" s="108"/>
      <c r="B72" s="108"/>
      <c r="C72" s="108"/>
      <c r="D72" s="110"/>
      <c r="E72" s="111"/>
      <c r="F72" s="112"/>
      <c r="G72" s="111"/>
      <c r="H72" s="113"/>
    </row>
    <row r="73" spans="1:8" s="109" customFormat="1" ht="15.6">
      <c r="A73" s="108"/>
      <c r="B73" s="108"/>
      <c r="C73" s="108"/>
      <c r="D73" s="110"/>
      <c r="E73" s="111"/>
      <c r="F73" s="112"/>
      <c r="G73" s="111"/>
      <c r="H73" s="113"/>
    </row>
    <row r="74" spans="1:8" s="109" customFormat="1" ht="15.6">
      <c r="A74" s="108"/>
      <c r="B74" s="108"/>
      <c r="C74" s="108"/>
      <c r="D74" s="110"/>
      <c r="E74" s="111"/>
      <c r="F74" s="112"/>
      <c r="G74" s="111"/>
      <c r="H74" s="113"/>
    </row>
    <row r="75" spans="1:8" s="109" customFormat="1" ht="15.6">
      <c r="A75" s="108"/>
      <c r="B75" s="108"/>
      <c r="C75" s="108"/>
      <c r="D75" s="110"/>
      <c r="E75" s="111"/>
      <c r="F75" s="112"/>
      <c r="G75" s="111"/>
      <c r="H75" s="113"/>
    </row>
    <row r="76" spans="1:8" s="109" customFormat="1" ht="15.6">
      <c r="A76" s="108"/>
      <c r="B76" s="108"/>
      <c r="C76" s="108"/>
      <c r="D76" s="110"/>
      <c r="E76" s="111"/>
      <c r="F76" s="112"/>
      <c r="G76" s="111"/>
      <c r="H76" s="113"/>
    </row>
    <row r="77" spans="1:8" s="109" customFormat="1" ht="15.6" customHeight="1">
      <c r="A77" s="108"/>
      <c r="B77" s="108"/>
      <c r="C77" s="108"/>
      <c r="D77" s="115"/>
      <c r="E77" s="439" t="s">
        <v>1749</v>
      </c>
      <c r="F77" s="439"/>
      <c r="G77" s="439"/>
      <c r="H77" s="439"/>
    </row>
    <row r="78" spans="1:8" s="109" customFormat="1" ht="16.5" customHeight="1">
      <c r="A78" s="424" t="s">
        <v>1751</v>
      </c>
      <c r="B78" s="424"/>
      <c r="C78" s="424"/>
      <c r="D78" s="424"/>
      <c r="E78" s="424" t="s">
        <v>1750</v>
      </c>
      <c r="F78" s="424"/>
      <c r="G78" s="424"/>
      <c r="H78" s="424"/>
    </row>
    <row r="79" spans="1:8" s="118" customFormat="1" ht="16.2" customHeight="1">
      <c r="A79" s="440"/>
      <c r="B79" s="440"/>
      <c r="C79" s="116"/>
      <c r="D79" s="117"/>
      <c r="E79" s="440"/>
      <c r="F79" s="440"/>
      <c r="G79" s="440"/>
      <c r="H79" s="440"/>
    </row>
    <row r="80" spans="1:8" s="118" customFormat="1" ht="15.75" customHeight="1">
      <c r="A80" s="440"/>
      <c r="B80" s="440"/>
      <c r="C80" s="440"/>
      <c r="D80" s="440"/>
      <c r="E80" s="440"/>
      <c r="F80" s="440"/>
      <c r="G80" s="440"/>
      <c r="H80" s="440"/>
    </row>
    <row r="81" spans="1:8" s="98" customFormat="1" ht="16.2" customHeight="1">
      <c r="A81" s="436"/>
      <c r="B81" s="436"/>
      <c r="C81" s="436"/>
      <c r="D81" s="436"/>
      <c r="E81" s="119"/>
      <c r="F81" s="120"/>
      <c r="G81" s="119"/>
      <c r="H81" s="121"/>
    </row>
    <row r="82" spans="1:8" s="98" customFormat="1" ht="16.2" customHeight="1">
      <c r="A82" s="436"/>
      <c r="B82" s="436"/>
      <c r="C82" s="436"/>
      <c r="D82" s="436"/>
      <c r="E82" s="119"/>
      <c r="F82" s="120"/>
      <c r="G82" s="119"/>
      <c r="H82" s="121"/>
    </row>
    <row r="83" spans="1:8" s="98" customFormat="1" ht="16.2" customHeight="1">
      <c r="A83" s="121"/>
      <c r="B83" s="121"/>
      <c r="C83" s="121"/>
      <c r="D83" s="122"/>
      <c r="E83" s="119"/>
      <c r="F83" s="120"/>
      <c r="G83" s="119"/>
      <c r="H83" s="121"/>
    </row>
    <row r="84" spans="1:8" ht="16.2" customHeight="1">
      <c r="A84" s="83"/>
      <c r="B84" s="83"/>
      <c r="C84" s="83"/>
      <c r="D84" s="84"/>
      <c r="E84" s="85"/>
      <c r="F84" s="86"/>
      <c r="G84" s="85"/>
      <c r="H84" s="83"/>
    </row>
    <row r="85" spans="1:8" ht="16.2" customHeight="1">
      <c r="A85" s="83"/>
      <c r="B85" s="83"/>
      <c r="C85" s="83"/>
      <c r="D85" s="84"/>
      <c r="E85" s="85"/>
      <c r="F85" s="86"/>
      <c r="G85" s="85"/>
      <c r="H85" s="83"/>
    </row>
    <row r="86" spans="1:8" ht="16.2" customHeight="1">
      <c r="A86" s="83"/>
      <c r="B86" s="83"/>
      <c r="C86" s="83"/>
      <c r="D86" s="84"/>
      <c r="E86" s="85"/>
      <c r="F86" s="86"/>
      <c r="G86" s="85"/>
      <c r="H86" s="83"/>
    </row>
    <row r="87" spans="1:8" ht="16.2" customHeight="1">
      <c r="A87" s="83"/>
      <c r="B87" s="83"/>
      <c r="C87" s="83"/>
      <c r="D87" s="84"/>
      <c r="E87" s="437"/>
      <c r="F87" s="437"/>
      <c r="G87" s="437"/>
      <c r="H87" s="437"/>
    </row>
    <row r="88" spans="1:8" ht="20.25" customHeight="1">
      <c r="A88" s="438"/>
      <c r="B88" s="438"/>
      <c r="C88" s="438"/>
      <c r="D88" s="438"/>
      <c r="E88" s="438"/>
      <c r="F88" s="438"/>
      <c r="G88" s="438"/>
      <c r="H88" s="438"/>
    </row>
    <row r="89" spans="1:8" s="17" customFormat="1" ht="16.2" customHeight="1">
      <c r="D89" s="18"/>
      <c r="E89" s="19"/>
      <c r="F89" s="97"/>
      <c r="G89" s="19"/>
    </row>
    <row r="90" spans="1:8" s="17" customFormat="1" ht="16.2" customHeight="1">
      <c r="D90" s="18"/>
      <c r="E90" s="19"/>
      <c r="F90" s="97"/>
      <c r="G90" s="19"/>
    </row>
    <row r="91" spans="1:8" s="17" customFormat="1" ht="16.2" customHeight="1">
      <c r="D91" s="18"/>
      <c r="E91" s="19"/>
      <c r="F91" s="97"/>
      <c r="G91" s="19"/>
    </row>
    <row r="92" spans="1:8" s="17" customFormat="1" ht="16.2" customHeight="1">
      <c r="D92" s="18"/>
      <c r="E92" s="19"/>
      <c r="F92" s="97"/>
      <c r="G92" s="19"/>
    </row>
    <row r="93" spans="1:8" s="17" customFormat="1" ht="16.2" customHeight="1">
      <c r="D93" s="18"/>
      <c r="E93" s="19"/>
      <c r="F93" s="97"/>
      <c r="G93" s="19"/>
    </row>
    <row r="94" spans="1:8" s="17" customFormat="1" ht="16.2" customHeight="1">
      <c r="D94" s="18"/>
      <c r="E94" s="19"/>
      <c r="F94" s="97"/>
      <c r="G94" s="19"/>
    </row>
    <row r="95" spans="1:8" s="17" customFormat="1" ht="16.2" customHeight="1">
      <c r="D95" s="18"/>
      <c r="E95" s="19"/>
      <c r="F95" s="97"/>
      <c r="G95" s="19"/>
    </row>
    <row r="96" spans="1:8" s="17" customFormat="1" ht="16.2" customHeight="1">
      <c r="D96" s="18"/>
      <c r="E96" s="19"/>
      <c r="F96" s="97"/>
      <c r="G96" s="19"/>
    </row>
    <row r="97" spans="3:7" s="17" customFormat="1" ht="16.2" customHeight="1">
      <c r="D97" s="18"/>
      <c r="E97" s="19"/>
      <c r="F97" s="97"/>
      <c r="G97" s="19"/>
    </row>
    <row r="98" spans="3:7" s="17" customFormat="1" ht="16.2" customHeight="1">
      <c r="D98" s="18"/>
      <c r="E98" s="19"/>
      <c r="F98" s="97"/>
      <c r="G98" s="19"/>
    </row>
    <row r="99" spans="3:7" s="17" customFormat="1" ht="16.2" customHeight="1">
      <c r="D99" s="18"/>
      <c r="E99" s="19"/>
      <c r="F99" s="97"/>
      <c r="G99" s="19"/>
    </row>
    <row r="100" spans="3:7" s="17" customFormat="1" ht="16.2" customHeight="1">
      <c r="D100" s="18"/>
      <c r="E100" s="19"/>
      <c r="F100" s="97"/>
      <c r="G100" s="19"/>
    </row>
    <row r="101" spans="3:7" s="17" customFormat="1" ht="16.2" customHeight="1">
      <c r="D101" s="18"/>
      <c r="E101" s="19"/>
      <c r="F101" s="97"/>
      <c r="G101" s="19"/>
    </row>
    <row r="102" spans="3:7" s="17" customFormat="1" ht="16.2" customHeight="1">
      <c r="D102" s="18"/>
      <c r="E102" s="19"/>
      <c r="F102" s="97"/>
      <c r="G102" s="19"/>
    </row>
    <row r="103" spans="3:7" s="17" customFormat="1" ht="16.2" customHeight="1">
      <c r="D103" s="18"/>
      <c r="E103" s="19"/>
      <c r="F103" s="97"/>
      <c r="G103" s="19"/>
    </row>
    <row r="104" spans="3:7" s="17" customFormat="1" ht="16.2" customHeight="1">
      <c r="D104" s="18"/>
      <c r="E104" s="19"/>
      <c r="F104" s="97"/>
      <c r="G104" s="19"/>
    </row>
    <row r="105" spans="3:7" s="17" customFormat="1" ht="16.2" customHeight="1">
      <c r="C105" s="97"/>
      <c r="D105" s="20"/>
      <c r="E105" s="19"/>
      <c r="F105" s="97"/>
      <c r="G105" s="19"/>
    </row>
    <row r="106" spans="3:7" s="17" customFormat="1" ht="16.2" customHeight="1">
      <c r="C106" s="97"/>
      <c r="D106" s="20"/>
      <c r="E106" s="19"/>
      <c r="F106" s="97"/>
      <c r="G106" s="19"/>
    </row>
    <row r="107" spans="3:7" s="17" customFormat="1" ht="16.2" customHeight="1">
      <c r="C107" s="97"/>
      <c r="D107" s="20"/>
      <c r="E107" s="19"/>
      <c r="F107" s="97"/>
      <c r="G107" s="19"/>
    </row>
    <row r="108" spans="3:7" s="17" customFormat="1" ht="16.2" customHeight="1">
      <c r="C108" s="97"/>
      <c r="D108" s="20"/>
      <c r="E108" s="19"/>
      <c r="F108" s="97"/>
      <c r="G108" s="19"/>
    </row>
    <row r="109" spans="3:7" s="17" customFormat="1" ht="16.2" customHeight="1">
      <c r="C109" s="97"/>
      <c r="D109" s="20"/>
      <c r="E109" s="19"/>
      <c r="F109" s="97"/>
      <c r="G109" s="19"/>
    </row>
    <row r="110" spans="3:7" s="17" customFormat="1" ht="16.2" customHeight="1">
      <c r="C110" s="97"/>
      <c r="D110" s="20"/>
      <c r="E110" s="19"/>
      <c r="F110" s="97"/>
      <c r="G110" s="19"/>
    </row>
    <row r="111" spans="3:7" s="17" customFormat="1" ht="16.2" customHeight="1">
      <c r="C111" s="97"/>
      <c r="D111" s="20"/>
      <c r="E111" s="19"/>
      <c r="F111" s="97"/>
      <c r="G111" s="19"/>
    </row>
    <row r="112" spans="3:7" s="17" customFormat="1" ht="16.2" customHeight="1">
      <c r="C112" s="97"/>
      <c r="D112" s="20"/>
      <c r="E112" s="19"/>
      <c r="F112" s="97"/>
      <c r="G112" s="19"/>
    </row>
    <row r="113" spans="3:7" s="17" customFormat="1" ht="16.2" customHeight="1">
      <c r="C113" s="97"/>
      <c r="D113" s="20"/>
      <c r="E113" s="19"/>
      <c r="F113" s="97"/>
      <c r="G113" s="19"/>
    </row>
    <row r="114" spans="3:7" s="17" customFormat="1" ht="16.2" customHeight="1">
      <c r="C114" s="97"/>
      <c r="D114" s="20"/>
      <c r="E114" s="19"/>
      <c r="F114" s="97"/>
      <c r="G114" s="19"/>
    </row>
    <row r="115" spans="3:7" s="17" customFormat="1" ht="16.2" customHeight="1">
      <c r="C115" s="97"/>
      <c r="D115" s="20"/>
      <c r="E115" s="19"/>
      <c r="F115" s="97"/>
      <c r="G115" s="19"/>
    </row>
    <row r="116" spans="3:7" s="17" customFormat="1" ht="16.2" customHeight="1">
      <c r="C116" s="97"/>
      <c r="D116" s="20"/>
      <c r="E116" s="19"/>
      <c r="F116" s="97"/>
      <c r="G116" s="19"/>
    </row>
    <row r="117" spans="3:7" ht="16.2" customHeight="1"/>
    <row r="118" spans="3:7" ht="16.2" customHeight="1"/>
    <row r="119" spans="3:7" ht="16.2" customHeight="1"/>
    <row r="120" spans="3:7" ht="16.2" customHeight="1"/>
    <row r="121" spans="3:7" ht="16.2" customHeight="1"/>
    <row r="122" spans="3:7" ht="16.2" customHeight="1"/>
    <row r="123" spans="3:7" ht="16.2" customHeight="1"/>
    <row r="124" spans="3:7" ht="16.2" customHeight="1"/>
    <row r="125" spans="3:7" ht="16.2" customHeight="1"/>
    <row r="126" spans="3:7" ht="16.2" customHeight="1"/>
    <row r="127" spans="3:7" ht="16.2" customHeight="1"/>
    <row r="128" spans="3:7"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ht="16.2" customHeight="1"/>
    <row r="235" ht="16.2" customHeight="1"/>
    <row r="236" ht="16.2" customHeight="1"/>
    <row r="237" ht="16.2" customHeight="1"/>
    <row r="238" ht="16.2" customHeight="1"/>
    <row r="239" ht="16.2" customHeight="1"/>
    <row r="240" ht="16.2" customHeight="1"/>
    <row r="241" ht="16.2" customHeight="1"/>
    <row r="242" ht="16.2" customHeight="1"/>
    <row r="243" ht="16.2" customHeight="1"/>
    <row r="244" ht="16.2" customHeight="1"/>
    <row r="245" ht="16.2" customHeight="1"/>
    <row r="246" ht="16.2" customHeight="1"/>
    <row r="247" ht="16.2" customHeight="1"/>
    <row r="248" ht="16.2" customHeight="1"/>
    <row r="249" ht="16.2" customHeight="1"/>
    <row r="250" ht="16.2" customHeight="1"/>
    <row r="251" ht="16.2" customHeight="1"/>
    <row r="252" ht="16.2" customHeight="1"/>
    <row r="253" ht="16.2" customHeight="1"/>
    <row r="254" ht="16.2" customHeight="1"/>
    <row r="255" ht="16.2" customHeight="1"/>
    <row r="256" ht="16.2" customHeight="1"/>
    <row r="257" ht="16.2" customHeight="1"/>
    <row r="258" ht="16.2" customHeight="1"/>
    <row r="259" ht="16.2" customHeight="1"/>
    <row r="260" ht="16.2" customHeight="1"/>
    <row r="261" ht="16.2" customHeight="1"/>
    <row r="262" ht="16.2" customHeight="1"/>
    <row r="263"/>
    <row r="264"/>
    <row r="265"/>
    <row r="266"/>
    <row r="267"/>
    <row r="268"/>
    <row r="269"/>
    <row r="270"/>
    <row r="271"/>
    <row r="272"/>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sheetData>
  <mergeCells count="44">
    <mergeCell ref="A11:H11"/>
    <mergeCell ref="A1:B1"/>
    <mergeCell ref="C1:H1"/>
    <mergeCell ref="A2:B2"/>
    <mergeCell ref="C2:H2"/>
    <mergeCell ref="A3:B3"/>
    <mergeCell ref="A4:B4"/>
    <mergeCell ref="C4:H4"/>
    <mergeCell ref="A6:H6"/>
    <mergeCell ref="A7:H7"/>
    <mergeCell ref="A8:H8"/>
    <mergeCell ref="A9:H9"/>
    <mergeCell ref="A10:H10"/>
    <mergeCell ref="A56:B56"/>
    <mergeCell ref="C56:E56"/>
    <mergeCell ref="F56:H56"/>
    <mergeCell ref="B13:F13"/>
    <mergeCell ref="B14:D14"/>
    <mergeCell ref="B18:F18"/>
    <mergeCell ref="A20:A21"/>
    <mergeCell ref="B20:B21"/>
    <mergeCell ref="B23:F23"/>
    <mergeCell ref="B36:F36"/>
    <mergeCell ref="B49:F49"/>
    <mergeCell ref="B50:F50"/>
    <mergeCell ref="A51:H51"/>
    <mergeCell ref="C55:H55"/>
    <mergeCell ref="C62:E62"/>
    <mergeCell ref="F62:H62"/>
    <mergeCell ref="A70:D70"/>
    <mergeCell ref="E70:H70"/>
    <mergeCell ref="A71:D71"/>
    <mergeCell ref="E71:H71"/>
    <mergeCell ref="A81:D81"/>
    <mergeCell ref="A82:D82"/>
    <mergeCell ref="E87:H87"/>
    <mergeCell ref="A88:H88"/>
    <mergeCell ref="E77:H77"/>
    <mergeCell ref="A78:D78"/>
    <mergeCell ref="E78:H78"/>
    <mergeCell ref="A79:B79"/>
    <mergeCell ref="E79:H79"/>
    <mergeCell ref="A80:D80"/>
    <mergeCell ref="E80:H80"/>
  </mergeCells>
  <dataValidations count="2">
    <dataValidation type="list" allowBlank="1" showInputMessage="1" showErrorMessage="1" sqref="B37:B48" xr:uid="{00000000-0002-0000-4300-000000000000}">
      <formula1>bichphuong</formula1>
    </dataValidation>
    <dataValidation type="list" allowBlank="1" showInputMessage="1" showErrorMessage="1" sqref="WVJ983080:WVJ983097 B983080:B983097 IX983080:IX983097 ST983080:ST983097 ACP983080:ACP983097 AML983080:AML983097 AWH983080:AWH983097 BGD983080:BGD983097 BPZ983080:BPZ983097 BZV983080:BZV983097 CJR983080:CJR983097 CTN983080:CTN983097 DDJ983080:DDJ983097 DNF983080:DNF983097 DXB983080:DXB983097 EGX983080:EGX983097 EQT983080:EQT983097 FAP983080:FAP983097 FKL983080:FKL983097 FUH983080:FUH983097 GED983080:GED983097 GNZ983080:GNZ983097 GXV983080:GXV983097 HHR983080:HHR983097 HRN983080:HRN983097 IBJ983080:IBJ983097 ILF983080:ILF983097 IVB983080:IVB983097 JEX983080:JEX983097 JOT983080:JOT983097 JYP983080:JYP983097 KIL983080:KIL983097 KSH983080:KSH983097 LCD983080:LCD983097 LLZ983080:LLZ983097 LVV983080:LVV983097 MFR983080:MFR983097 MPN983080:MPN983097 MZJ983080:MZJ983097 NJF983080:NJF983097 NTB983080:NTB983097 OCX983080:OCX983097 OMT983080:OMT983097 OWP983080:OWP983097 PGL983080:PGL983097 PQH983080:PQH983097 QAD983080:QAD983097 QJZ983080:QJZ983097 QTV983080:QTV983097 RDR983080:RDR983097 RNN983080:RNN983097 RXJ983080:RXJ983097 SHF983080:SHF983097 SRB983080:SRB983097 TAX983080:TAX983097 TKT983080:TKT983097 TUP983080:TUP983097 UEL983080:UEL983097 UOH983080:UOH983097 UYD983080:UYD983097 VHZ983080:VHZ983097 VRV983080:VRV983097 WBR983080:WBR983097 WLN983080:WLN983097 B65576:B65593 IX65576:IX65593 ST65576:ST65593 ACP65576:ACP65593 AML65576:AML65593 AWH65576:AWH65593 BGD65576:BGD65593 BPZ65576:BPZ65593 BZV65576:BZV65593 CJR65576:CJR65593 CTN65576:CTN65593 DDJ65576:DDJ65593 DNF65576:DNF65593 DXB65576:DXB65593 EGX65576:EGX65593 EQT65576:EQT65593 FAP65576:FAP65593 FKL65576:FKL65593 FUH65576:FUH65593 GED65576:GED65593 GNZ65576:GNZ65593 GXV65576:GXV65593 HHR65576:HHR65593 HRN65576:HRN65593 IBJ65576:IBJ65593 ILF65576:ILF65593 IVB65576:IVB65593 JEX65576:JEX65593 JOT65576:JOT65593 JYP65576:JYP65593 KIL65576:KIL65593 KSH65576:KSH65593 LCD65576:LCD65593 LLZ65576:LLZ65593 LVV65576:LVV65593 MFR65576:MFR65593 MPN65576:MPN65593 MZJ65576:MZJ65593 NJF65576:NJF65593 NTB65576:NTB65593 OCX65576:OCX65593 OMT65576:OMT65593 OWP65576:OWP65593 PGL65576:PGL65593 PQH65576:PQH65593 QAD65576:QAD65593 QJZ65576:QJZ65593 QTV65576:QTV65593 RDR65576:RDR65593 RNN65576:RNN65593 RXJ65576:RXJ65593 SHF65576:SHF65593 SRB65576:SRB65593 TAX65576:TAX65593 TKT65576:TKT65593 TUP65576:TUP65593 UEL65576:UEL65593 UOH65576:UOH65593 UYD65576:UYD65593 VHZ65576:VHZ65593 VRV65576:VRV65593 WBR65576:WBR65593 WLN65576:WLN65593 WVJ65576:WVJ65593 B131112:B131129 IX131112:IX131129 ST131112:ST131129 ACP131112:ACP131129 AML131112:AML131129 AWH131112:AWH131129 BGD131112:BGD131129 BPZ131112:BPZ131129 BZV131112:BZV131129 CJR131112:CJR131129 CTN131112:CTN131129 DDJ131112:DDJ131129 DNF131112:DNF131129 DXB131112:DXB131129 EGX131112:EGX131129 EQT131112:EQT131129 FAP131112:FAP131129 FKL131112:FKL131129 FUH131112:FUH131129 GED131112:GED131129 GNZ131112:GNZ131129 GXV131112:GXV131129 HHR131112:HHR131129 HRN131112:HRN131129 IBJ131112:IBJ131129 ILF131112:ILF131129 IVB131112:IVB131129 JEX131112:JEX131129 JOT131112:JOT131129 JYP131112:JYP131129 KIL131112:KIL131129 KSH131112:KSH131129 LCD131112:LCD131129 LLZ131112:LLZ131129 LVV131112:LVV131129 MFR131112:MFR131129 MPN131112:MPN131129 MZJ131112:MZJ131129 NJF131112:NJF131129 NTB131112:NTB131129 OCX131112:OCX131129 OMT131112:OMT131129 OWP131112:OWP131129 PGL131112:PGL131129 PQH131112:PQH131129 QAD131112:QAD131129 QJZ131112:QJZ131129 QTV131112:QTV131129 RDR131112:RDR131129 RNN131112:RNN131129 RXJ131112:RXJ131129 SHF131112:SHF131129 SRB131112:SRB131129 TAX131112:TAX131129 TKT131112:TKT131129 TUP131112:TUP131129 UEL131112:UEL131129 UOH131112:UOH131129 UYD131112:UYD131129 VHZ131112:VHZ131129 VRV131112:VRV131129 WBR131112:WBR131129 WLN131112:WLN131129 WVJ131112:WVJ131129 B196648:B196665 IX196648:IX196665 ST196648:ST196665 ACP196648:ACP196665 AML196648:AML196665 AWH196648:AWH196665 BGD196648:BGD196665 BPZ196648:BPZ196665 BZV196648:BZV196665 CJR196648:CJR196665 CTN196648:CTN196665 DDJ196648:DDJ196665 DNF196648:DNF196665 DXB196648:DXB196665 EGX196648:EGX196665 EQT196648:EQT196665 FAP196648:FAP196665 FKL196648:FKL196665 FUH196648:FUH196665 GED196648:GED196665 GNZ196648:GNZ196665 GXV196648:GXV196665 HHR196648:HHR196665 HRN196648:HRN196665 IBJ196648:IBJ196665 ILF196648:ILF196665 IVB196648:IVB196665 JEX196648:JEX196665 JOT196648:JOT196665 JYP196648:JYP196665 KIL196648:KIL196665 KSH196648:KSH196665 LCD196648:LCD196665 LLZ196648:LLZ196665 LVV196648:LVV196665 MFR196648:MFR196665 MPN196648:MPN196665 MZJ196648:MZJ196665 NJF196648:NJF196665 NTB196648:NTB196665 OCX196648:OCX196665 OMT196648:OMT196665 OWP196648:OWP196665 PGL196648:PGL196665 PQH196648:PQH196665 QAD196648:QAD196665 QJZ196648:QJZ196665 QTV196648:QTV196665 RDR196648:RDR196665 RNN196648:RNN196665 RXJ196648:RXJ196665 SHF196648:SHF196665 SRB196648:SRB196665 TAX196648:TAX196665 TKT196648:TKT196665 TUP196648:TUP196665 UEL196648:UEL196665 UOH196648:UOH196665 UYD196648:UYD196665 VHZ196648:VHZ196665 VRV196648:VRV196665 WBR196648:WBR196665 WLN196648:WLN196665 WVJ196648:WVJ196665 B262184:B262201 IX262184:IX262201 ST262184:ST262201 ACP262184:ACP262201 AML262184:AML262201 AWH262184:AWH262201 BGD262184:BGD262201 BPZ262184:BPZ262201 BZV262184:BZV262201 CJR262184:CJR262201 CTN262184:CTN262201 DDJ262184:DDJ262201 DNF262184:DNF262201 DXB262184:DXB262201 EGX262184:EGX262201 EQT262184:EQT262201 FAP262184:FAP262201 FKL262184:FKL262201 FUH262184:FUH262201 GED262184:GED262201 GNZ262184:GNZ262201 GXV262184:GXV262201 HHR262184:HHR262201 HRN262184:HRN262201 IBJ262184:IBJ262201 ILF262184:ILF262201 IVB262184:IVB262201 JEX262184:JEX262201 JOT262184:JOT262201 JYP262184:JYP262201 KIL262184:KIL262201 KSH262184:KSH262201 LCD262184:LCD262201 LLZ262184:LLZ262201 LVV262184:LVV262201 MFR262184:MFR262201 MPN262184:MPN262201 MZJ262184:MZJ262201 NJF262184:NJF262201 NTB262184:NTB262201 OCX262184:OCX262201 OMT262184:OMT262201 OWP262184:OWP262201 PGL262184:PGL262201 PQH262184:PQH262201 QAD262184:QAD262201 QJZ262184:QJZ262201 QTV262184:QTV262201 RDR262184:RDR262201 RNN262184:RNN262201 RXJ262184:RXJ262201 SHF262184:SHF262201 SRB262184:SRB262201 TAX262184:TAX262201 TKT262184:TKT262201 TUP262184:TUP262201 UEL262184:UEL262201 UOH262184:UOH262201 UYD262184:UYD262201 VHZ262184:VHZ262201 VRV262184:VRV262201 WBR262184:WBR262201 WLN262184:WLN262201 WVJ262184:WVJ262201 B327720:B327737 IX327720:IX327737 ST327720:ST327737 ACP327720:ACP327737 AML327720:AML327737 AWH327720:AWH327737 BGD327720:BGD327737 BPZ327720:BPZ327737 BZV327720:BZV327737 CJR327720:CJR327737 CTN327720:CTN327737 DDJ327720:DDJ327737 DNF327720:DNF327737 DXB327720:DXB327737 EGX327720:EGX327737 EQT327720:EQT327737 FAP327720:FAP327737 FKL327720:FKL327737 FUH327720:FUH327737 GED327720:GED327737 GNZ327720:GNZ327737 GXV327720:GXV327737 HHR327720:HHR327737 HRN327720:HRN327737 IBJ327720:IBJ327737 ILF327720:ILF327737 IVB327720:IVB327737 JEX327720:JEX327737 JOT327720:JOT327737 JYP327720:JYP327737 KIL327720:KIL327737 KSH327720:KSH327737 LCD327720:LCD327737 LLZ327720:LLZ327737 LVV327720:LVV327737 MFR327720:MFR327737 MPN327720:MPN327737 MZJ327720:MZJ327737 NJF327720:NJF327737 NTB327720:NTB327737 OCX327720:OCX327737 OMT327720:OMT327737 OWP327720:OWP327737 PGL327720:PGL327737 PQH327720:PQH327737 QAD327720:QAD327737 QJZ327720:QJZ327737 QTV327720:QTV327737 RDR327720:RDR327737 RNN327720:RNN327737 RXJ327720:RXJ327737 SHF327720:SHF327737 SRB327720:SRB327737 TAX327720:TAX327737 TKT327720:TKT327737 TUP327720:TUP327737 UEL327720:UEL327737 UOH327720:UOH327737 UYD327720:UYD327737 VHZ327720:VHZ327737 VRV327720:VRV327737 WBR327720:WBR327737 WLN327720:WLN327737 WVJ327720:WVJ327737 B393256:B393273 IX393256:IX393273 ST393256:ST393273 ACP393256:ACP393273 AML393256:AML393273 AWH393256:AWH393273 BGD393256:BGD393273 BPZ393256:BPZ393273 BZV393256:BZV393273 CJR393256:CJR393273 CTN393256:CTN393273 DDJ393256:DDJ393273 DNF393256:DNF393273 DXB393256:DXB393273 EGX393256:EGX393273 EQT393256:EQT393273 FAP393256:FAP393273 FKL393256:FKL393273 FUH393256:FUH393273 GED393256:GED393273 GNZ393256:GNZ393273 GXV393256:GXV393273 HHR393256:HHR393273 HRN393256:HRN393273 IBJ393256:IBJ393273 ILF393256:ILF393273 IVB393256:IVB393273 JEX393256:JEX393273 JOT393256:JOT393273 JYP393256:JYP393273 KIL393256:KIL393273 KSH393256:KSH393273 LCD393256:LCD393273 LLZ393256:LLZ393273 LVV393256:LVV393273 MFR393256:MFR393273 MPN393256:MPN393273 MZJ393256:MZJ393273 NJF393256:NJF393273 NTB393256:NTB393273 OCX393256:OCX393273 OMT393256:OMT393273 OWP393256:OWP393273 PGL393256:PGL393273 PQH393256:PQH393273 QAD393256:QAD393273 QJZ393256:QJZ393273 QTV393256:QTV393273 RDR393256:RDR393273 RNN393256:RNN393273 RXJ393256:RXJ393273 SHF393256:SHF393273 SRB393256:SRB393273 TAX393256:TAX393273 TKT393256:TKT393273 TUP393256:TUP393273 UEL393256:UEL393273 UOH393256:UOH393273 UYD393256:UYD393273 VHZ393256:VHZ393273 VRV393256:VRV393273 WBR393256:WBR393273 WLN393256:WLN393273 WVJ393256:WVJ393273 B458792:B458809 IX458792:IX458809 ST458792:ST458809 ACP458792:ACP458809 AML458792:AML458809 AWH458792:AWH458809 BGD458792:BGD458809 BPZ458792:BPZ458809 BZV458792:BZV458809 CJR458792:CJR458809 CTN458792:CTN458809 DDJ458792:DDJ458809 DNF458792:DNF458809 DXB458792:DXB458809 EGX458792:EGX458809 EQT458792:EQT458809 FAP458792:FAP458809 FKL458792:FKL458809 FUH458792:FUH458809 GED458792:GED458809 GNZ458792:GNZ458809 GXV458792:GXV458809 HHR458792:HHR458809 HRN458792:HRN458809 IBJ458792:IBJ458809 ILF458792:ILF458809 IVB458792:IVB458809 JEX458792:JEX458809 JOT458792:JOT458809 JYP458792:JYP458809 KIL458792:KIL458809 KSH458792:KSH458809 LCD458792:LCD458809 LLZ458792:LLZ458809 LVV458792:LVV458809 MFR458792:MFR458809 MPN458792:MPN458809 MZJ458792:MZJ458809 NJF458792:NJF458809 NTB458792:NTB458809 OCX458792:OCX458809 OMT458792:OMT458809 OWP458792:OWP458809 PGL458792:PGL458809 PQH458792:PQH458809 QAD458792:QAD458809 QJZ458792:QJZ458809 QTV458792:QTV458809 RDR458792:RDR458809 RNN458792:RNN458809 RXJ458792:RXJ458809 SHF458792:SHF458809 SRB458792:SRB458809 TAX458792:TAX458809 TKT458792:TKT458809 TUP458792:TUP458809 UEL458792:UEL458809 UOH458792:UOH458809 UYD458792:UYD458809 VHZ458792:VHZ458809 VRV458792:VRV458809 WBR458792:WBR458809 WLN458792:WLN458809 WVJ458792:WVJ458809 B524328:B524345 IX524328:IX524345 ST524328:ST524345 ACP524328:ACP524345 AML524328:AML524345 AWH524328:AWH524345 BGD524328:BGD524345 BPZ524328:BPZ524345 BZV524328:BZV524345 CJR524328:CJR524345 CTN524328:CTN524345 DDJ524328:DDJ524345 DNF524328:DNF524345 DXB524328:DXB524345 EGX524328:EGX524345 EQT524328:EQT524345 FAP524328:FAP524345 FKL524328:FKL524345 FUH524328:FUH524345 GED524328:GED524345 GNZ524328:GNZ524345 GXV524328:GXV524345 HHR524328:HHR524345 HRN524328:HRN524345 IBJ524328:IBJ524345 ILF524328:ILF524345 IVB524328:IVB524345 JEX524328:JEX524345 JOT524328:JOT524345 JYP524328:JYP524345 KIL524328:KIL524345 KSH524328:KSH524345 LCD524328:LCD524345 LLZ524328:LLZ524345 LVV524328:LVV524345 MFR524328:MFR524345 MPN524328:MPN524345 MZJ524328:MZJ524345 NJF524328:NJF524345 NTB524328:NTB524345 OCX524328:OCX524345 OMT524328:OMT524345 OWP524328:OWP524345 PGL524328:PGL524345 PQH524328:PQH524345 QAD524328:QAD524345 QJZ524328:QJZ524345 QTV524328:QTV524345 RDR524328:RDR524345 RNN524328:RNN524345 RXJ524328:RXJ524345 SHF524328:SHF524345 SRB524328:SRB524345 TAX524328:TAX524345 TKT524328:TKT524345 TUP524328:TUP524345 UEL524328:UEL524345 UOH524328:UOH524345 UYD524328:UYD524345 VHZ524328:VHZ524345 VRV524328:VRV524345 WBR524328:WBR524345 WLN524328:WLN524345 WVJ524328:WVJ524345 B589864:B589881 IX589864:IX589881 ST589864:ST589881 ACP589864:ACP589881 AML589864:AML589881 AWH589864:AWH589881 BGD589864:BGD589881 BPZ589864:BPZ589881 BZV589864:BZV589881 CJR589864:CJR589881 CTN589864:CTN589881 DDJ589864:DDJ589881 DNF589864:DNF589881 DXB589864:DXB589881 EGX589864:EGX589881 EQT589864:EQT589881 FAP589864:FAP589881 FKL589864:FKL589881 FUH589864:FUH589881 GED589864:GED589881 GNZ589864:GNZ589881 GXV589864:GXV589881 HHR589864:HHR589881 HRN589864:HRN589881 IBJ589864:IBJ589881 ILF589864:ILF589881 IVB589864:IVB589881 JEX589864:JEX589881 JOT589864:JOT589881 JYP589864:JYP589881 KIL589864:KIL589881 KSH589864:KSH589881 LCD589864:LCD589881 LLZ589864:LLZ589881 LVV589864:LVV589881 MFR589864:MFR589881 MPN589864:MPN589881 MZJ589864:MZJ589881 NJF589864:NJF589881 NTB589864:NTB589881 OCX589864:OCX589881 OMT589864:OMT589881 OWP589864:OWP589881 PGL589864:PGL589881 PQH589864:PQH589881 QAD589864:QAD589881 QJZ589864:QJZ589881 QTV589864:QTV589881 RDR589864:RDR589881 RNN589864:RNN589881 RXJ589864:RXJ589881 SHF589864:SHF589881 SRB589864:SRB589881 TAX589864:TAX589881 TKT589864:TKT589881 TUP589864:TUP589881 UEL589864:UEL589881 UOH589864:UOH589881 UYD589864:UYD589881 VHZ589864:VHZ589881 VRV589864:VRV589881 WBR589864:WBR589881 WLN589864:WLN589881 WVJ589864:WVJ589881 B655400:B655417 IX655400:IX655417 ST655400:ST655417 ACP655400:ACP655417 AML655400:AML655417 AWH655400:AWH655417 BGD655400:BGD655417 BPZ655400:BPZ655417 BZV655400:BZV655417 CJR655400:CJR655417 CTN655400:CTN655417 DDJ655400:DDJ655417 DNF655400:DNF655417 DXB655400:DXB655417 EGX655400:EGX655417 EQT655400:EQT655417 FAP655400:FAP655417 FKL655400:FKL655417 FUH655400:FUH655417 GED655400:GED655417 GNZ655400:GNZ655417 GXV655400:GXV655417 HHR655400:HHR655417 HRN655400:HRN655417 IBJ655400:IBJ655417 ILF655400:ILF655417 IVB655400:IVB655417 JEX655400:JEX655417 JOT655400:JOT655417 JYP655400:JYP655417 KIL655400:KIL655417 KSH655400:KSH655417 LCD655400:LCD655417 LLZ655400:LLZ655417 LVV655400:LVV655417 MFR655400:MFR655417 MPN655400:MPN655417 MZJ655400:MZJ655417 NJF655400:NJF655417 NTB655400:NTB655417 OCX655400:OCX655417 OMT655400:OMT655417 OWP655400:OWP655417 PGL655400:PGL655417 PQH655400:PQH655417 QAD655400:QAD655417 QJZ655400:QJZ655417 QTV655400:QTV655417 RDR655400:RDR655417 RNN655400:RNN655417 RXJ655400:RXJ655417 SHF655400:SHF655417 SRB655400:SRB655417 TAX655400:TAX655417 TKT655400:TKT655417 TUP655400:TUP655417 UEL655400:UEL655417 UOH655400:UOH655417 UYD655400:UYD655417 VHZ655400:VHZ655417 VRV655400:VRV655417 WBR655400:WBR655417 WLN655400:WLN655417 WVJ655400:WVJ655417 B720936:B720953 IX720936:IX720953 ST720936:ST720953 ACP720936:ACP720953 AML720936:AML720953 AWH720936:AWH720953 BGD720936:BGD720953 BPZ720936:BPZ720953 BZV720936:BZV720953 CJR720936:CJR720953 CTN720936:CTN720953 DDJ720936:DDJ720953 DNF720936:DNF720953 DXB720936:DXB720953 EGX720936:EGX720953 EQT720936:EQT720953 FAP720936:FAP720953 FKL720936:FKL720953 FUH720936:FUH720953 GED720936:GED720953 GNZ720936:GNZ720953 GXV720936:GXV720953 HHR720936:HHR720953 HRN720936:HRN720953 IBJ720936:IBJ720953 ILF720936:ILF720953 IVB720936:IVB720953 JEX720936:JEX720953 JOT720936:JOT720953 JYP720936:JYP720953 KIL720936:KIL720953 KSH720936:KSH720953 LCD720936:LCD720953 LLZ720936:LLZ720953 LVV720936:LVV720953 MFR720936:MFR720953 MPN720936:MPN720953 MZJ720936:MZJ720953 NJF720936:NJF720953 NTB720936:NTB720953 OCX720936:OCX720953 OMT720936:OMT720953 OWP720936:OWP720953 PGL720936:PGL720953 PQH720936:PQH720953 QAD720936:QAD720953 QJZ720936:QJZ720953 QTV720936:QTV720953 RDR720936:RDR720953 RNN720936:RNN720953 RXJ720936:RXJ720953 SHF720936:SHF720953 SRB720936:SRB720953 TAX720936:TAX720953 TKT720936:TKT720953 TUP720936:TUP720953 UEL720936:UEL720953 UOH720936:UOH720953 UYD720936:UYD720953 VHZ720936:VHZ720953 VRV720936:VRV720953 WBR720936:WBR720953 WLN720936:WLN720953 WVJ720936:WVJ720953 B786472:B786489 IX786472:IX786489 ST786472:ST786489 ACP786472:ACP786489 AML786472:AML786489 AWH786472:AWH786489 BGD786472:BGD786489 BPZ786472:BPZ786489 BZV786472:BZV786489 CJR786472:CJR786489 CTN786472:CTN786489 DDJ786472:DDJ786489 DNF786472:DNF786489 DXB786472:DXB786489 EGX786472:EGX786489 EQT786472:EQT786489 FAP786472:FAP786489 FKL786472:FKL786489 FUH786472:FUH786489 GED786472:GED786489 GNZ786472:GNZ786489 GXV786472:GXV786489 HHR786472:HHR786489 HRN786472:HRN786489 IBJ786472:IBJ786489 ILF786472:ILF786489 IVB786472:IVB786489 JEX786472:JEX786489 JOT786472:JOT786489 JYP786472:JYP786489 KIL786472:KIL786489 KSH786472:KSH786489 LCD786472:LCD786489 LLZ786472:LLZ786489 LVV786472:LVV786489 MFR786472:MFR786489 MPN786472:MPN786489 MZJ786472:MZJ786489 NJF786472:NJF786489 NTB786472:NTB786489 OCX786472:OCX786489 OMT786472:OMT786489 OWP786472:OWP786489 PGL786472:PGL786489 PQH786472:PQH786489 QAD786472:QAD786489 QJZ786472:QJZ786489 QTV786472:QTV786489 RDR786472:RDR786489 RNN786472:RNN786489 RXJ786472:RXJ786489 SHF786472:SHF786489 SRB786472:SRB786489 TAX786472:TAX786489 TKT786472:TKT786489 TUP786472:TUP786489 UEL786472:UEL786489 UOH786472:UOH786489 UYD786472:UYD786489 VHZ786472:VHZ786489 VRV786472:VRV786489 WBR786472:WBR786489 WLN786472:WLN786489 WVJ786472:WVJ786489 B852008:B852025 IX852008:IX852025 ST852008:ST852025 ACP852008:ACP852025 AML852008:AML852025 AWH852008:AWH852025 BGD852008:BGD852025 BPZ852008:BPZ852025 BZV852008:BZV852025 CJR852008:CJR852025 CTN852008:CTN852025 DDJ852008:DDJ852025 DNF852008:DNF852025 DXB852008:DXB852025 EGX852008:EGX852025 EQT852008:EQT852025 FAP852008:FAP852025 FKL852008:FKL852025 FUH852008:FUH852025 GED852008:GED852025 GNZ852008:GNZ852025 GXV852008:GXV852025 HHR852008:HHR852025 HRN852008:HRN852025 IBJ852008:IBJ852025 ILF852008:ILF852025 IVB852008:IVB852025 JEX852008:JEX852025 JOT852008:JOT852025 JYP852008:JYP852025 KIL852008:KIL852025 KSH852008:KSH852025 LCD852008:LCD852025 LLZ852008:LLZ852025 LVV852008:LVV852025 MFR852008:MFR852025 MPN852008:MPN852025 MZJ852008:MZJ852025 NJF852008:NJF852025 NTB852008:NTB852025 OCX852008:OCX852025 OMT852008:OMT852025 OWP852008:OWP852025 PGL852008:PGL852025 PQH852008:PQH852025 QAD852008:QAD852025 QJZ852008:QJZ852025 QTV852008:QTV852025 RDR852008:RDR852025 RNN852008:RNN852025 RXJ852008:RXJ852025 SHF852008:SHF852025 SRB852008:SRB852025 TAX852008:TAX852025 TKT852008:TKT852025 TUP852008:TUP852025 UEL852008:UEL852025 UOH852008:UOH852025 UYD852008:UYD852025 VHZ852008:VHZ852025 VRV852008:VRV852025 WBR852008:WBR852025 WLN852008:WLN852025 WVJ852008:WVJ852025 B917544:B917561 IX917544:IX917561 ST917544:ST917561 ACP917544:ACP917561 AML917544:AML917561 AWH917544:AWH917561 BGD917544:BGD917561 BPZ917544:BPZ917561 BZV917544:BZV917561 CJR917544:CJR917561 CTN917544:CTN917561 DDJ917544:DDJ917561 DNF917544:DNF917561 DXB917544:DXB917561 EGX917544:EGX917561 EQT917544:EQT917561 FAP917544:FAP917561 FKL917544:FKL917561 FUH917544:FUH917561 GED917544:GED917561 GNZ917544:GNZ917561 GXV917544:GXV917561 HHR917544:HHR917561 HRN917544:HRN917561 IBJ917544:IBJ917561 ILF917544:ILF917561 IVB917544:IVB917561 JEX917544:JEX917561 JOT917544:JOT917561 JYP917544:JYP917561 KIL917544:KIL917561 KSH917544:KSH917561 LCD917544:LCD917561 LLZ917544:LLZ917561 LVV917544:LVV917561 MFR917544:MFR917561 MPN917544:MPN917561 MZJ917544:MZJ917561 NJF917544:NJF917561 NTB917544:NTB917561 OCX917544:OCX917561 OMT917544:OMT917561 OWP917544:OWP917561 PGL917544:PGL917561 PQH917544:PQH917561 QAD917544:QAD917561 QJZ917544:QJZ917561 QTV917544:QTV917561 RDR917544:RDR917561 RNN917544:RNN917561 RXJ917544:RXJ917561 SHF917544:SHF917561 SRB917544:SRB917561 TAX917544:TAX917561 TKT917544:TKT917561 TUP917544:TUP917561 UEL917544:UEL917561 UOH917544:UOH917561 UYD917544:UYD917561 VHZ917544:VHZ917561 VRV917544:VRV917561 WBR917544:WBR917561 WLN917544:WLN917561 WVJ917544:WVJ917561" xr:uid="{00000000-0002-0000-4300-000001000000}">
      <formula1>trung</formula1>
    </dataValidation>
  </dataValidations>
  <pageMargins left="0.7" right="0.5"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H315"/>
  <sheetViews>
    <sheetView topLeftCell="A8"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5.6">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5.6">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15.6">
      <c r="A7" s="418" t="s">
        <v>1739</v>
      </c>
      <c r="B7" s="418"/>
      <c r="C7" s="418"/>
      <c r="D7" s="418"/>
      <c r="E7" s="418"/>
      <c r="F7" s="418"/>
      <c r="G7" s="418"/>
      <c r="H7" s="418"/>
    </row>
    <row r="8" spans="1:8" s="98" customFormat="1" ht="16.8">
      <c r="A8" s="420" t="s">
        <v>2477</v>
      </c>
      <c r="B8" s="420"/>
      <c r="C8" s="420"/>
      <c r="D8" s="420"/>
      <c r="E8" s="420"/>
      <c r="F8" s="420"/>
      <c r="G8" s="420"/>
      <c r="H8" s="420"/>
    </row>
    <row r="9" spans="1:8" s="98" customFormat="1" ht="16.8">
      <c r="A9" s="420" t="s">
        <v>1752</v>
      </c>
      <c r="B9" s="420"/>
      <c r="C9" s="420"/>
      <c r="D9" s="420"/>
      <c r="E9" s="420"/>
      <c r="F9" s="420"/>
      <c r="G9" s="420"/>
      <c r="H9" s="420"/>
    </row>
    <row r="10" spans="1:8" s="98" customFormat="1" ht="16.8">
      <c r="A10" s="421" t="s">
        <v>1741</v>
      </c>
      <c r="B10" s="421"/>
      <c r="C10" s="421"/>
      <c r="D10" s="421"/>
      <c r="E10" s="421"/>
      <c r="F10" s="421"/>
      <c r="G10" s="421"/>
      <c r="H10" s="421"/>
    </row>
    <row r="11" spans="1:8" s="98" customFormat="1" ht="16.8">
      <c r="A11" s="442" t="s">
        <v>1723</v>
      </c>
      <c r="B11" s="442"/>
      <c r="C11" s="442"/>
      <c r="D11" s="442"/>
      <c r="E11" s="442"/>
      <c r="F11" s="442"/>
      <c r="G11" s="442"/>
      <c r="H11" s="442"/>
    </row>
    <row r="12" spans="1:8" s="87" customFormat="1" ht="41.4">
      <c r="A12" s="90" t="s">
        <v>15</v>
      </c>
      <c r="B12" s="90" t="s">
        <v>57</v>
      </c>
      <c r="C12" s="90" t="s">
        <v>58</v>
      </c>
      <c r="D12" s="91" t="s">
        <v>59</v>
      </c>
      <c r="E12" s="92" t="s">
        <v>20</v>
      </c>
      <c r="F12" s="93" t="s">
        <v>60</v>
      </c>
      <c r="G12" s="92" t="s">
        <v>61</v>
      </c>
      <c r="H12" s="90" t="s">
        <v>16</v>
      </c>
    </row>
    <row r="13" spans="1:8" s="17" customFormat="1" ht="15.6">
      <c r="A13" s="96" t="s">
        <v>17</v>
      </c>
      <c r="B13" s="425" t="s">
        <v>2478</v>
      </c>
      <c r="C13" s="425"/>
      <c r="D13" s="425"/>
      <c r="E13" s="425"/>
      <c r="F13" s="425"/>
      <c r="G13" s="73">
        <f>G14</f>
        <v>2596000.0000000005</v>
      </c>
      <c r="H13" s="74"/>
    </row>
    <row r="14" spans="1:8" s="131" customFormat="1" ht="140.4">
      <c r="A14" s="123"/>
      <c r="B14" s="124" t="s">
        <v>2059</v>
      </c>
      <c r="C14" s="125" t="s">
        <v>1753</v>
      </c>
      <c r="D14" s="126">
        <v>1.1000000000000001</v>
      </c>
      <c r="E14" s="127">
        <v>11800000</v>
      </c>
      <c r="F14" s="188">
        <v>0.2</v>
      </c>
      <c r="G14" s="129">
        <f>D14*E14*F14</f>
        <v>2596000.0000000005</v>
      </c>
      <c r="H14" s="130"/>
    </row>
    <row r="15" spans="1:8" ht="16.8">
      <c r="A15" s="75" t="s">
        <v>18</v>
      </c>
      <c r="B15" s="426" t="s">
        <v>1725</v>
      </c>
      <c r="C15" s="426"/>
      <c r="D15" s="426"/>
      <c r="E15" s="426"/>
      <c r="F15" s="426"/>
      <c r="G15" s="76">
        <f>SUM(G16:G16)</f>
        <v>0</v>
      </c>
      <c r="H15" s="11"/>
    </row>
    <row r="16" spans="1:8" ht="15.6">
      <c r="A16" s="77"/>
      <c r="B16" s="78" t="s">
        <v>1728</v>
      </c>
      <c r="C16" s="13"/>
      <c r="D16" s="13"/>
      <c r="E16" s="13"/>
      <c r="F16" s="13"/>
      <c r="G16" s="79"/>
      <c r="H16" s="15"/>
    </row>
    <row r="17" spans="1:8" ht="16.8">
      <c r="A17" s="75" t="s">
        <v>19</v>
      </c>
      <c r="B17" s="426" t="s">
        <v>1727</v>
      </c>
      <c r="C17" s="426"/>
      <c r="D17" s="426"/>
      <c r="E17" s="426"/>
      <c r="F17" s="426"/>
      <c r="G17" s="76">
        <f>G18</f>
        <v>0</v>
      </c>
      <c r="H17" s="11"/>
    </row>
    <row r="18" spans="1:8" ht="15.6">
      <c r="A18" s="77"/>
      <c r="B18" s="78" t="s">
        <v>1728</v>
      </c>
      <c r="C18" s="13"/>
      <c r="D18" s="13"/>
      <c r="E18" s="13"/>
      <c r="F18" s="13"/>
      <c r="G18" s="79"/>
      <c r="H18" s="15"/>
    </row>
    <row r="19" spans="1:8" ht="15.6">
      <c r="A19" s="80"/>
      <c r="B19" s="427" t="s">
        <v>62</v>
      </c>
      <c r="C19" s="428"/>
      <c r="D19" s="428"/>
      <c r="E19" s="428"/>
      <c r="F19" s="429"/>
      <c r="G19" s="81">
        <f>G13+G15+G17</f>
        <v>2596000.0000000005</v>
      </c>
      <c r="H19" s="82"/>
    </row>
    <row r="20" spans="1:8" ht="15.6">
      <c r="A20" s="80"/>
      <c r="B20" s="427" t="s">
        <v>1726</v>
      </c>
      <c r="C20" s="428"/>
      <c r="D20" s="428"/>
      <c r="E20" s="428"/>
      <c r="F20" s="429"/>
      <c r="G20" s="81">
        <f>ROUND(G19,-3)</f>
        <v>2596000</v>
      </c>
      <c r="H20" s="82"/>
    </row>
    <row r="21" spans="1:8" ht="15.6">
      <c r="A21" s="430" t="str">
        <f>[18]!uni(G20)</f>
        <v xml:space="preserve">Hai triệu năm trăm chín mươi sáu nghìn đồng </v>
      </c>
      <c r="B21" s="431"/>
      <c r="C21" s="431"/>
      <c r="D21" s="431"/>
      <c r="E21" s="431"/>
      <c r="F21" s="431"/>
      <c r="G21" s="431"/>
      <c r="H21" s="432"/>
    </row>
    <row r="22" spans="1:8">
      <c r="A22" s="17"/>
      <c r="B22" s="17"/>
      <c r="C22" s="97"/>
      <c r="D22" s="20"/>
      <c r="E22" s="19"/>
      <c r="F22" s="97"/>
      <c r="G22" s="19"/>
      <c r="H22" s="17"/>
    </row>
    <row r="23" spans="1:8" s="109" customFormat="1" ht="15.6">
      <c r="A23" s="108"/>
      <c r="B23" s="108"/>
      <c r="C23" s="424" t="s">
        <v>1742</v>
      </c>
      <c r="D23" s="424"/>
      <c r="E23" s="424"/>
      <c r="F23" s="424"/>
      <c r="G23" s="424"/>
      <c r="H23" s="424"/>
    </row>
    <row r="24" spans="1:8" s="109" customFormat="1" ht="15.6">
      <c r="A24" s="423" t="s">
        <v>63</v>
      </c>
      <c r="B24" s="423"/>
      <c r="C24" s="424" t="s">
        <v>1743</v>
      </c>
      <c r="D24" s="424"/>
      <c r="E24" s="424"/>
      <c r="F24" s="424" t="s">
        <v>1744</v>
      </c>
      <c r="G24" s="424"/>
      <c r="H24" s="424"/>
    </row>
    <row r="25" spans="1:8" s="109" customFormat="1" ht="15.6">
      <c r="A25" s="108"/>
      <c r="B25" s="108"/>
      <c r="C25" s="108"/>
      <c r="D25" s="110"/>
      <c r="E25" s="111"/>
      <c r="F25" s="112"/>
      <c r="G25" s="111"/>
      <c r="H25" s="113"/>
    </row>
    <row r="26" spans="1:8" s="109" customFormat="1" ht="15.6">
      <c r="A26" s="108"/>
      <c r="B26" s="108"/>
      <c r="C26" s="108"/>
      <c r="D26" s="110"/>
      <c r="E26" s="111"/>
      <c r="F26" s="112"/>
      <c r="G26" s="114"/>
      <c r="H26" s="113"/>
    </row>
    <row r="27" spans="1:8" s="109" customFormat="1" ht="15.6">
      <c r="A27" s="108"/>
      <c r="B27" s="108"/>
      <c r="C27" s="108"/>
      <c r="D27" s="110"/>
      <c r="E27" s="111"/>
      <c r="F27" s="112"/>
      <c r="G27" s="111"/>
      <c r="H27" s="113"/>
    </row>
    <row r="28" spans="1:8" s="109" customFormat="1" ht="15.6">
      <c r="A28" s="108"/>
      <c r="B28" s="108"/>
      <c r="C28" s="108"/>
      <c r="D28" s="110"/>
      <c r="E28" s="111"/>
      <c r="F28" s="112"/>
      <c r="G28" s="111"/>
      <c r="H28" s="113"/>
    </row>
    <row r="29" spans="1:8" s="109" customFormat="1" ht="15.6">
      <c r="A29" s="108"/>
      <c r="B29" s="108"/>
      <c r="C29" s="108"/>
      <c r="D29" s="110"/>
      <c r="E29" s="111"/>
      <c r="F29" s="112"/>
      <c r="G29" s="111"/>
      <c r="H29" s="113"/>
    </row>
    <row r="30" spans="1:8" s="109" customFormat="1" ht="15.6">
      <c r="A30" s="108"/>
      <c r="B30" s="198" t="s">
        <v>64</v>
      </c>
      <c r="C30" s="424"/>
      <c r="D30" s="424"/>
      <c r="E30" s="424"/>
      <c r="F30" s="424" t="s">
        <v>1745</v>
      </c>
      <c r="G30" s="424"/>
      <c r="H30" s="424"/>
    </row>
    <row r="31" spans="1:8" s="109" customFormat="1" ht="15.6">
      <c r="A31" s="108"/>
      <c r="B31" s="198"/>
      <c r="C31" s="199"/>
      <c r="D31" s="199"/>
      <c r="E31" s="199"/>
      <c r="F31" s="199"/>
      <c r="G31" s="199"/>
      <c r="H31" s="199"/>
    </row>
    <row r="32" spans="1:8" s="109" customFormat="1" ht="15.6">
      <c r="A32" s="424" t="s">
        <v>1746</v>
      </c>
      <c r="B32" s="424"/>
      <c r="C32" s="424"/>
      <c r="D32" s="424"/>
      <c r="E32" s="424" t="s">
        <v>1747</v>
      </c>
      <c r="F32" s="424"/>
      <c r="G32" s="424"/>
      <c r="H32" s="424"/>
    </row>
    <row r="33" spans="1:8" s="109" customFormat="1" ht="15.6">
      <c r="A33" s="424" t="s">
        <v>1748</v>
      </c>
      <c r="B33" s="424"/>
      <c r="C33" s="424"/>
      <c r="D33" s="424"/>
      <c r="E33" s="424" t="s">
        <v>65</v>
      </c>
      <c r="F33" s="424"/>
      <c r="G33" s="424"/>
      <c r="H33" s="424"/>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 r="A39" s="108"/>
      <c r="B39" s="108"/>
      <c r="C39" s="108"/>
      <c r="D39" s="115"/>
      <c r="E39" s="439" t="s">
        <v>1749</v>
      </c>
      <c r="F39" s="439"/>
      <c r="G39" s="439"/>
      <c r="H39" s="439"/>
    </row>
    <row r="40" spans="1:8" s="109" customFormat="1" ht="15.6">
      <c r="A40" s="424" t="s">
        <v>1751</v>
      </c>
      <c r="B40" s="424"/>
      <c r="C40" s="424"/>
      <c r="D40" s="424"/>
      <c r="E40" s="424" t="s">
        <v>1750</v>
      </c>
      <c r="F40" s="424"/>
      <c r="G40" s="424"/>
      <c r="H40" s="424"/>
    </row>
    <row r="41" spans="1:8" s="118" customFormat="1" ht="15.6">
      <c r="A41" s="440"/>
      <c r="B41" s="440"/>
      <c r="C41" s="116"/>
      <c r="D41" s="117"/>
      <c r="E41" s="440"/>
      <c r="F41" s="440"/>
      <c r="G41" s="440"/>
      <c r="H41" s="440"/>
    </row>
    <row r="42" spans="1:8" s="118" customFormat="1" ht="15.6">
      <c r="A42" s="440"/>
      <c r="B42" s="440"/>
      <c r="C42" s="440"/>
      <c r="D42" s="440"/>
      <c r="E42" s="440"/>
      <c r="F42" s="440"/>
      <c r="G42" s="440"/>
      <c r="H42" s="440"/>
    </row>
    <row r="43" spans="1:8" s="98" customFormat="1" ht="19.2">
      <c r="A43" s="436"/>
      <c r="B43" s="436"/>
      <c r="C43" s="436"/>
      <c r="D43" s="436"/>
      <c r="E43" s="119"/>
      <c r="F43" s="120"/>
      <c r="G43" s="119"/>
      <c r="H43" s="121"/>
    </row>
    <row r="44" spans="1:8" s="98" customFormat="1" ht="19.2">
      <c r="A44" s="436"/>
      <c r="B44" s="436"/>
      <c r="C44" s="436"/>
      <c r="D44" s="436"/>
      <c r="E44" s="119"/>
      <c r="F44" s="120"/>
      <c r="G44" s="119"/>
      <c r="H44" s="121"/>
    </row>
    <row r="45" spans="1:8" s="98" customFormat="1" ht="19.2">
      <c r="A45" s="121"/>
      <c r="B45" s="121"/>
      <c r="C45" s="121"/>
      <c r="D45" s="122"/>
      <c r="E45" s="119"/>
      <c r="F45" s="120"/>
      <c r="G45" s="119"/>
      <c r="H45" s="121"/>
    </row>
    <row r="46" spans="1:8" ht="16.8">
      <c r="A46" s="83"/>
      <c r="B46" s="83"/>
      <c r="C46" s="83"/>
      <c r="D46" s="84"/>
      <c r="E46" s="85"/>
      <c r="F46" s="86"/>
      <c r="G46" s="85"/>
      <c r="H46" s="83"/>
    </row>
    <row r="47" spans="1:8" ht="16.8">
      <c r="A47" s="83"/>
      <c r="B47" s="83"/>
      <c r="C47" s="83"/>
      <c r="D47" s="84"/>
      <c r="E47" s="85"/>
      <c r="F47" s="86"/>
      <c r="G47" s="85"/>
      <c r="H47" s="83"/>
    </row>
    <row r="48" spans="1:8" ht="16.8">
      <c r="A48" s="83"/>
      <c r="B48" s="83"/>
      <c r="C48" s="83"/>
      <c r="D48" s="84"/>
      <c r="E48" s="85"/>
      <c r="F48" s="86"/>
      <c r="G48" s="85"/>
      <c r="H48" s="83"/>
    </row>
    <row r="49" spans="1:8" ht="16.8">
      <c r="A49" s="83"/>
      <c r="B49" s="83"/>
      <c r="C49" s="83"/>
      <c r="D49" s="84"/>
      <c r="E49" s="437"/>
      <c r="F49" s="437"/>
      <c r="G49" s="437"/>
      <c r="H49" s="437"/>
    </row>
    <row r="50" spans="1:8" ht="17.399999999999999">
      <c r="A50" s="438"/>
      <c r="B50" s="438"/>
      <c r="C50" s="438"/>
      <c r="D50" s="438"/>
      <c r="E50" s="438"/>
      <c r="F50" s="438"/>
      <c r="G50" s="438"/>
      <c r="H50" s="438"/>
    </row>
    <row r="51" spans="1:8" s="17" customFormat="1">
      <c r="D51" s="18"/>
      <c r="E51" s="19"/>
      <c r="F51" s="97"/>
      <c r="G51" s="19"/>
    </row>
    <row r="52" spans="1:8" s="17" customFormat="1">
      <c r="D52" s="18"/>
      <c r="E52" s="19"/>
      <c r="F52" s="97"/>
      <c r="G52" s="19"/>
    </row>
    <row r="53" spans="1:8" s="17" customFormat="1">
      <c r="D53" s="18"/>
      <c r="E53" s="19"/>
      <c r="F53" s="97"/>
      <c r="G53" s="19"/>
    </row>
    <row r="54" spans="1:8" s="17" customFormat="1">
      <c r="D54" s="18"/>
      <c r="E54" s="19"/>
      <c r="F54" s="97"/>
      <c r="G54" s="19"/>
    </row>
    <row r="55" spans="1:8" s="17" customFormat="1">
      <c r="D55" s="18"/>
      <c r="E55" s="19"/>
      <c r="F55" s="97"/>
      <c r="G55" s="19"/>
    </row>
    <row r="56" spans="1:8" s="17" customFormat="1">
      <c r="D56" s="18"/>
      <c r="E56" s="19"/>
      <c r="F56" s="97"/>
      <c r="G56" s="19"/>
    </row>
    <row r="57" spans="1:8" s="17" customFormat="1">
      <c r="D57" s="18"/>
      <c r="E57" s="19"/>
      <c r="F57" s="97"/>
      <c r="G57" s="19"/>
    </row>
    <row r="58" spans="1:8" s="17" customFormat="1">
      <c r="D58" s="18"/>
      <c r="E58" s="19"/>
      <c r="F58" s="97"/>
      <c r="G58" s="19"/>
    </row>
    <row r="59" spans="1:8" s="17" customFormat="1">
      <c r="D59" s="18"/>
      <c r="E59" s="19"/>
      <c r="F59" s="97"/>
      <c r="G59" s="19"/>
    </row>
    <row r="60" spans="1:8" s="17" customFormat="1">
      <c r="D60" s="18"/>
      <c r="E60" s="19"/>
      <c r="F60" s="97"/>
      <c r="G60" s="19"/>
    </row>
    <row r="61" spans="1:8" s="17" customFormat="1">
      <c r="D61" s="18"/>
      <c r="E61" s="19"/>
      <c r="F61" s="97"/>
      <c r="G61" s="19"/>
    </row>
    <row r="62" spans="1:8" s="17" customFormat="1">
      <c r="D62" s="18"/>
      <c r="E62" s="19"/>
      <c r="F62" s="97"/>
      <c r="G62" s="19"/>
    </row>
    <row r="63" spans="1:8" s="17" customFormat="1">
      <c r="D63" s="18"/>
      <c r="E63" s="19"/>
      <c r="F63" s="97"/>
      <c r="G63" s="19"/>
    </row>
    <row r="64" spans="1:8" s="17" customFormat="1">
      <c r="D64" s="18"/>
      <c r="E64" s="19"/>
      <c r="F64" s="97"/>
      <c r="G64" s="19"/>
    </row>
    <row r="65" spans="3:7" s="17" customFormat="1">
      <c r="D65" s="18"/>
      <c r="E65" s="19"/>
      <c r="F65" s="97"/>
      <c r="G65" s="19"/>
    </row>
    <row r="66" spans="3:7" s="17" customFormat="1">
      <c r="D66" s="18"/>
      <c r="E66" s="19"/>
      <c r="F66" s="97"/>
      <c r="G66" s="19"/>
    </row>
    <row r="67" spans="3:7" s="17" customFormat="1">
      <c r="C67" s="97"/>
      <c r="D67" s="20"/>
      <c r="E67" s="19"/>
      <c r="F67" s="97"/>
      <c r="G67" s="19"/>
    </row>
    <row r="68" spans="3:7" s="17" customFormat="1">
      <c r="C68" s="97"/>
      <c r="D68" s="20"/>
      <c r="E68" s="19"/>
      <c r="F68" s="97"/>
      <c r="G68" s="19"/>
    </row>
    <row r="69" spans="3:7" s="17" customFormat="1">
      <c r="C69" s="97"/>
      <c r="D69" s="20"/>
      <c r="E69" s="19"/>
      <c r="F69" s="97"/>
      <c r="G69" s="19"/>
    </row>
    <row r="70" spans="3:7" s="17" customFormat="1">
      <c r="C70" s="97"/>
      <c r="D70" s="20"/>
      <c r="E70" s="19"/>
      <c r="F70" s="97"/>
      <c r="G70" s="19"/>
    </row>
    <row r="71" spans="3:7" s="17" customFormat="1">
      <c r="C71" s="97"/>
      <c r="D71" s="20"/>
      <c r="E71" s="19"/>
      <c r="F71" s="97"/>
      <c r="G71" s="19"/>
    </row>
    <row r="72" spans="3:7" s="17" customFormat="1">
      <c r="C72" s="97"/>
      <c r="D72" s="20"/>
      <c r="E72" s="19"/>
      <c r="F72" s="97"/>
      <c r="G72" s="19"/>
    </row>
    <row r="73" spans="3:7" s="17" customFormat="1">
      <c r="C73" s="97"/>
      <c r="D73" s="20"/>
      <c r="E73" s="19"/>
      <c r="F73" s="97"/>
      <c r="G73" s="19"/>
    </row>
    <row r="74" spans="3:7" s="17" customFormat="1">
      <c r="C74" s="97"/>
      <c r="D74" s="20"/>
      <c r="E74" s="19"/>
      <c r="F74" s="97"/>
      <c r="G74" s="19"/>
    </row>
    <row r="75" spans="3:7" s="17" customFormat="1">
      <c r="C75" s="97"/>
      <c r="D75" s="20"/>
      <c r="E75" s="19"/>
      <c r="F75" s="97"/>
      <c r="G75" s="19"/>
    </row>
    <row r="76" spans="3:7" s="17" customFormat="1">
      <c r="C76" s="97"/>
      <c r="D76" s="20"/>
      <c r="E76" s="19"/>
      <c r="F76" s="97"/>
      <c r="G76" s="19"/>
    </row>
    <row r="77" spans="3:7" s="17" customFormat="1">
      <c r="C77" s="97"/>
      <c r="D77" s="20"/>
      <c r="E77" s="19"/>
      <c r="F77" s="97"/>
      <c r="G77" s="19"/>
    </row>
    <row r="78" spans="3:7" s="17" customFormat="1">
      <c r="C78" s="97"/>
      <c r="D78" s="20"/>
      <c r="E78" s="19"/>
      <c r="F78" s="97"/>
      <c r="G78" s="19"/>
    </row>
    <row r="79" spans="3:7"/>
    <row r="80" spans="3:7"/>
    <row r="81" s="16" customFormat="1"/>
    <row r="82" s="16" customFormat="1"/>
    <row r="83" s="16" customFormat="1"/>
    <row r="84" s="16" customFormat="1"/>
    <row r="85" s="16" customFormat="1"/>
    <row r="86" s="16" customFormat="1"/>
    <row r="87" s="16" customFormat="1"/>
    <row r="88" s="16" customFormat="1"/>
    <row r="89" s="16" customFormat="1"/>
    <row r="90" s="16" customFormat="1"/>
    <row r="91" s="16" customFormat="1"/>
    <row r="92" s="16" customFormat="1"/>
    <row r="93" s="16" customFormat="1"/>
    <row r="94" s="16" customFormat="1"/>
    <row r="95" s="16" customFormat="1"/>
    <row r="96" s="16" customFormat="1"/>
    <row r="97" s="16" customFormat="1"/>
    <row r="98" s="16" customFormat="1"/>
    <row r="99" s="16" customFormat="1"/>
    <row r="100" s="16" customFormat="1"/>
    <row r="101" s="16" customFormat="1"/>
    <row r="102" s="16" customFormat="1"/>
    <row r="103" s="16" customFormat="1"/>
    <row r="104" s="16" customFormat="1"/>
    <row r="105" s="16" customFormat="1"/>
    <row r="106" s="16" customFormat="1"/>
    <row r="107" s="16" customFormat="1"/>
    <row r="108" s="16" customFormat="1"/>
    <row r="109" s="16" customFormat="1"/>
    <row r="110" s="16" customFormat="1"/>
    <row r="111" s="16" customFormat="1"/>
    <row r="112" s="16" customFormat="1"/>
    <row r="113" s="16" customFormat="1"/>
    <row r="114" s="16" customFormat="1"/>
    <row r="115" s="16" customFormat="1"/>
    <row r="116" s="16" customFormat="1"/>
    <row r="117" s="16" customFormat="1"/>
    <row r="118" s="16" customFormat="1"/>
    <row r="119" s="16" customFormat="1"/>
    <row r="120" s="16" customFormat="1"/>
    <row r="121" s="16" customFormat="1"/>
    <row r="122" s="16" customFormat="1"/>
    <row r="123" s="16" customFormat="1"/>
    <row r="124" s="16" customFormat="1"/>
    <row r="125" s="16" customFormat="1"/>
    <row r="126" s="16" customFormat="1"/>
    <row r="127" s="16" customFormat="1"/>
    <row r="128" s="16" customFormat="1"/>
    <row r="129" s="16" customFormat="1"/>
    <row r="130" s="16" customFormat="1"/>
    <row r="131" s="16" customFormat="1"/>
    <row r="132" s="16" customFormat="1"/>
    <row r="133" s="16" customFormat="1"/>
    <row r="134" s="16" customFormat="1"/>
    <row r="135" s="16" customFormat="1"/>
    <row r="136" s="16" customFormat="1"/>
    <row r="137" s="16" customFormat="1"/>
    <row r="138" s="16" customFormat="1"/>
    <row r="139" s="16" customFormat="1"/>
    <row r="140" s="16" customFormat="1"/>
    <row r="141" s="16" customFormat="1"/>
    <row r="142" s="16" customFormat="1"/>
    <row r="143" s="16" customFormat="1"/>
    <row r="144" s="16" customFormat="1"/>
    <row r="145" s="16" customFormat="1"/>
    <row r="146" s="16" customFormat="1"/>
    <row r="147" s="16" customFormat="1"/>
    <row r="148" s="16" customFormat="1"/>
    <row r="149" s="16" customFormat="1"/>
    <row r="150" s="16" customFormat="1"/>
    <row r="151" s="16" customFormat="1"/>
    <row r="152" s="16" customFormat="1"/>
    <row r="153" s="16" customFormat="1"/>
    <row r="154" s="16" customFormat="1"/>
    <row r="155" s="16" customFormat="1"/>
    <row r="156" s="16" customFormat="1"/>
    <row r="157" s="16" customFormat="1"/>
    <row r="158" s="16" customFormat="1"/>
    <row r="159" s="16" customFormat="1"/>
    <row r="160" s="16" customFormat="1"/>
    <row r="161" s="16" customFormat="1"/>
    <row r="162" s="16" customFormat="1"/>
    <row r="163" s="16" customFormat="1"/>
    <row r="164" s="16" customFormat="1"/>
    <row r="165" s="16" customFormat="1"/>
    <row r="166" s="16" customFormat="1"/>
    <row r="167" s="16" customFormat="1"/>
    <row r="168" s="16" customFormat="1"/>
    <row r="169" s="16" customFormat="1"/>
    <row r="170" s="16" customFormat="1"/>
    <row r="171" s="16" customFormat="1"/>
    <row r="172" s="16" customFormat="1"/>
    <row r="173" s="16" customFormat="1"/>
    <row r="174" s="16" customFormat="1"/>
    <row r="175" s="16" customFormat="1"/>
    <row r="176" s="16" customFormat="1"/>
    <row r="177" s="16" customFormat="1"/>
    <row r="178" s="16" customFormat="1"/>
    <row r="179" s="16" customFormat="1"/>
    <row r="180" s="16" customFormat="1"/>
    <row r="181" s="16" customFormat="1"/>
    <row r="182" s="16" customFormat="1"/>
    <row r="183" s="16" customFormat="1"/>
    <row r="184" s="16" customFormat="1"/>
    <row r="185" s="16" customFormat="1"/>
    <row r="186" s="16" customFormat="1"/>
    <row r="187" s="16" customFormat="1"/>
    <row r="188" s="16" customFormat="1"/>
    <row r="189" s="16" customFormat="1"/>
    <row r="190" s="16" customFormat="1"/>
    <row r="191" s="16" customFormat="1"/>
    <row r="192" s="16" customFormat="1"/>
    <row r="193" s="16" customFormat="1"/>
    <row r="194" s="16" customFormat="1"/>
    <row r="195" s="16" customFormat="1"/>
    <row r="196" s="16" customFormat="1"/>
    <row r="197" s="16" customFormat="1"/>
    <row r="198" s="16" customFormat="1"/>
    <row r="199" s="16" customFormat="1"/>
    <row r="200" s="16" customFormat="1"/>
    <row r="201" s="16" customFormat="1"/>
    <row r="202" s="16" customFormat="1"/>
    <row r="203" s="16" customFormat="1"/>
    <row r="204" s="16" customFormat="1"/>
    <row r="205" s="16" customFormat="1"/>
    <row r="206" s="16" customFormat="1"/>
    <row r="207" s="16" customFormat="1"/>
    <row r="208" s="16" customFormat="1"/>
    <row r="209" s="16" customFormat="1"/>
    <row r="210" s="16" customFormat="1"/>
    <row r="211" s="16" customFormat="1"/>
    <row r="212" s="16" customFormat="1"/>
    <row r="213" s="16" customFormat="1"/>
    <row r="214" s="16" customFormat="1"/>
    <row r="215" s="16" customFormat="1"/>
    <row r="216" s="16" customFormat="1"/>
    <row r="217" s="16" customFormat="1"/>
    <row r="218" s="16" customFormat="1"/>
    <row r="219" s="16" customFormat="1"/>
    <row r="220" s="16" customFormat="1"/>
    <row r="221" s="16" customFormat="1"/>
    <row r="222" s="16" customFormat="1"/>
    <row r="223" s="16" customFormat="1"/>
    <row r="224" s="16" customFormat="1"/>
    <row r="225" s="16" customFormat="1"/>
    <row r="226" s="16" customFormat="1"/>
    <row r="227" s="16" customFormat="1"/>
    <row r="228" s="16" customFormat="1"/>
    <row r="229" s="16" customFormat="1"/>
    <row r="230" s="16" customFormat="1"/>
    <row r="231" s="16" customFormat="1"/>
    <row r="232" s="16" customFormat="1"/>
    <row r="233" s="16" customFormat="1"/>
    <row r="234" s="16" customFormat="1"/>
    <row r="235" s="16" customFormat="1"/>
    <row r="236" s="16" customFormat="1"/>
    <row r="237" s="16" customFormat="1"/>
    <row r="238" s="16" customFormat="1"/>
    <row r="239" s="16" customFormat="1"/>
    <row r="240" s="16" customFormat="1"/>
    <row r="241" s="16" customFormat="1"/>
    <row r="242" s="16" customFormat="1"/>
    <row r="243" s="16" customFormat="1"/>
    <row r="244" s="16" customFormat="1"/>
    <row r="245" s="16" customFormat="1"/>
    <row r="246" s="16" customFormat="1"/>
    <row r="247" s="16" customFormat="1"/>
    <row r="248" s="16" customFormat="1"/>
    <row r="249" s="16" customFormat="1"/>
    <row r="250" s="16" customFormat="1"/>
    <row r="251" s="16" customFormat="1"/>
    <row r="252" s="16" customFormat="1"/>
    <row r="253" s="16" customFormat="1"/>
    <row r="254" s="16" customFormat="1"/>
    <row r="255" s="16" customFormat="1"/>
    <row r="256" s="16" customFormat="1"/>
    <row r="257" s="16" customFormat="1"/>
    <row r="258" s="16" customFormat="1"/>
    <row r="259" s="16" customFormat="1"/>
    <row r="260" s="16" customFormat="1"/>
    <row r="261" s="16" customFormat="1"/>
    <row r="262" s="16" customFormat="1"/>
    <row r="263" s="16" customFormat="1"/>
    <row r="264" s="16" customFormat="1"/>
    <row r="265" s="16" customFormat="1"/>
    <row r="266" s="16" customFormat="1"/>
    <row r="267" s="16" customFormat="1"/>
    <row r="268" s="16" customFormat="1"/>
    <row r="269" s="16" customFormat="1"/>
    <row r="270" s="16" customFormat="1"/>
    <row r="271" s="16" customFormat="1"/>
    <row r="272" s="16" customFormat="1"/>
    <row r="273" s="16" customFormat="1"/>
    <row r="274" s="16" customFormat="1"/>
    <row r="275" s="16" customFormat="1"/>
    <row r="276" s="16" customFormat="1"/>
    <row r="277" s="16" customFormat="1"/>
    <row r="278" s="16" customFormat="1"/>
    <row r="279" s="16" customFormat="1"/>
    <row r="280" s="16" customFormat="1"/>
    <row r="281" s="16" customFormat="1"/>
    <row r="282" s="16" customFormat="1"/>
    <row r="283" s="16" customFormat="1"/>
    <row r="284" s="16" customFormat="1"/>
    <row r="285" s="16" customFormat="1"/>
    <row r="286" s="16" customFormat="1"/>
    <row r="287" s="16" customFormat="1"/>
    <row r="288" s="16" customFormat="1"/>
    <row r="289" s="16" customFormat="1"/>
    <row r="290" s="16" customFormat="1"/>
    <row r="291" s="16" customFormat="1"/>
    <row r="292" s="16" customFormat="1"/>
    <row r="293" s="16" customFormat="1"/>
    <row r="294" s="16" customFormat="1"/>
    <row r="295" s="16" customFormat="1"/>
    <row r="296" s="16" customFormat="1"/>
    <row r="297" s="16" customFormat="1"/>
    <row r="298" s="16" customFormat="1"/>
    <row r="299" s="16" customFormat="1"/>
    <row r="300" s="16" customFormat="1"/>
    <row r="301" s="16" customFormat="1"/>
    <row r="302" s="16" customFormat="1"/>
    <row r="303" s="16" customFormat="1"/>
    <row r="304" s="16" customFormat="1"/>
    <row r="305" s="16" customFormat="1"/>
    <row r="306" s="16" customFormat="1"/>
    <row r="307" s="16" customFormat="1"/>
    <row r="308" s="16" customFormat="1"/>
    <row r="309" s="16" customFormat="1"/>
    <row r="310" s="16" customFormat="1"/>
    <row r="311" s="16" customFormat="1"/>
    <row r="312" s="16" customFormat="1"/>
    <row r="313" s="16" customFormat="1"/>
    <row r="314" s="16" customFormat="1"/>
    <row r="315" s="16" customFormat="1"/>
  </sheetData>
  <mergeCells count="40">
    <mergeCell ref="A4:B4"/>
    <mergeCell ref="C4:H4"/>
    <mergeCell ref="A1:B1"/>
    <mergeCell ref="C1:H1"/>
    <mergeCell ref="A2:B2"/>
    <mergeCell ref="C2:H2"/>
    <mergeCell ref="A3:B3"/>
    <mergeCell ref="A21:H21"/>
    <mergeCell ref="A6:H6"/>
    <mergeCell ref="A7:H7"/>
    <mergeCell ref="A8:H8"/>
    <mergeCell ref="A9:H9"/>
    <mergeCell ref="A10:H10"/>
    <mergeCell ref="A11:H11"/>
    <mergeCell ref="B13:F13"/>
    <mergeCell ref="B15:F15"/>
    <mergeCell ref="B17:F17"/>
    <mergeCell ref="B19:F19"/>
    <mergeCell ref="B20:F20"/>
    <mergeCell ref="A40:D40"/>
    <mergeCell ref="E40:H40"/>
    <mergeCell ref="C23:H23"/>
    <mergeCell ref="A24:B24"/>
    <mergeCell ref="C24:E24"/>
    <mergeCell ref="F24:H24"/>
    <mergeCell ref="C30:E30"/>
    <mergeCell ref="F30:H30"/>
    <mergeCell ref="A32:D32"/>
    <mergeCell ref="E32:H32"/>
    <mergeCell ref="A33:D33"/>
    <mergeCell ref="E33:H33"/>
    <mergeCell ref="E39:H39"/>
    <mergeCell ref="E49:H49"/>
    <mergeCell ref="A50:H50"/>
    <mergeCell ref="A41:B41"/>
    <mergeCell ref="E41:H41"/>
    <mergeCell ref="A42:D42"/>
    <mergeCell ref="E42:H42"/>
    <mergeCell ref="A43:D43"/>
    <mergeCell ref="A44:D44"/>
  </mergeCells>
  <dataValidations count="1">
    <dataValidation type="list" allowBlank="1" showInputMessage="1" showErrorMessage="1" sqref="WVJ983042:WVJ983059 B983042:B983059 IX983042:IX983059 ST983042:ST983059 ACP983042:ACP983059 AML983042:AML983059 AWH983042:AWH983059 BGD983042:BGD983059 BPZ983042:BPZ983059 BZV983042:BZV983059 CJR983042:CJR983059 CTN983042:CTN983059 DDJ983042:DDJ983059 DNF983042:DNF983059 DXB983042:DXB983059 EGX983042:EGX983059 EQT983042:EQT983059 FAP983042:FAP983059 FKL983042:FKL983059 FUH983042:FUH983059 GED983042:GED983059 GNZ983042:GNZ983059 GXV983042:GXV983059 HHR983042:HHR983059 HRN983042:HRN983059 IBJ983042:IBJ983059 ILF983042:ILF983059 IVB983042:IVB983059 JEX983042:JEX983059 JOT983042:JOT983059 JYP983042:JYP983059 KIL983042:KIL983059 KSH983042:KSH983059 LCD983042:LCD983059 LLZ983042:LLZ983059 LVV983042:LVV983059 MFR983042:MFR983059 MPN983042:MPN983059 MZJ983042:MZJ983059 NJF983042:NJF983059 NTB983042:NTB983059 OCX983042:OCX983059 OMT983042:OMT983059 OWP983042:OWP983059 PGL983042:PGL983059 PQH983042:PQH983059 QAD983042:QAD983059 QJZ983042:QJZ983059 QTV983042:QTV983059 RDR983042:RDR983059 RNN983042:RNN983059 RXJ983042:RXJ983059 SHF983042:SHF983059 SRB983042:SRB983059 TAX983042:TAX983059 TKT983042:TKT983059 TUP983042:TUP983059 UEL983042:UEL983059 UOH983042:UOH983059 UYD983042:UYD983059 VHZ983042:VHZ983059 VRV983042:VRV983059 WBR983042:WBR983059 WLN983042:WLN983059 B65538:B65555 IX65538:IX65555 ST65538:ST65555 ACP65538:ACP65555 AML65538:AML65555 AWH65538:AWH65555 BGD65538:BGD65555 BPZ65538:BPZ65555 BZV65538:BZV65555 CJR65538:CJR65555 CTN65538:CTN65555 DDJ65538:DDJ65555 DNF65538:DNF65555 DXB65538:DXB65555 EGX65538:EGX65555 EQT65538:EQT65555 FAP65538:FAP65555 FKL65538:FKL65555 FUH65538:FUH65555 GED65538:GED65555 GNZ65538:GNZ65555 GXV65538:GXV65555 HHR65538:HHR65555 HRN65538:HRN65555 IBJ65538:IBJ65555 ILF65538:ILF65555 IVB65538:IVB65555 JEX65538:JEX65555 JOT65538:JOT65555 JYP65538:JYP65555 KIL65538:KIL65555 KSH65538:KSH65555 LCD65538:LCD65555 LLZ65538:LLZ65555 LVV65538:LVV65555 MFR65538:MFR65555 MPN65538:MPN65555 MZJ65538:MZJ65555 NJF65538:NJF65555 NTB65538:NTB65555 OCX65538:OCX65555 OMT65538:OMT65555 OWP65538:OWP65555 PGL65538:PGL65555 PQH65538:PQH65555 QAD65538:QAD65555 QJZ65538:QJZ65555 QTV65538:QTV65555 RDR65538:RDR65555 RNN65538:RNN65555 RXJ65538:RXJ65555 SHF65538:SHF65555 SRB65538:SRB65555 TAX65538:TAX65555 TKT65538:TKT65555 TUP65538:TUP65555 UEL65538:UEL65555 UOH65538:UOH65555 UYD65538:UYD65555 VHZ65538:VHZ65555 VRV65538:VRV65555 WBR65538:WBR65555 WLN65538:WLN65555 WVJ65538:WVJ65555 B131074:B131091 IX131074:IX131091 ST131074:ST131091 ACP131074:ACP131091 AML131074:AML131091 AWH131074:AWH131091 BGD131074:BGD131091 BPZ131074:BPZ131091 BZV131074:BZV131091 CJR131074:CJR131091 CTN131074:CTN131091 DDJ131074:DDJ131091 DNF131074:DNF131091 DXB131074:DXB131091 EGX131074:EGX131091 EQT131074:EQT131091 FAP131074:FAP131091 FKL131074:FKL131091 FUH131074:FUH131091 GED131074:GED131091 GNZ131074:GNZ131091 GXV131074:GXV131091 HHR131074:HHR131091 HRN131074:HRN131091 IBJ131074:IBJ131091 ILF131074:ILF131091 IVB131074:IVB131091 JEX131074:JEX131091 JOT131074:JOT131091 JYP131074:JYP131091 KIL131074:KIL131091 KSH131074:KSH131091 LCD131074:LCD131091 LLZ131074:LLZ131091 LVV131074:LVV131091 MFR131074:MFR131091 MPN131074:MPN131091 MZJ131074:MZJ131091 NJF131074:NJF131091 NTB131074:NTB131091 OCX131074:OCX131091 OMT131074:OMT131091 OWP131074:OWP131091 PGL131074:PGL131091 PQH131074:PQH131091 QAD131074:QAD131091 QJZ131074:QJZ131091 QTV131074:QTV131091 RDR131074:RDR131091 RNN131074:RNN131091 RXJ131074:RXJ131091 SHF131074:SHF131091 SRB131074:SRB131091 TAX131074:TAX131091 TKT131074:TKT131091 TUP131074:TUP131091 UEL131074:UEL131091 UOH131074:UOH131091 UYD131074:UYD131091 VHZ131074:VHZ131091 VRV131074:VRV131091 WBR131074:WBR131091 WLN131074:WLN131091 WVJ131074:WVJ131091 B196610:B196627 IX196610:IX196627 ST196610:ST196627 ACP196610:ACP196627 AML196610:AML196627 AWH196610:AWH196627 BGD196610:BGD196627 BPZ196610:BPZ196627 BZV196610:BZV196627 CJR196610:CJR196627 CTN196610:CTN196627 DDJ196610:DDJ196627 DNF196610:DNF196627 DXB196610:DXB196627 EGX196610:EGX196627 EQT196610:EQT196627 FAP196610:FAP196627 FKL196610:FKL196627 FUH196610:FUH196627 GED196610:GED196627 GNZ196610:GNZ196627 GXV196610:GXV196627 HHR196610:HHR196627 HRN196610:HRN196627 IBJ196610:IBJ196627 ILF196610:ILF196627 IVB196610:IVB196627 JEX196610:JEX196627 JOT196610:JOT196627 JYP196610:JYP196627 KIL196610:KIL196627 KSH196610:KSH196627 LCD196610:LCD196627 LLZ196610:LLZ196627 LVV196610:LVV196627 MFR196610:MFR196627 MPN196610:MPN196627 MZJ196610:MZJ196627 NJF196610:NJF196627 NTB196610:NTB196627 OCX196610:OCX196627 OMT196610:OMT196627 OWP196610:OWP196627 PGL196610:PGL196627 PQH196610:PQH196627 QAD196610:QAD196627 QJZ196610:QJZ196627 QTV196610:QTV196627 RDR196610:RDR196627 RNN196610:RNN196627 RXJ196610:RXJ196627 SHF196610:SHF196627 SRB196610:SRB196627 TAX196610:TAX196627 TKT196610:TKT196627 TUP196610:TUP196627 UEL196610:UEL196627 UOH196610:UOH196627 UYD196610:UYD196627 VHZ196610:VHZ196627 VRV196610:VRV196627 WBR196610:WBR196627 WLN196610:WLN196627 WVJ196610:WVJ196627 B262146:B262163 IX262146:IX262163 ST262146:ST262163 ACP262146:ACP262163 AML262146:AML262163 AWH262146:AWH262163 BGD262146:BGD262163 BPZ262146:BPZ262163 BZV262146:BZV262163 CJR262146:CJR262163 CTN262146:CTN262163 DDJ262146:DDJ262163 DNF262146:DNF262163 DXB262146:DXB262163 EGX262146:EGX262163 EQT262146:EQT262163 FAP262146:FAP262163 FKL262146:FKL262163 FUH262146:FUH262163 GED262146:GED262163 GNZ262146:GNZ262163 GXV262146:GXV262163 HHR262146:HHR262163 HRN262146:HRN262163 IBJ262146:IBJ262163 ILF262146:ILF262163 IVB262146:IVB262163 JEX262146:JEX262163 JOT262146:JOT262163 JYP262146:JYP262163 KIL262146:KIL262163 KSH262146:KSH262163 LCD262146:LCD262163 LLZ262146:LLZ262163 LVV262146:LVV262163 MFR262146:MFR262163 MPN262146:MPN262163 MZJ262146:MZJ262163 NJF262146:NJF262163 NTB262146:NTB262163 OCX262146:OCX262163 OMT262146:OMT262163 OWP262146:OWP262163 PGL262146:PGL262163 PQH262146:PQH262163 QAD262146:QAD262163 QJZ262146:QJZ262163 QTV262146:QTV262163 RDR262146:RDR262163 RNN262146:RNN262163 RXJ262146:RXJ262163 SHF262146:SHF262163 SRB262146:SRB262163 TAX262146:TAX262163 TKT262146:TKT262163 TUP262146:TUP262163 UEL262146:UEL262163 UOH262146:UOH262163 UYD262146:UYD262163 VHZ262146:VHZ262163 VRV262146:VRV262163 WBR262146:WBR262163 WLN262146:WLN262163 WVJ262146:WVJ262163 B327682:B327699 IX327682:IX327699 ST327682:ST327699 ACP327682:ACP327699 AML327682:AML327699 AWH327682:AWH327699 BGD327682:BGD327699 BPZ327682:BPZ327699 BZV327682:BZV327699 CJR327682:CJR327699 CTN327682:CTN327699 DDJ327682:DDJ327699 DNF327682:DNF327699 DXB327682:DXB327699 EGX327682:EGX327699 EQT327682:EQT327699 FAP327682:FAP327699 FKL327682:FKL327699 FUH327682:FUH327699 GED327682:GED327699 GNZ327682:GNZ327699 GXV327682:GXV327699 HHR327682:HHR327699 HRN327682:HRN327699 IBJ327682:IBJ327699 ILF327682:ILF327699 IVB327682:IVB327699 JEX327682:JEX327699 JOT327682:JOT327699 JYP327682:JYP327699 KIL327682:KIL327699 KSH327682:KSH327699 LCD327682:LCD327699 LLZ327682:LLZ327699 LVV327682:LVV327699 MFR327682:MFR327699 MPN327682:MPN327699 MZJ327682:MZJ327699 NJF327682:NJF327699 NTB327682:NTB327699 OCX327682:OCX327699 OMT327682:OMT327699 OWP327682:OWP327699 PGL327682:PGL327699 PQH327682:PQH327699 QAD327682:QAD327699 QJZ327682:QJZ327699 QTV327682:QTV327699 RDR327682:RDR327699 RNN327682:RNN327699 RXJ327682:RXJ327699 SHF327682:SHF327699 SRB327682:SRB327699 TAX327682:TAX327699 TKT327682:TKT327699 TUP327682:TUP327699 UEL327682:UEL327699 UOH327682:UOH327699 UYD327682:UYD327699 VHZ327682:VHZ327699 VRV327682:VRV327699 WBR327682:WBR327699 WLN327682:WLN327699 WVJ327682:WVJ327699 B393218:B393235 IX393218:IX393235 ST393218:ST393235 ACP393218:ACP393235 AML393218:AML393235 AWH393218:AWH393235 BGD393218:BGD393235 BPZ393218:BPZ393235 BZV393218:BZV393235 CJR393218:CJR393235 CTN393218:CTN393235 DDJ393218:DDJ393235 DNF393218:DNF393235 DXB393218:DXB393235 EGX393218:EGX393235 EQT393218:EQT393235 FAP393218:FAP393235 FKL393218:FKL393235 FUH393218:FUH393235 GED393218:GED393235 GNZ393218:GNZ393235 GXV393218:GXV393235 HHR393218:HHR393235 HRN393218:HRN393235 IBJ393218:IBJ393235 ILF393218:ILF393235 IVB393218:IVB393235 JEX393218:JEX393235 JOT393218:JOT393235 JYP393218:JYP393235 KIL393218:KIL393235 KSH393218:KSH393235 LCD393218:LCD393235 LLZ393218:LLZ393235 LVV393218:LVV393235 MFR393218:MFR393235 MPN393218:MPN393235 MZJ393218:MZJ393235 NJF393218:NJF393235 NTB393218:NTB393235 OCX393218:OCX393235 OMT393218:OMT393235 OWP393218:OWP393235 PGL393218:PGL393235 PQH393218:PQH393235 QAD393218:QAD393235 QJZ393218:QJZ393235 QTV393218:QTV393235 RDR393218:RDR393235 RNN393218:RNN393235 RXJ393218:RXJ393235 SHF393218:SHF393235 SRB393218:SRB393235 TAX393218:TAX393235 TKT393218:TKT393235 TUP393218:TUP393235 UEL393218:UEL393235 UOH393218:UOH393235 UYD393218:UYD393235 VHZ393218:VHZ393235 VRV393218:VRV393235 WBR393218:WBR393235 WLN393218:WLN393235 WVJ393218:WVJ393235 B458754:B458771 IX458754:IX458771 ST458754:ST458771 ACP458754:ACP458771 AML458754:AML458771 AWH458754:AWH458771 BGD458754:BGD458771 BPZ458754:BPZ458771 BZV458754:BZV458771 CJR458754:CJR458771 CTN458754:CTN458771 DDJ458754:DDJ458771 DNF458754:DNF458771 DXB458754:DXB458771 EGX458754:EGX458771 EQT458754:EQT458771 FAP458754:FAP458771 FKL458754:FKL458771 FUH458754:FUH458771 GED458754:GED458771 GNZ458754:GNZ458771 GXV458754:GXV458771 HHR458754:HHR458771 HRN458754:HRN458771 IBJ458754:IBJ458771 ILF458754:ILF458771 IVB458754:IVB458771 JEX458754:JEX458771 JOT458754:JOT458771 JYP458754:JYP458771 KIL458754:KIL458771 KSH458754:KSH458771 LCD458754:LCD458771 LLZ458754:LLZ458771 LVV458754:LVV458771 MFR458754:MFR458771 MPN458754:MPN458771 MZJ458754:MZJ458771 NJF458754:NJF458771 NTB458754:NTB458771 OCX458754:OCX458771 OMT458754:OMT458771 OWP458754:OWP458771 PGL458754:PGL458771 PQH458754:PQH458771 QAD458754:QAD458771 QJZ458754:QJZ458771 QTV458754:QTV458771 RDR458754:RDR458771 RNN458754:RNN458771 RXJ458754:RXJ458771 SHF458754:SHF458771 SRB458754:SRB458771 TAX458754:TAX458771 TKT458754:TKT458771 TUP458754:TUP458771 UEL458754:UEL458771 UOH458754:UOH458771 UYD458754:UYD458771 VHZ458754:VHZ458771 VRV458754:VRV458771 WBR458754:WBR458771 WLN458754:WLN458771 WVJ458754:WVJ458771 B524290:B524307 IX524290:IX524307 ST524290:ST524307 ACP524290:ACP524307 AML524290:AML524307 AWH524290:AWH524307 BGD524290:BGD524307 BPZ524290:BPZ524307 BZV524290:BZV524307 CJR524290:CJR524307 CTN524290:CTN524307 DDJ524290:DDJ524307 DNF524290:DNF524307 DXB524290:DXB524307 EGX524290:EGX524307 EQT524290:EQT524307 FAP524290:FAP524307 FKL524290:FKL524307 FUH524290:FUH524307 GED524290:GED524307 GNZ524290:GNZ524307 GXV524290:GXV524307 HHR524290:HHR524307 HRN524290:HRN524307 IBJ524290:IBJ524307 ILF524290:ILF524307 IVB524290:IVB524307 JEX524290:JEX524307 JOT524290:JOT524307 JYP524290:JYP524307 KIL524290:KIL524307 KSH524290:KSH524307 LCD524290:LCD524307 LLZ524290:LLZ524307 LVV524290:LVV524307 MFR524290:MFR524307 MPN524290:MPN524307 MZJ524290:MZJ524307 NJF524290:NJF524307 NTB524290:NTB524307 OCX524290:OCX524307 OMT524290:OMT524307 OWP524290:OWP524307 PGL524290:PGL524307 PQH524290:PQH524307 QAD524290:QAD524307 QJZ524290:QJZ524307 QTV524290:QTV524307 RDR524290:RDR524307 RNN524290:RNN524307 RXJ524290:RXJ524307 SHF524290:SHF524307 SRB524290:SRB524307 TAX524290:TAX524307 TKT524290:TKT524307 TUP524290:TUP524307 UEL524290:UEL524307 UOH524290:UOH524307 UYD524290:UYD524307 VHZ524290:VHZ524307 VRV524290:VRV524307 WBR524290:WBR524307 WLN524290:WLN524307 WVJ524290:WVJ524307 B589826:B589843 IX589826:IX589843 ST589826:ST589843 ACP589826:ACP589843 AML589826:AML589843 AWH589826:AWH589843 BGD589826:BGD589843 BPZ589826:BPZ589843 BZV589826:BZV589843 CJR589826:CJR589843 CTN589826:CTN589843 DDJ589826:DDJ589843 DNF589826:DNF589843 DXB589826:DXB589843 EGX589826:EGX589843 EQT589826:EQT589843 FAP589826:FAP589843 FKL589826:FKL589843 FUH589826:FUH589843 GED589826:GED589843 GNZ589826:GNZ589843 GXV589826:GXV589843 HHR589826:HHR589843 HRN589826:HRN589843 IBJ589826:IBJ589843 ILF589826:ILF589843 IVB589826:IVB589843 JEX589826:JEX589843 JOT589826:JOT589843 JYP589826:JYP589843 KIL589826:KIL589843 KSH589826:KSH589843 LCD589826:LCD589843 LLZ589826:LLZ589843 LVV589826:LVV589843 MFR589826:MFR589843 MPN589826:MPN589843 MZJ589826:MZJ589843 NJF589826:NJF589843 NTB589826:NTB589843 OCX589826:OCX589843 OMT589826:OMT589843 OWP589826:OWP589843 PGL589826:PGL589843 PQH589826:PQH589843 QAD589826:QAD589843 QJZ589826:QJZ589843 QTV589826:QTV589843 RDR589826:RDR589843 RNN589826:RNN589843 RXJ589826:RXJ589843 SHF589826:SHF589843 SRB589826:SRB589843 TAX589826:TAX589843 TKT589826:TKT589843 TUP589826:TUP589843 UEL589826:UEL589843 UOH589826:UOH589843 UYD589826:UYD589843 VHZ589826:VHZ589843 VRV589826:VRV589843 WBR589826:WBR589843 WLN589826:WLN589843 WVJ589826:WVJ589843 B655362:B655379 IX655362:IX655379 ST655362:ST655379 ACP655362:ACP655379 AML655362:AML655379 AWH655362:AWH655379 BGD655362:BGD655379 BPZ655362:BPZ655379 BZV655362:BZV655379 CJR655362:CJR655379 CTN655362:CTN655379 DDJ655362:DDJ655379 DNF655362:DNF655379 DXB655362:DXB655379 EGX655362:EGX655379 EQT655362:EQT655379 FAP655362:FAP655379 FKL655362:FKL655379 FUH655362:FUH655379 GED655362:GED655379 GNZ655362:GNZ655379 GXV655362:GXV655379 HHR655362:HHR655379 HRN655362:HRN655379 IBJ655362:IBJ655379 ILF655362:ILF655379 IVB655362:IVB655379 JEX655362:JEX655379 JOT655362:JOT655379 JYP655362:JYP655379 KIL655362:KIL655379 KSH655362:KSH655379 LCD655362:LCD655379 LLZ655362:LLZ655379 LVV655362:LVV655379 MFR655362:MFR655379 MPN655362:MPN655379 MZJ655362:MZJ655379 NJF655362:NJF655379 NTB655362:NTB655379 OCX655362:OCX655379 OMT655362:OMT655379 OWP655362:OWP655379 PGL655362:PGL655379 PQH655362:PQH655379 QAD655362:QAD655379 QJZ655362:QJZ655379 QTV655362:QTV655379 RDR655362:RDR655379 RNN655362:RNN655379 RXJ655362:RXJ655379 SHF655362:SHF655379 SRB655362:SRB655379 TAX655362:TAX655379 TKT655362:TKT655379 TUP655362:TUP655379 UEL655362:UEL655379 UOH655362:UOH655379 UYD655362:UYD655379 VHZ655362:VHZ655379 VRV655362:VRV655379 WBR655362:WBR655379 WLN655362:WLN655379 WVJ655362:WVJ655379 B720898:B720915 IX720898:IX720915 ST720898:ST720915 ACP720898:ACP720915 AML720898:AML720915 AWH720898:AWH720915 BGD720898:BGD720915 BPZ720898:BPZ720915 BZV720898:BZV720915 CJR720898:CJR720915 CTN720898:CTN720915 DDJ720898:DDJ720915 DNF720898:DNF720915 DXB720898:DXB720915 EGX720898:EGX720915 EQT720898:EQT720915 FAP720898:FAP720915 FKL720898:FKL720915 FUH720898:FUH720915 GED720898:GED720915 GNZ720898:GNZ720915 GXV720898:GXV720915 HHR720898:HHR720915 HRN720898:HRN720915 IBJ720898:IBJ720915 ILF720898:ILF720915 IVB720898:IVB720915 JEX720898:JEX720915 JOT720898:JOT720915 JYP720898:JYP720915 KIL720898:KIL720915 KSH720898:KSH720915 LCD720898:LCD720915 LLZ720898:LLZ720915 LVV720898:LVV720915 MFR720898:MFR720915 MPN720898:MPN720915 MZJ720898:MZJ720915 NJF720898:NJF720915 NTB720898:NTB720915 OCX720898:OCX720915 OMT720898:OMT720915 OWP720898:OWP720915 PGL720898:PGL720915 PQH720898:PQH720915 QAD720898:QAD720915 QJZ720898:QJZ720915 QTV720898:QTV720915 RDR720898:RDR720915 RNN720898:RNN720915 RXJ720898:RXJ720915 SHF720898:SHF720915 SRB720898:SRB720915 TAX720898:TAX720915 TKT720898:TKT720915 TUP720898:TUP720915 UEL720898:UEL720915 UOH720898:UOH720915 UYD720898:UYD720915 VHZ720898:VHZ720915 VRV720898:VRV720915 WBR720898:WBR720915 WLN720898:WLN720915 WVJ720898:WVJ720915 B786434:B786451 IX786434:IX786451 ST786434:ST786451 ACP786434:ACP786451 AML786434:AML786451 AWH786434:AWH786451 BGD786434:BGD786451 BPZ786434:BPZ786451 BZV786434:BZV786451 CJR786434:CJR786451 CTN786434:CTN786451 DDJ786434:DDJ786451 DNF786434:DNF786451 DXB786434:DXB786451 EGX786434:EGX786451 EQT786434:EQT786451 FAP786434:FAP786451 FKL786434:FKL786451 FUH786434:FUH786451 GED786434:GED786451 GNZ786434:GNZ786451 GXV786434:GXV786451 HHR786434:HHR786451 HRN786434:HRN786451 IBJ786434:IBJ786451 ILF786434:ILF786451 IVB786434:IVB786451 JEX786434:JEX786451 JOT786434:JOT786451 JYP786434:JYP786451 KIL786434:KIL786451 KSH786434:KSH786451 LCD786434:LCD786451 LLZ786434:LLZ786451 LVV786434:LVV786451 MFR786434:MFR786451 MPN786434:MPN786451 MZJ786434:MZJ786451 NJF786434:NJF786451 NTB786434:NTB786451 OCX786434:OCX786451 OMT786434:OMT786451 OWP786434:OWP786451 PGL786434:PGL786451 PQH786434:PQH786451 QAD786434:QAD786451 QJZ786434:QJZ786451 QTV786434:QTV786451 RDR786434:RDR786451 RNN786434:RNN786451 RXJ786434:RXJ786451 SHF786434:SHF786451 SRB786434:SRB786451 TAX786434:TAX786451 TKT786434:TKT786451 TUP786434:TUP786451 UEL786434:UEL786451 UOH786434:UOH786451 UYD786434:UYD786451 VHZ786434:VHZ786451 VRV786434:VRV786451 WBR786434:WBR786451 WLN786434:WLN786451 WVJ786434:WVJ786451 B851970:B851987 IX851970:IX851987 ST851970:ST851987 ACP851970:ACP851987 AML851970:AML851987 AWH851970:AWH851987 BGD851970:BGD851987 BPZ851970:BPZ851987 BZV851970:BZV851987 CJR851970:CJR851987 CTN851970:CTN851987 DDJ851970:DDJ851987 DNF851970:DNF851987 DXB851970:DXB851987 EGX851970:EGX851987 EQT851970:EQT851987 FAP851970:FAP851987 FKL851970:FKL851987 FUH851970:FUH851987 GED851970:GED851987 GNZ851970:GNZ851987 GXV851970:GXV851987 HHR851970:HHR851987 HRN851970:HRN851987 IBJ851970:IBJ851987 ILF851970:ILF851987 IVB851970:IVB851987 JEX851970:JEX851987 JOT851970:JOT851987 JYP851970:JYP851987 KIL851970:KIL851987 KSH851970:KSH851987 LCD851970:LCD851987 LLZ851970:LLZ851987 LVV851970:LVV851987 MFR851970:MFR851987 MPN851970:MPN851987 MZJ851970:MZJ851987 NJF851970:NJF851987 NTB851970:NTB851987 OCX851970:OCX851987 OMT851970:OMT851987 OWP851970:OWP851987 PGL851970:PGL851987 PQH851970:PQH851987 QAD851970:QAD851987 QJZ851970:QJZ851987 QTV851970:QTV851987 RDR851970:RDR851987 RNN851970:RNN851987 RXJ851970:RXJ851987 SHF851970:SHF851987 SRB851970:SRB851987 TAX851970:TAX851987 TKT851970:TKT851987 TUP851970:TUP851987 UEL851970:UEL851987 UOH851970:UOH851987 UYD851970:UYD851987 VHZ851970:VHZ851987 VRV851970:VRV851987 WBR851970:WBR851987 WLN851970:WLN851987 WVJ851970:WVJ851987 B917506:B917523 IX917506:IX917523 ST917506:ST917523 ACP917506:ACP917523 AML917506:AML917523 AWH917506:AWH917523 BGD917506:BGD917523 BPZ917506:BPZ917523 BZV917506:BZV917523 CJR917506:CJR917523 CTN917506:CTN917523 DDJ917506:DDJ917523 DNF917506:DNF917523 DXB917506:DXB917523 EGX917506:EGX917523 EQT917506:EQT917523 FAP917506:FAP917523 FKL917506:FKL917523 FUH917506:FUH917523 GED917506:GED917523 GNZ917506:GNZ917523 GXV917506:GXV917523 HHR917506:HHR917523 HRN917506:HRN917523 IBJ917506:IBJ917523 ILF917506:ILF917523 IVB917506:IVB917523 JEX917506:JEX917523 JOT917506:JOT917523 JYP917506:JYP917523 KIL917506:KIL917523 KSH917506:KSH917523 LCD917506:LCD917523 LLZ917506:LLZ917523 LVV917506:LVV917523 MFR917506:MFR917523 MPN917506:MPN917523 MZJ917506:MZJ917523 NJF917506:NJF917523 NTB917506:NTB917523 OCX917506:OCX917523 OMT917506:OMT917523 OWP917506:OWP917523 PGL917506:PGL917523 PQH917506:PQH917523 QAD917506:QAD917523 QJZ917506:QJZ917523 QTV917506:QTV917523 RDR917506:RDR917523 RNN917506:RNN917523 RXJ917506:RXJ917523 SHF917506:SHF917523 SRB917506:SRB917523 TAX917506:TAX917523 TKT917506:TKT917523 TUP917506:TUP917523 UEL917506:UEL917523 UOH917506:UOH917523 UYD917506:UYD917523 VHZ917506:VHZ917523 VRV917506:VRV917523 WBR917506:WBR917523 WLN917506:WLN917523 WVJ917506:WVJ917523" xr:uid="{00000000-0002-0000-4400-000000000000}">
      <formula1>trung</formula1>
    </dataValidation>
  </dataValidations>
  <pageMargins left="0.7" right="0.7" top="0.51"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22"/>
  <sheetViews>
    <sheetView topLeftCell="A15"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40"/>
      <c r="G3" s="102"/>
      <c r="H3" s="103"/>
    </row>
    <row r="4" spans="1:8" s="98" customFormat="1" ht="18" customHeight="1">
      <c r="A4" s="414"/>
      <c r="B4" s="414"/>
      <c r="C4" s="415" t="s">
        <v>1740</v>
      </c>
      <c r="D4" s="416"/>
      <c r="E4" s="416"/>
      <c r="F4" s="416"/>
      <c r="G4" s="416"/>
      <c r="H4" s="416"/>
    </row>
    <row r="5" spans="1:8" s="98" customFormat="1" ht="15.6">
      <c r="A5" s="104"/>
      <c r="B5" s="104"/>
      <c r="C5" s="139"/>
      <c r="D5" s="105"/>
      <c r="E5" s="106"/>
      <c r="F5" s="139"/>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19" t="s">
        <v>1762</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1769</v>
      </c>
      <c r="C13" s="425"/>
      <c r="D13" s="425"/>
      <c r="E13" s="425"/>
      <c r="F13" s="425"/>
      <c r="G13" s="73">
        <f>G14</f>
        <v>0</v>
      </c>
      <c r="H13" s="74"/>
    </row>
    <row r="14" spans="1:8" s="131" customFormat="1" ht="40.5" customHeight="1">
      <c r="A14" s="123"/>
      <c r="B14" s="124" t="s">
        <v>2033</v>
      </c>
      <c r="C14" s="125" t="s">
        <v>1753</v>
      </c>
      <c r="D14" s="126">
        <v>0.6</v>
      </c>
      <c r="E14" s="127"/>
      <c r="F14" s="128"/>
      <c r="G14" s="129">
        <f>D14*E14*F14</f>
        <v>0</v>
      </c>
      <c r="H14" s="130"/>
    </row>
    <row r="15" spans="1:8" ht="27" customHeight="1">
      <c r="A15" s="75" t="s">
        <v>18</v>
      </c>
      <c r="B15" s="426" t="s">
        <v>1725</v>
      </c>
      <c r="C15" s="426"/>
      <c r="D15" s="426"/>
      <c r="E15" s="426"/>
      <c r="F15" s="426"/>
      <c r="G15" s="76">
        <f>SUM(G17:G25)</f>
        <v>1669801.3776</v>
      </c>
      <c r="H15" s="11"/>
    </row>
    <row r="16" spans="1:8" ht="37.5" customHeight="1">
      <c r="A16" s="75"/>
      <c r="B16" s="433" t="s">
        <v>2037</v>
      </c>
      <c r="C16" s="434"/>
      <c r="D16" s="434"/>
      <c r="E16" s="434"/>
      <c r="F16" s="435"/>
      <c r="G16" s="76"/>
      <c r="H16" s="11"/>
    </row>
    <row r="17" spans="1:8" ht="31.2">
      <c r="A17" s="77">
        <v>1</v>
      </c>
      <c r="B17" s="78" t="s">
        <v>1763</v>
      </c>
      <c r="C17" s="14" t="s">
        <v>1754</v>
      </c>
      <c r="D17" s="132">
        <f>2.2*0.8*0.11</f>
        <v>0.19360000000000002</v>
      </c>
      <c r="E17" s="15">
        <v>2126713</v>
      </c>
      <c r="F17" s="187">
        <v>0.2</v>
      </c>
      <c r="G17" s="79">
        <f t="shared" ref="G17:G24" si="0">D17*E17*F17</f>
        <v>82346.32736000001</v>
      </c>
      <c r="H17" s="15"/>
    </row>
    <row r="18" spans="1:8" ht="30.6" customHeight="1">
      <c r="A18" s="77"/>
      <c r="B18" s="78" t="s">
        <v>1953</v>
      </c>
      <c r="C18" s="14" t="s">
        <v>66</v>
      </c>
      <c r="D18" s="132">
        <f>2.2*0.8*2</f>
        <v>3.5200000000000005</v>
      </c>
      <c r="E18" s="15">
        <v>141099</v>
      </c>
      <c r="F18" s="187">
        <v>0.2</v>
      </c>
      <c r="G18" s="79">
        <f t="shared" si="0"/>
        <v>99333.696000000011</v>
      </c>
      <c r="H18" s="15"/>
    </row>
    <row r="19" spans="1:8" ht="30.6" customHeight="1">
      <c r="A19" s="77"/>
      <c r="B19" s="78" t="s">
        <v>1955</v>
      </c>
      <c r="C19" s="14" t="s">
        <v>66</v>
      </c>
      <c r="D19" s="132">
        <f>2.2*0.8*2</f>
        <v>3.5200000000000005</v>
      </c>
      <c r="E19" s="15">
        <v>87789</v>
      </c>
      <c r="F19" s="187">
        <v>0.2</v>
      </c>
      <c r="G19" s="79">
        <f t="shared" si="0"/>
        <v>61803.456000000006</v>
      </c>
      <c r="H19" s="15"/>
    </row>
    <row r="20" spans="1:8" ht="30.6" customHeight="1">
      <c r="A20" s="77">
        <v>2</v>
      </c>
      <c r="B20" s="78" t="s">
        <v>1764</v>
      </c>
      <c r="C20" s="14" t="s">
        <v>1754</v>
      </c>
      <c r="D20" s="132">
        <f>(0.3*0.4*2.3)*2</f>
        <v>0.55199999999999994</v>
      </c>
      <c r="E20" s="15">
        <v>2623803</v>
      </c>
      <c r="F20" s="187">
        <v>0.2</v>
      </c>
      <c r="G20" s="79">
        <f t="shared" si="0"/>
        <v>289667.85119999998</v>
      </c>
      <c r="H20" s="15"/>
    </row>
    <row r="21" spans="1:8" ht="30.6" customHeight="1">
      <c r="A21" s="77"/>
      <c r="B21" s="78" t="s">
        <v>1954</v>
      </c>
      <c r="C21" s="14" t="s">
        <v>66</v>
      </c>
      <c r="D21" s="132">
        <f>(0.3+0.4)*2.3*2*2</f>
        <v>6.4399999999999995</v>
      </c>
      <c r="E21" s="15">
        <v>250492</v>
      </c>
      <c r="F21" s="187">
        <v>0.2</v>
      </c>
      <c r="G21" s="79">
        <f t="shared" si="0"/>
        <v>322633.696</v>
      </c>
      <c r="H21" s="15"/>
    </row>
    <row r="22" spans="1:8" ht="30.6" customHeight="1">
      <c r="A22" s="77"/>
      <c r="B22" s="78" t="s">
        <v>1956</v>
      </c>
      <c r="C22" s="14" t="s">
        <v>66</v>
      </c>
      <c r="D22" s="132">
        <f>(0.3+0.4)*2.3*2*2</f>
        <v>6.4399999999999995</v>
      </c>
      <c r="E22" s="15">
        <v>87789</v>
      </c>
      <c r="F22" s="187">
        <v>0.2</v>
      </c>
      <c r="G22" s="79">
        <f t="shared" ref="G22" si="1">D22*E22*F22</f>
        <v>113072.23199999999</v>
      </c>
      <c r="H22" s="15"/>
    </row>
    <row r="23" spans="1:8" ht="30.6" customHeight="1">
      <c r="A23" s="77">
        <v>3</v>
      </c>
      <c r="B23" s="78" t="s">
        <v>1768</v>
      </c>
      <c r="C23" s="14" t="s">
        <v>66</v>
      </c>
      <c r="D23" s="132">
        <f>1.8*1.8</f>
        <v>3.24</v>
      </c>
      <c r="E23" s="15">
        <v>550000</v>
      </c>
      <c r="F23" s="187">
        <v>0.2</v>
      </c>
      <c r="G23" s="79">
        <f t="shared" si="0"/>
        <v>356400.00000000006</v>
      </c>
      <c r="H23" s="15"/>
    </row>
    <row r="24" spans="1:8" ht="30.6" customHeight="1">
      <c r="A24" s="77">
        <v>4</v>
      </c>
      <c r="B24" s="78" t="s">
        <v>1767</v>
      </c>
      <c r="C24" s="14" t="s">
        <v>66</v>
      </c>
      <c r="D24" s="132">
        <f>2.2*1.3</f>
        <v>2.8600000000000003</v>
      </c>
      <c r="E24" s="15">
        <v>550000</v>
      </c>
      <c r="F24" s="187">
        <v>0.2</v>
      </c>
      <c r="G24" s="79">
        <f t="shared" si="0"/>
        <v>314600.00000000006</v>
      </c>
      <c r="H24" s="15"/>
    </row>
    <row r="25" spans="1:8" ht="30.6" customHeight="1">
      <c r="A25" s="77">
        <v>5</v>
      </c>
      <c r="B25" s="78" t="s">
        <v>1765</v>
      </c>
      <c r="C25" s="14" t="s">
        <v>1754</v>
      </c>
      <c r="D25" s="132">
        <f>0.4*1.6*0.11</f>
        <v>7.0400000000000018E-2</v>
      </c>
      <c r="E25" s="15">
        <v>2126713</v>
      </c>
      <c r="F25" s="187">
        <v>0.2</v>
      </c>
      <c r="G25" s="79">
        <f t="shared" ref="G25" si="2">D25*E25*F25</f>
        <v>29944.119040000009</v>
      </c>
      <c r="H25" s="15"/>
    </row>
    <row r="26" spans="1:8" ht="24" customHeight="1">
      <c r="A26" s="75" t="s">
        <v>19</v>
      </c>
      <c r="B26" s="426" t="s">
        <v>1727</v>
      </c>
      <c r="C26" s="426"/>
      <c r="D26" s="426"/>
      <c r="E26" s="426"/>
      <c r="F26" s="426"/>
      <c r="G26" s="76">
        <f>G27</f>
        <v>0</v>
      </c>
      <c r="H26" s="11"/>
    </row>
    <row r="27" spans="1:8" ht="30.6" customHeight="1">
      <c r="A27" s="77"/>
      <c r="B27" s="78" t="s">
        <v>1728</v>
      </c>
      <c r="C27" s="13"/>
      <c r="D27" s="13"/>
      <c r="E27" s="13"/>
      <c r="F27" s="13"/>
      <c r="G27" s="79"/>
      <c r="H27" s="15"/>
    </row>
    <row r="28" spans="1:8" ht="15.6">
      <c r="A28" s="80"/>
      <c r="B28" s="427" t="s">
        <v>62</v>
      </c>
      <c r="C28" s="428"/>
      <c r="D28" s="428"/>
      <c r="E28" s="428"/>
      <c r="F28" s="429"/>
      <c r="G28" s="81">
        <f>G13+G15+G26</f>
        <v>1669801.3776</v>
      </c>
      <c r="H28" s="82"/>
    </row>
    <row r="29" spans="1:8" ht="15.6">
      <c r="A29" s="80"/>
      <c r="B29" s="427" t="s">
        <v>1726</v>
      </c>
      <c r="C29" s="428"/>
      <c r="D29" s="428"/>
      <c r="E29" s="428"/>
      <c r="F29" s="429"/>
      <c r="G29" s="81">
        <f>ROUND(G28,-3)</f>
        <v>1670000</v>
      </c>
      <c r="H29" s="82"/>
    </row>
    <row r="30" spans="1:8" ht="15.6">
      <c r="A30" s="430" t="e">
        <f ca="1">[19]!vnd(G29)</f>
        <v>#NAME?</v>
      </c>
      <c r="B30" s="431"/>
      <c r="C30" s="431"/>
      <c r="D30" s="431"/>
      <c r="E30" s="431"/>
      <c r="F30" s="431"/>
      <c r="G30" s="431"/>
      <c r="H30" s="432"/>
    </row>
    <row r="31" spans="1:8">
      <c r="A31" s="17"/>
      <c r="B31" s="17"/>
      <c r="C31" s="97"/>
      <c r="D31" s="20"/>
      <c r="E31" s="19"/>
      <c r="F31" s="97"/>
      <c r="G31" s="19"/>
      <c r="H31" s="17"/>
    </row>
    <row r="32" spans="1:8" s="109" customFormat="1" ht="16.5" customHeight="1">
      <c r="A32" s="108"/>
      <c r="B32" s="108"/>
      <c r="C32" s="424" t="s">
        <v>1742</v>
      </c>
      <c r="D32" s="424"/>
      <c r="E32" s="424"/>
      <c r="F32" s="424"/>
      <c r="G32" s="424"/>
      <c r="H32" s="424"/>
    </row>
    <row r="33" spans="1:8" s="109" customFormat="1" ht="16.5" customHeight="1">
      <c r="A33" s="423" t="s">
        <v>63</v>
      </c>
      <c r="B33" s="423"/>
      <c r="C33" s="424" t="s">
        <v>1743</v>
      </c>
      <c r="D33" s="424"/>
      <c r="E33" s="424"/>
      <c r="F33" s="424" t="s">
        <v>1744</v>
      </c>
      <c r="G33" s="424"/>
      <c r="H33" s="424"/>
    </row>
    <row r="34" spans="1:8" s="109" customFormat="1" ht="15.6">
      <c r="A34" s="108"/>
      <c r="B34" s="108"/>
      <c r="C34" s="108"/>
      <c r="D34" s="110"/>
      <c r="E34" s="111"/>
      <c r="F34" s="112"/>
      <c r="G34" s="111"/>
      <c r="H34" s="113"/>
    </row>
    <row r="35" spans="1:8" s="109" customFormat="1" ht="15.6">
      <c r="A35" s="108"/>
      <c r="B35" s="108"/>
      <c r="C35" s="108"/>
      <c r="D35" s="110"/>
      <c r="E35" s="111"/>
      <c r="F35" s="112"/>
      <c r="G35" s="114"/>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6.5" customHeight="1">
      <c r="A39" s="108"/>
      <c r="B39" s="141" t="s">
        <v>64</v>
      </c>
      <c r="C39" s="424"/>
      <c r="D39" s="424"/>
      <c r="E39" s="424"/>
      <c r="F39" s="424" t="s">
        <v>1745</v>
      </c>
      <c r="G39" s="424"/>
      <c r="H39" s="424"/>
    </row>
    <row r="40" spans="1:8" s="109" customFormat="1" ht="15.6">
      <c r="A40" s="108"/>
      <c r="B40" s="141"/>
      <c r="C40" s="138"/>
      <c r="D40" s="138"/>
      <c r="E40" s="138"/>
      <c r="F40" s="138"/>
      <c r="G40" s="138"/>
      <c r="H40" s="138"/>
    </row>
    <row r="41" spans="1:8" s="109" customFormat="1" ht="15" customHeight="1">
      <c r="A41" s="424" t="s">
        <v>1746</v>
      </c>
      <c r="B41" s="424"/>
      <c r="C41" s="424"/>
      <c r="D41" s="424"/>
      <c r="E41" s="424" t="s">
        <v>1747</v>
      </c>
      <c r="F41" s="424"/>
      <c r="G41" s="424"/>
      <c r="H41" s="424"/>
    </row>
    <row r="42" spans="1:8" s="109" customFormat="1" ht="33.6" customHeight="1">
      <c r="A42" s="424" t="s">
        <v>1748</v>
      </c>
      <c r="B42" s="424"/>
      <c r="C42" s="424"/>
      <c r="D42" s="424"/>
      <c r="E42" s="424" t="s">
        <v>65</v>
      </c>
      <c r="F42" s="424"/>
      <c r="G42" s="424"/>
      <c r="H42" s="424"/>
    </row>
    <row r="43" spans="1:8" s="109" customFormat="1" ht="15.6">
      <c r="A43" s="108"/>
      <c r="B43" s="108"/>
      <c r="C43" s="108"/>
      <c r="D43" s="110"/>
      <c r="E43" s="111"/>
      <c r="F43" s="112"/>
      <c r="G43" s="111"/>
      <c r="H43" s="113"/>
    </row>
    <row r="44" spans="1:8" s="109" customFormat="1" ht="15.6">
      <c r="A44" s="108"/>
      <c r="B44" s="108"/>
      <c r="C44" s="108"/>
      <c r="D44" s="110"/>
      <c r="E44" s="111"/>
      <c r="F44" s="112"/>
      <c r="G44" s="111"/>
      <c r="H44" s="113"/>
    </row>
    <row r="45" spans="1:8" s="109" customFormat="1" ht="15.6">
      <c r="A45" s="108"/>
      <c r="B45" s="108"/>
      <c r="C45" s="108"/>
      <c r="D45" s="110"/>
      <c r="E45" s="111"/>
      <c r="F45" s="112"/>
      <c r="G45" s="111"/>
      <c r="H45" s="113"/>
    </row>
    <row r="46" spans="1:8" s="109" customFormat="1" ht="15.6">
      <c r="A46" s="108"/>
      <c r="B46" s="108"/>
      <c r="C46" s="108"/>
      <c r="D46" s="110"/>
      <c r="E46" s="111"/>
      <c r="F46" s="112"/>
      <c r="G46" s="111"/>
      <c r="H46" s="113"/>
    </row>
    <row r="47" spans="1:8" s="109" customFormat="1" ht="15.6">
      <c r="A47" s="108"/>
      <c r="B47" s="108"/>
      <c r="C47" s="108"/>
      <c r="D47" s="110"/>
      <c r="E47" s="111"/>
      <c r="F47" s="112"/>
      <c r="G47" s="111"/>
      <c r="H47" s="113"/>
    </row>
    <row r="48" spans="1:8" s="109" customFormat="1" ht="15.6" customHeight="1">
      <c r="A48" s="108"/>
      <c r="B48" s="108"/>
      <c r="C48" s="108"/>
      <c r="D48" s="115"/>
      <c r="E48" s="439" t="s">
        <v>1749</v>
      </c>
      <c r="F48" s="439"/>
      <c r="G48" s="439"/>
      <c r="H48" s="439"/>
    </row>
    <row r="49" spans="1:8" s="109" customFormat="1" ht="16.5" customHeight="1">
      <c r="A49" s="424" t="s">
        <v>1751</v>
      </c>
      <c r="B49" s="424"/>
      <c r="C49" s="424"/>
      <c r="D49" s="424"/>
      <c r="E49" s="424" t="s">
        <v>1750</v>
      </c>
      <c r="F49" s="424"/>
      <c r="G49" s="424"/>
      <c r="H49" s="424"/>
    </row>
    <row r="50" spans="1:8" s="118" customFormat="1" ht="16.2" customHeight="1">
      <c r="A50" s="440"/>
      <c r="B50" s="440"/>
      <c r="C50" s="116"/>
      <c r="D50" s="117"/>
      <c r="E50" s="440"/>
      <c r="F50" s="440"/>
      <c r="G50" s="440"/>
      <c r="H50" s="440"/>
    </row>
    <row r="51" spans="1:8" s="118" customFormat="1" ht="15.75" customHeight="1">
      <c r="A51" s="440"/>
      <c r="B51" s="440"/>
      <c r="C51" s="440"/>
      <c r="D51" s="440"/>
      <c r="E51" s="440"/>
      <c r="F51" s="440"/>
      <c r="G51" s="440"/>
      <c r="H51" s="440"/>
    </row>
    <row r="52" spans="1:8" s="98" customFormat="1" ht="16.2" customHeight="1">
      <c r="A52" s="436"/>
      <c r="B52" s="436"/>
      <c r="C52" s="436"/>
      <c r="D52" s="436"/>
      <c r="E52" s="119"/>
      <c r="F52" s="120"/>
      <c r="G52" s="119"/>
      <c r="H52" s="121"/>
    </row>
    <row r="53" spans="1:8" s="98" customFormat="1" ht="16.2" customHeight="1">
      <c r="A53" s="436"/>
      <c r="B53" s="436"/>
      <c r="C53" s="436"/>
      <c r="D53" s="436"/>
      <c r="E53" s="119"/>
      <c r="F53" s="120"/>
      <c r="G53" s="119"/>
      <c r="H53" s="121"/>
    </row>
    <row r="54" spans="1:8" s="98" customFormat="1" ht="16.2" customHeight="1">
      <c r="A54" s="121"/>
      <c r="B54" s="121"/>
      <c r="C54" s="121"/>
      <c r="D54" s="122"/>
      <c r="E54" s="119"/>
      <c r="F54" s="120"/>
      <c r="G54" s="119"/>
      <c r="H54" s="121"/>
    </row>
    <row r="55" spans="1:8" ht="16.2" customHeight="1">
      <c r="A55" s="83"/>
      <c r="B55" s="83"/>
      <c r="C55" s="83"/>
      <c r="D55" s="84"/>
      <c r="E55" s="85"/>
      <c r="F55" s="86"/>
      <c r="G55" s="85"/>
      <c r="H55" s="83"/>
    </row>
    <row r="56" spans="1:8" ht="16.2" customHeight="1">
      <c r="A56" s="83"/>
      <c r="B56" s="83"/>
      <c r="C56" s="83"/>
      <c r="D56" s="84"/>
      <c r="E56" s="85"/>
      <c r="F56" s="86"/>
      <c r="G56" s="85"/>
      <c r="H56" s="83"/>
    </row>
    <row r="57" spans="1:8" ht="16.2" customHeight="1">
      <c r="A57" s="83"/>
      <c r="B57" s="83"/>
      <c r="C57" s="83"/>
      <c r="D57" s="84"/>
      <c r="E57" s="85"/>
      <c r="F57" s="86"/>
      <c r="G57" s="85"/>
      <c r="H57" s="83"/>
    </row>
    <row r="58" spans="1:8" ht="16.2" customHeight="1">
      <c r="A58" s="83"/>
      <c r="B58" s="83"/>
      <c r="C58" s="83"/>
      <c r="D58" s="84"/>
      <c r="E58" s="437"/>
      <c r="F58" s="437"/>
      <c r="G58" s="437"/>
      <c r="H58" s="437"/>
    </row>
    <row r="59" spans="1:8" ht="20.25" customHeight="1">
      <c r="A59" s="438"/>
      <c r="B59" s="438"/>
      <c r="C59" s="438"/>
      <c r="D59" s="438"/>
      <c r="E59" s="438"/>
      <c r="F59" s="438"/>
      <c r="G59" s="438"/>
      <c r="H59" s="438"/>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D73" s="18"/>
      <c r="E73" s="19"/>
      <c r="F73" s="97"/>
      <c r="G73" s="19"/>
    </row>
    <row r="74" spans="3:7" s="17" customFormat="1" ht="16.2" customHeight="1">
      <c r="D74" s="18"/>
      <c r="E74" s="19"/>
      <c r="F74" s="97"/>
      <c r="G74" s="19"/>
    </row>
    <row r="75" spans="3:7" s="17" customFormat="1" ht="16.2" customHeight="1">
      <c r="D75" s="18"/>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s="17" customFormat="1" ht="16.2" customHeight="1">
      <c r="C87" s="97"/>
      <c r="D87" s="20"/>
      <c r="E87" s="19"/>
      <c r="F87" s="97"/>
      <c r="G87" s="19"/>
    </row>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row r="235"/>
    <row r="236"/>
    <row r="237"/>
    <row r="238"/>
    <row r="239"/>
    <row r="240"/>
    <row r="241"/>
    <row r="242"/>
    <row r="243"/>
    <row r="244"/>
    <row r="245"/>
    <row r="246"/>
    <row r="247"/>
    <row r="248"/>
    <row r="249"/>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sheetData>
  <mergeCells count="41">
    <mergeCell ref="E58:H58"/>
    <mergeCell ref="A59:H59"/>
    <mergeCell ref="A50:B50"/>
    <mergeCell ref="E50:H50"/>
    <mergeCell ref="A51:D51"/>
    <mergeCell ref="E51:H51"/>
    <mergeCell ref="A52:D52"/>
    <mergeCell ref="A53:D53"/>
    <mergeCell ref="A49:D49"/>
    <mergeCell ref="E49:H49"/>
    <mergeCell ref="C32:H32"/>
    <mergeCell ref="A33:B33"/>
    <mergeCell ref="C33:E33"/>
    <mergeCell ref="F33:H33"/>
    <mergeCell ref="C39:E39"/>
    <mergeCell ref="F39:H39"/>
    <mergeCell ref="A41:D41"/>
    <mergeCell ref="E41:H41"/>
    <mergeCell ref="A42:D42"/>
    <mergeCell ref="E42:H42"/>
    <mergeCell ref="E48:H48"/>
    <mergeCell ref="A30:H30"/>
    <mergeCell ref="A6:H6"/>
    <mergeCell ref="A7:H7"/>
    <mergeCell ref="A8:H8"/>
    <mergeCell ref="A9:H9"/>
    <mergeCell ref="A10:H10"/>
    <mergeCell ref="A11:H11"/>
    <mergeCell ref="B13:F13"/>
    <mergeCell ref="B15:F15"/>
    <mergeCell ref="B26:F26"/>
    <mergeCell ref="B28:F28"/>
    <mergeCell ref="B29:F29"/>
    <mergeCell ref="B16:F16"/>
    <mergeCell ref="A4:B4"/>
    <mergeCell ref="C4:H4"/>
    <mergeCell ref="A1:B1"/>
    <mergeCell ref="C1:H1"/>
    <mergeCell ref="A2:B2"/>
    <mergeCell ref="C2:H2"/>
    <mergeCell ref="A3:B3"/>
  </mergeCells>
  <dataValidations count="1">
    <dataValidation type="list" allowBlank="1" showInputMessage="1" showErrorMessage="1" sqref="WVJ983051:WVJ983068 B983051:B983068 IX983051:IX983068 ST983051:ST983068 ACP983051:ACP983068 AML983051:AML983068 AWH983051:AWH983068 BGD983051:BGD983068 BPZ983051:BPZ983068 BZV983051:BZV983068 CJR983051:CJR983068 CTN983051:CTN983068 DDJ983051:DDJ983068 DNF983051:DNF983068 DXB983051:DXB983068 EGX983051:EGX983068 EQT983051:EQT983068 FAP983051:FAP983068 FKL983051:FKL983068 FUH983051:FUH983068 GED983051:GED983068 GNZ983051:GNZ983068 GXV983051:GXV983068 HHR983051:HHR983068 HRN983051:HRN983068 IBJ983051:IBJ983068 ILF983051:ILF983068 IVB983051:IVB983068 JEX983051:JEX983068 JOT983051:JOT983068 JYP983051:JYP983068 KIL983051:KIL983068 KSH983051:KSH983068 LCD983051:LCD983068 LLZ983051:LLZ983068 LVV983051:LVV983068 MFR983051:MFR983068 MPN983051:MPN983068 MZJ983051:MZJ983068 NJF983051:NJF983068 NTB983051:NTB983068 OCX983051:OCX983068 OMT983051:OMT983068 OWP983051:OWP983068 PGL983051:PGL983068 PQH983051:PQH983068 QAD983051:QAD983068 QJZ983051:QJZ983068 QTV983051:QTV983068 RDR983051:RDR983068 RNN983051:RNN983068 RXJ983051:RXJ983068 SHF983051:SHF983068 SRB983051:SRB983068 TAX983051:TAX983068 TKT983051:TKT983068 TUP983051:TUP983068 UEL983051:UEL983068 UOH983051:UOH983068 UYD983051:UYD983068 VHZ983051:VHZ983068 VRV983051:VRV983068 WBR983051:WBR983068 WLN983051:WLN983068 B65547:B65564 IX65547:IX65564 ST65547:ST65564 ACP65547:ACP65564 AML65547:AML65564 AWH65547:AWH65564 BGD65547:BGD65564 BPZ65547:BPZ65564 BZV65547:BZV65564 CJR65547:CJR65564 CTN65547:CTN65564 DDJ65547:DDJ65564 DNF65547:DNF65564 DXB65547:DXB65564 EGX65547:EGX65564 EQT65547:EQT65564 FAP65547:FAP65564 FKL65547:FKL65564 FUH65547:FUH65564 GED65547:GED65564 GNZ65547:GNZ65564 GXV65547:GXV65564 HHR65547:HHR65564 HRN65547:HRN65564 IBJ65547:IBJ65564 ILF65547:ILF65564 IVB65547:IVB65564 JEX65547:JEX65564 JOT65547:JOT65564 JYP65547:JYP65564 KIL65547:KIL65564 KSH65547:KSH65564 LCD65547:LCD65564 LLZ65547:LLZ65564 LVV65547:LVV65564 MFR65547:MFR65564 MPN65547:MPN65564 MZJ65547:MZJ65564 NJF65547:NJF65564 NTB65547:NTB65564 OCX65547:OCX65564 OMT65547:OMT65564 OWP65547:OWP65564 PGL65547:PGL65564 PQH65547:PQH65564 QAD65547:QAD65564 QJZ65547:QJZ65564 QTV65547:QTV65564 RDR65547:RDR65564 RNN65547:RNN65564 RXJ65547:RXJ65564 SHF65547:SHF65564 SRB65547:SRB65564 TAX65547:TAX65564 TKT65547:TKT65564 TUP65547:TUP65564 UEL65547:UEL65564 UOH65547:UOH65564 UYD65547:UYD65564 VHZ65547:VHZ65564 VRV65547:VRV65564 WBR65547:WBR65564 WLN65547:WLN65564 WVJ65547:WVJ65564 B131083:B131100 IX131083:IX131100 ST131083:ST131100 ACP131083:ACP131100 AML131083:AML131100 AWH131083:AWH131100 BGD131083:BGD131100 BPZ131083:BPZ131100 BZV131083:BZV131100 CJR131083:CJR131100 CTN131083:CTN131100 DDJ131083:DDJ131100 DNF131083:DNF131100 DXB131083:DXB131100 EGX131083:EGX131100 EQT131083:EQT131100 FAP131083:FAP131100 FKL131083:FKL131100 FUH131083:FUH131100 GED131083:GED131100 GNZ131083:GNZ131100 GXV131083:GXV131100 HHR131083:HHR131100 HRN131083:HRN131100 IBJ131083:IBJ131100 ILF131083:ILF131100 IVB131083:IVB131100 JEX131083:JEX131100 JOT131083:JOT131100 JYP131083:JYP131100 KIL131083:KIL131100 KSH131083:KSH131100 LCD131083:LCD131100 LLZ131083:LLZ131100 LVV131083:LVV131100 MFR131083:MFR131100 MPN131083:MPN131100 MZJ131083:MZJ131100 NJF131083:NJF131100 NTB131083:NTB131100 OCX131083:OCX131100 OMT131083:OMT131100 OWP131083:OWP131100 PGL131083:PGL131100 PQH131083:PQH131100 QAD131083:QAD131100 QJZ131083:QJZ131100 QTV131083:QTV131100 RDR131083:RDR131100 RNN131083:RNN131100 RXJ131083:RXJ131100 SHF131083:SHF131100 SRB131083:SRB131100 TAX131083:TAX131100 TKT131083:TKT131100 TUP131083:TUP131100 UEL131083:UEL131100 UOH131083:UOH131100 UYD131083:UYD131100 VHZ131083:VHZ131100 VRV131083:VRV131100 WBR131083:WBR131100 WLN131083:WLN131100 WVJ131083:WVJ131100 B196619:B196636 IX196619:IX196636 ST196619:ST196636 ACP196619:ACP196636 AML196619:AML196636 AWH196619:AWH196636 BGD196619:BGD196636 BPZ196619:BPZ196636 BZV196619:BZV196636 CJR196619:CJR196636 CTN196619:CTN196636 DDJ196619:DDJ196636 DNF196619:DNF196636 DXB196619:DXB196636 EGX196619:EGX196636 EQT196619:EQT196636 FAP196619:FAP196636 FKL196619:FKL196636 FUH196619:FUH196636 GED196619:GED196636 GNZ196619:GNZ196636 GXV196619:GXV196636 HHR196619:HHR196636 HRN196619:HRN196636 IBJ196619:IBJ196636 ILF196619:ILF196636 IVB196619:IVB196636 JEX196619:JEX196636 JOT196619:JOT196636 JYP196619:JYP196636 KIL196619:KIL196636 KSH196619:KSH196636 LCD196619:LCD196636 LLZ196619:LLZ196636 LVV196619:LVV196636 MFR196619:MFR196636 MPN196619:MPN196636 MZJ196619:MZJ196636 NJF196619:NJF196636 NTB196619:NTB196636 OCX196619:OCX196636 OMT196619:OMT196636 OWP196619:OWP196636 PGL196619:PGL196636 PQH196619:PQH196636 QAD196619:QAD196636 QJZ196619:QJZ196636 QTV196619:QTV196636 RDR196619:RDR196636 RNN196619:RNN196636 RXJ196619:RXJ196636 SHF196619:SHF196636 SRB196619:SRB196636 TAX196619:TAX196636 TKT196619:TKT196636 TUP196619:TUP196636 UEL196619:UEL196636 UOH196619:UOH196636 UYD196619:UYD196636 VHZ196619:VHZ196636 VRV196619:VRV196636 WBR196619:WBR196636 WLN196619:WLN196636 WVJ196619:WVJ196636 B262155:B262172 IX262155:IX262172 ST262155:ST262172 ACP262155:ACP262172 AML262155:AML262172 AWH262155:AWH262172 BGD262155:BGD262172 BPZ262155:BPZ262172 BZV262155:BZV262172 CJR262155:CJR262172 CTN262155:CTN262172 DDJ262155:DDJ262172 DNF262155:DNF262172 DXB262155:DXB262172 EGX262155:EGX262172 EQT262155:EQT262172 FAP262155:FAP262172 FKL262155:FKL262172 FUH262155:FUH262172 GED262155:GED262172 GNZ262155:GNZ262172 GXV262155:GXV262172 HHR262155:HHR262172 HRN262155:HRN262172 IBJ262155:IBJ262172 ILF262155:ILF262172 IVB262155:IVB262172 JEX262155:JEX262172 JOT262155:JOT262172 JYP262155:JYP262172 KIL262155:KIL262172 KSH262155:KSH262172 LCD262155:LCD262172 LLZ262155:LLZ262172 LVV262155:LVV262172 MFR262155:MFR262172 MPN262155:MPN262172 MZJ262155:MZJ262172 NJF262155:NJF262172 NTB262155:NTB262172 OCX262155:OCX262172 OMT262155:OMT262172 OWP262155:OWP262172 PGL262155:PGL262172 PQH262155:PQH262172 QAD262155:QAD262172 QJZ262155:QJZ262172 QTV262155:QTV262172 RDR262155:RDR262172 RNN262155:RNN262172 RXJ262155:RXJ262172 SHF262155:SHF262172 SRB262155:SRB262172 TAX262155:TAX262172 TKT262155:TKT262172 TUP262155:TUP262172 UEL262155:UEL262172 UOH262155:UOH262172 UYD262155:UYD262172 VHZ262155:VHZ262172 VRV262155:VRV262172 WBR262155:WBR262172 WLN262155:WLN262172 WVJ262155:WVJ262172 B327691:B327708 IX327691:IX327708 ST327691:ST327708 ACP327691:ACP327708 AML327691:AML327708 AWH327691:AWH327708 BGD327691:BGD327708 BPZ327691:BPZ327708 BZV327691:BZV327708 CJR327691:CJR327708 CTN327691:CTN327708 DDJ327691:DDJ327708 DNF327691:DNF327708 DXB327691:DXB327708 EGX327691:EGX327708 EQT327691:EQT327708 FAP327691:FAP327708 FKL327691:FKL327708 FUH327691:FUH327708 GED327691:GED327708 GNZ327691:GNZ327708 GXV327691:GXV327708 HHR327691:HHR327708 HRN327691:HRN327708 IBJ327691:IBJ327708 ILF327691:ILF327708 IVB327691:IVB327708 JEX327691:JEX327708 JOT327691:JOT327708 JYP327691:JYP327708 KIL327691:KIL327708 KSH327691:KSH327708 LCD327691:LCD327708 LLZ327691:LLZ327708 LVV327691:LVV327708 MFR327691:MFR327708 MPN327691:MPN327708 MZJ327691:MZJ327708 NJF327691:NJF327708 NTB327691:NTB327708 OCX327691:OCX327708 OMT327691:OMT327708 OWP327691:OWP327708 PGL327691:PGL327708 PQH327691:PQH327708 QAD327691:QAD327708 QJZ327691:QJZ327708 QTV327691:QTV327708 RDR327691:RDR327708 RNN327691:RNN327708 RXJ327691:RXJ327708 SHF327691:SHF327708 SRB327691:SRB327708 TAX327691:TAX327708 TKT327691:TKT327708 TUP327691:TUP327708 UEL327691:UEL327708 UOH327691:UOH327708 UYD327691:UYD327708 VHZ327691:VHZ327708 VRV327691:VRV327708 WBR327691:WBR327708 WLN327691:WLN327708 WVJ327691:WVJ327708 B393227:B393244 IX393227:IX393244 ST393227:ST393244 ACP393227:ACP393244 AML393227:AML393244 AWH393227:AWH393244 BGD393227:BGD393244 BPZ393227:BPZ393244 BZV393227:BZV393244 CJR393227:CJR393244 CTN393227:CTN393244 DDJ393227:DDJ393244 DNF393227:DNF393244 DXB393227:DXB393244 EGX393227:EGX393244 EQT393227:EQT393244 FAP393227:FAP393244 FKL393227:FKL393244 FUH393227:FUH393244 GED393227:GED393244 GNZ393227:GNZ393244 GXV393227:GXV393244 HHR393227:HHR393244 HRN393227:HRN393244 IBJ393227:IBJ393244 ILF393227:ILF393244 IVB393227:IVB393244 JEX393227:JEX393244 JOT393227:JOT393244 JYP393227:JYP393244 KIL393227:KIL393244 KSH393227:KSH393244 LCD393227:LCD393244 LLZ393227:LLZ393244 LVV393227:LVV393244 MFR393227:MFR393244 MPN393227:MPN393244 MZJ393227:MZJ393244 NJF393227:NJF393244 NTB393227:NTB393244 OCX393227:OCX393244 OMT393227:OMT393244 OWP393227:OWP393244 PGL393227:PGL393244 PQH393227:PQH393244 QAD393227:QAD393244 QJZ393227:QJZ393244 QTV393227:QTV393244 RDR393227:RDR393244 RNN393227:RNN393244 RXJ393227:RXJ393244 SHF393227:SHF393244 SRB393227:SRB393244 TAX393227:TAX393244 TKT393227:TKT393244 TUP393227:TUP393244 UEL393227:UEL393244 UOH393227:UOH393244 UYD393227:UYD393244 VHZ393227:VHZ393244 VRV393227:VRV393244 WBR393227:WBR393244 WLN393227:WLN393244 WVJ393227:WVJ393244 B458763:B458780 IX458763:IX458780 ST458763:ST458780 ACP458763:ACP458780 AML458763:AML458780 AWH458763:AWH458780 BGD458763:BGD458780 BPZ458763:BPZ458780 BZV458763:BZV458780 CJR458763:CJR458780 CTN458763:CTN458780 DDJ458763:DDJ458780 DNF458763:DNF458780 DXB458763:DXB458780 EGX458763:EGX458780 EQT458763:EQT458780 FAP458763:FAP458780 FKL458763:FKL458780 FUH458763:FUH458780 GED458763:GED458780 GNZ458763:GNZ458780 GXV458763:GXV458780 HHR458763:HHR458780 HRN458763:HRN458780 IBJ458763:IBJ458780 ILF458763:ILF458780 IVB458763:IVB458780 JEX458763:JEX458780 JOT458763:JOT458780 JYP458763:JYP458780 KIL458763:KIL458780 KSH458763:KSH458780 LCD458763:LCD458780 LLZ458763:LLZ458780 LVV458763:LVV458780 MFR458763:MFR458780 MPN458763:MPN458780 MZJ458763:MZJ458780 NJF458763:NJF458780 NTB458763:NTB458780 OCX458763:OCX458780 OMT458763:OMT458780 OWP458763:OWP458780 PGL458763:PGL458780 PQH458763:PQH458780 QAD458763:QAD458780 QJZ458763:QJZ458780 QTV458763:QTV458780 RDR458763:RDR458780 RNN458763:RNN458780 RXJ458763:RXJ458780 SHF458763:SHF458780 SRB458763:SRB458780 TAX458763:TAX458780 TKT458763:TKT458780 TUP458763:TUP458780 UEL458763:UEL458780 UOH458763:UOH458780 UYD458763:UYD458780 VHZ458763:VHZ458780 VRV458763:VRV458780 WBR458763:WBR458780 WLN458763:WLN458780 WVJ458763:WVJ458780 B524299:B524316 IX524299:IX524316 ST524299:ST524316 ACP524299:ACP524316 AML524299:AML524316 AWH524299:AWH524316 BGD524299:BGD524316 BPZ524299:BPZ524316 BZV524299:BZV524316 CJR524299:CJR524316 CTN524299:CTN524316 DDJ524299:DDJ524316 DNF524299:DNF524316 DXB524299:DXB524316 EGX524299:EGX524316 EQT524299:EQT524316 FAP524299:FAP524316 FKL524299:FKL524316 FUH524299:FUH524316 GED524299:GED524316 GNZ524299:GNZ524316 GXV524299:GXV524316 HHR524299:HHR524316 HRN524299:HRN524316 IBJ524299:IBJ524316 ILF524299:ILF524316 IVB524299:IVB524316 JEX524299:JEX524316 JOT524299:JOT524316 JYP524299:JYP524316 KIL524299:KIL524316 KSH524299:KSH524316 LCD524299:LCD524316 LLZ524299:LLZ524316 LVV524299:LVV524316 MFR524299:MFR524316 MPN524299:MPN524316 MZJ524299:MZJ524316 NJF524299:NJF524316 NTB524299:NTB524316 OCX524299:OCX524316 OMT524299:OMT524316 OWP524299:OWP524316 PGL524299:PGL524316 PQH524299:PQH524316 QAD524299:QAD524316 QJZ524299:QJZ524316 QTV524299:QTV524316 RDR524299:RDR524316 RNN524299:RNN524316 RXJ524299:RXJ524316 SHF524299:SHF524316 SRB524299:SRB524316 TAX524299:TAX524316 TKT524299:TKT524316 TUP524299:TUP524316 UEL524299:UEL524316 UOH524299:UOH524316 UYD524299:UYD524316 VHZ524299:VHZ524316 VRV524299:VRV524316 WBR524299:WBR524316 WLN524299:WLN524316 WVJ524299:WVJ524316 B589835:B589852 IX589835:IX589852 ST589835:ST589852 ACP589835:ACP589852 AML589835:AML589852 AWH589835:AWH589852 BGD589835:BGD589852 BPZ589835:BPZ589852 BZV589835:BZV589852 CJR589835:CJR589852 CTN589835:CTN589852 DDJ589835:DDJ589852 DNF589835:DNF589852 DXB589835:DXB589852 EGX589835:EGX589852 EQT589835:EQT589852 FAP589835:FAP589852 FKL589835:FKL589852 FUH589835:FUH589852 GED589835:GED589852 GNZ589835:GNZ589852 GXV589835:GXV589852 HHR589835:HHR589852 HRN589835:HRN589852 IBJ589835:IBJ589852 ILF589835:ILF589852 IVB589835:IVB589852 JEX589835:JEX589852 JOT589835:JOT589852 JYP589835:JYP589852 KIL589835:KIL589852 KSH589835:KSH589852 LCD589835:LCD589852 LLZ589835:LLZ589852 LVV589835:LVV589852 MFR589835:MFR589852 MPN589835:MPN589852 MZJ589835:MZJ589852 NJF589835:NJF589852 NTB589835:NTB589852 OCX589835:OCX589852 OMT589835:OMT589852 OWP589835:OWP589852 PGL589835:PGL589852 PQH589835:PQH589852 QAD589835:QAD589852 QJZ589835:QJZ589852 QTV589835:QTV589852 RDR589835:RDR589852 RNN589835:RNN589852 RXJ589835:RXJ589852 SHF589835:SHF589852 SRB589835:SRB589852 TAX589835:TAX589852 TKT589835:TKT589852 TUP589835:TUP589852 UEL589835:UEL589852 UOH589835:UOH589852 UYD589835:UYD589852 VHZ589835:VHZ589852 VRV589835:VRV589852 WBR589835:WBR589852 WLN589835:WLN589852 WVJ589835:WVJ589852 B655371:B655388 IX655371:IX655388 ST655371:ST655388 ACP655371:ACP655388 AML655371:AML655388 AWH655371:AWH655388 BGD655371:BGD655388 BPZ655371:BPZ655388 BZV655371:BZV655388 CJR655371:CJR655388 CTN655371:CTN655388 DDJ655371:DDJ655388 DNF655371:DNF655388 DXB655371:DXB655388 EGX655371:EGX655388 EQT655371:EQT655388 FAP655371:FAP655388 FKL655371:FKL655388 FUH655371:FUH655388 GED655371:GED655388 GNZ655371:GNZ655388 GXV655371:GXV655388 HHR655371:HHR655388 HRN655371:HRN655388 IBJ655371:IBJ655388 ILF655371:ILF655388 IVB655371:IVB655388 JEX655371:JEX655388 JOT655371:JOT655388 JYP655371:JYP655388 KIL655371:KIL655388 KSH655371:KSH655388 LCD655371:LCD655388 LLZ655371:LLZ655388 LVV655371:LVV655388 MFR655371:MFR655388 MPN655371:MPN655388 MZJ655371:MZJ655388 NJF655371:NJF655388 NTB655371:NTB655388 OCX655371:OCX655388 OMT655371:OMT655388 OWP655371:OWP655388 PGL655371:PGL655388 PQH655371:PQH655388 QAD655371:QAD655388 QJZ655371:QJZ655388 QTV655371:QTV655388 RDR655371:RDR655388 RNN655371:RNN655388 RXJ655371:RXJ655388 SHF655371:SHF655388 SRB655371:SRB655388 TAX655371:TAX655388 TKT655371:TKT655388 TUP655371:TUP655388 UEL655371:UEL655388 UOH655371:UOH655388 UYD655371:UYD655388 VHZ655371:VHZ655388 VRV655371:VRV655388 WBR655371:WBR655388 WLN655371:WLN655388 WVJ655371:WVJ655388 B720907:B720924 IX720907:IX720924 ST720907:ST720924 ACP720907:ACP720924 AML720907:AML720924 AWH720907:AWH720924 BGD720907:BGD720924 BPZ720907:BPZ720924 BZV720907:BZV720924 CJR720907:CJR720924 CTN720907:CTN720924 DDJ720907:DDJ720924 DNF720907:DNF720924 DXB720907:DXB720924 EGX720907:EGX720924 EQT720907:EQT720924 FAP720907:FAP720924 FKL720907:FKL720924 FUH720907:FUH720924 GED720907:GED720924 GNZ720907:GNZ720924 GXV720907:GXV720924 HHR720907:HHR720924 HRN720907:HRN720924 IBJ720907:IBJ720924 ILF720907:ILF720924 IVB720907:IVB720924 JEX720907:JEX720924 JOT720907:JOT720924 JYP720907:JYP720924 KIL720907:KIL720924 KSH720907:KSH720924 LCD720907:LCD720924 LLZ720907:LLZ720924 LVV720907:LVV720924 MFR720907:MFR720924 MPN720907:MPN720924 MZJ720907:MZJ720924 NJF720907:NJF720924 NTB720907:NTB720924 OCX720907:OCX720924 OMT720907:OMT720924 OWP720907:OWP720924 PGL720907:PGL720924 PQH720907:PQH720924 QAD720907:QAD720924 QJZ720907:QJZ720924 QTV720907:QTV720924 RDR720907:RDR720924 RNN720907:RNN720924 RXJ720907:RXJ720924 SHF720907:SHF720924 SRB720907:SRB720924 TAX720907:TAX720924 TKT720907:TKT720924 TUP720907:TUP720924 UEL720907:UEL720924 UOH720907:UOH720924 UYD720907:UYD720924 VHZ720907:VHZ720924 VRV720907:VRV720924 WBR720907:WBR720924 WLN720907:WLN720924 WVJ720907:WVJ720924 B786443:B786460 IX786443:IX786460 ST786443:ST786460 ACP786443:ACP786460 AML786443:AML786460 AWH786443:AWH786460 BGD786443:BGD786460 BPZ786443:BPZ786460 BZV786443:BZV786460 CJR786443:CJR786460 CTN786443:CTN786460 DDJ786443:DDJ786460 DNF786443:DNF786460 DXB786443:DXB786460 EGX786443:EGX786460 EQT786443:EQT786460 FAP786443:FAP786460 FKL786443:FKL786460 FUH786443:FUH786460 GED786443:GED786460 GNZ786443:GNZ786460 GXV786443:GXV786460 HHR786443:HHR786460 HRN786443:HRN786460 IBJ786443:IBJ786460 ILF786443:ILF786460 IVB786443:IVB786460 JEX786443:JEX786460 JOT786443:JOT786460 JYP786443:JYP786460 KIL786443:KIL786460 KSH786443:KSH786460 LCD786443:LCD786460 LLZ786443:LLZ786460 LVV786443:LVV786460 MFR786443:MFR786460 MPN786443:MPN786460 MZJ786443:MZJ786460 NJF786443:NJF786460 NTB786443:NTB786460 OCX786443:OCX786460 OMT786443:OMT786460 OWP786443:OWP786460 PGL786443:PGL786460 PQH786443:PQH786460 QAD786443:QAD786460 QJZ786443:QJZ786460 QTV786443:QTV786460 RDR786443:RDR786460 RNN786443:RNN786460 RXJ786443:RXJ786460 SHF786443:SHF786460 SRB786443:SRB786460 TAX786443:TAX786460 TKT786443:TKT786460 TUP786443:TUP786460 UEL786443:UEL786460 UOH786443:UOH786460 UYD786443:UYD786460 VHZ786443:VHZ786460 VRV786443:VRV786460 WBR786443:WBR786460 WLN786443:WLN786460 WVJ786443:WVJ786460 B851979:B851996 IX851979:IX851996 ST851979:ST851996 ACP851979:ACP851996 AML851979:AML851996 AWH851979:AWH851996 BGD851979:BGD851996 BPZ851979:BPZ851996 BZV851979:BZV851996 CJR851979:CJR851996 CTN851979:CTN851996 DDJ851979:DDJ851996 DNF851979:DNF851996 DXB851979:DXB851996 EGX851979:EGX851996 EQT851979:EQT851996 FAP851979:FAP851996 FKL851979:FKL851996 FUH851979:FUH851996 GED851979:GED851996 GNZ851979:GNZ851996 GXV851979:GXV851996 HHR851979:HHR851996 HRN851979:HRN851996 IBJ851979:IBJ851996 ILF851979:ILF851996 IVB851979:IVB851996 JEX851979:JEX851996 JOT851979:JOT851996 JYP851979:JYP851996 KIL851979:KIL851996 KSH851979:KSH851996 LCD851979:LCD851996 LLZ851979:LLZ851996 LVV851979:LVV851996 MFR851979:MFR851996 MPN851979:MPN851996 MZJ851979:MZJ851996 NJF851979:NJF851996 NTB851979:NTB851996 OCX851979:OCX851996 OMT851979:OMT851996 OWP851979:OWP851996 PGL851979:PGL851996 PQH851979:PQH851996 QAD851979:QAD851996 QJZ851979:QJZ851996 QTV851979:QTV851996 RDR851979:RDR851996 RNN851979:RNN851996 RXJ851979:RXJ851996 SHF851979:SHF851996 SRB851979:SRB851996 TAX851979:TAX851996 TKT851979:TKT851996 TUP851979:TUP851996 UEL851979:UEL851996 UOH851979:UOH851996 UYD851979:UYD851996 VHZ851979:VHZ851996 VRV851979:VRV851996 WBR851979:WBR851996 WLN851979:WLN851996 WVJ851979:WVJ851996 B917515:B917532 IX917515:IX917532 ST917515:ST917532 ACP917515:ACP917532 AML917515:AML917532 AWH917515:AWH917532 BGD917515:BGD917532 BPZ917515:BPZ917532 BZV917515:BZV917532 CJR917515:CJR917532 CTN917515:CTN917532 DDJ917515:DDJ917532 DNF917515:DNF917532 DXB917515:DXB917532 EGX917515:EGX917532 EQT917515:EQT917532 FAP917515:FAP917532 FKL917515:FKL917532 FUH917515:FUH917532 GED917515:GED917532 GNZ917515:GNZ917532 GXV917515:GXV917532 HHR917515:HHR917532 HRN917515:HRN917532 IBJ917515:IBJ917532 ILF917515:ILF917532 IVB917515:IVB917532 JEX917515:JEX917532 JOT917515:JOT917532 JYP917515:JYP917532 KIL917515:KIL917532 KSH917515:KSH917532 LCD917515:LCD917532 LLZ917515:LLZ917532 LVV917515:LVV917532 MFR917515:MFR917532 MPN917515:MPN917532 MZJ917515:MZJ917532 NJF917515:NJF917532 NTB917515:NTB917532 OCX917515:OCX917532 OMT917515:OMT917532 OWP917515:OWP917532 PGL917515:PGL917532 PQH917515:PQH917532 QAD917515:QAD917532 QJZ917515:QJZ917532 QTV917515:QTV917532 RDR917515:RDR917532 RNN917515:RNN917532 RXJ917515:RXJ917532 SHF917515:SHF917532 SRB917515:SRB917532 TAX917515:TAX917532 TKT917515:TKT917532 TUP917515:TUP917532 UEL917515:UEL917532 UOH917515:UOH917532 UYD917515:UYD917532 VHZ917515:VHZ917532 VRV917515:VRV917532 WBR917515:WBR917532 WLN917515:WLN917532 WVJ917515:WVJ917532" xr:uid="{00000000-0002-0000-0600-000000000000}">
      <formula1>trung</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H309"/>
  <sheetViews>
    <sheetView topLeftCell="A25"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9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17" customFormat="1" ht="16.8">
      <c r="A1" s="443" t="s">
        <v>1737</v>
      </c>
      <c r="B1" s="444"/>
      <c r="C1" s="445" t="s">
        <v>56</v>
      </c>
      <c r="D1" s="445"/>
      <c r="E1" s="445"/>
      <c r="F1" s="445"/>
      <c r="G1" s="445"/>
      <c r="H1" s="445"/>
    </row>
    <row r="2" spans="1:8" s="17" customFormat="1" ht="15.6">
      <c r="A2" s="445" t="s">
        <v>67</v>
      </c>
      <c r="B2" s="412"/>
      <c r="C2" s="445" t="s">
        <v>13</v>
      </c>
      <c r="D2" s="445"/>
      <c r="E2" s="445"/>
      <c r="F2" s="445"/>
      <c r="G2" s="445"/>
      <c r="H2" s="445"/>
    </row>
    <row r="3" spans="1:8" s="17" customFormat="1" ht="17.399999999999999">
      <c r="A3" s="418" t="s">
        <v>1738</v>
      </c>
      <c r="B3" s="418"/>
      <c r="C3" s="202"/>
      <c r="D3" s="203"/>
      <c r="E3" s="204"/>
      <c r="F3" s="205"/>
      <c r="G3" s="206"/>
      <c r="H3" s="103"/>
    </row>
    <row r="4" spans="1:8" s="17" customFormat="1" ht="15.6">
      <c r="A4" s="443"/>
      <c r="B4" s="443"/>
      <c r="C4" s="415" t="s">
        <v>1740</v>
      </c>
      <c r="D4" s="415"/>
      <c r="E4" s="415"/>
      <c r="F4" s="415"/>
      <c r="G4" s="415"/>
      <c r="H4" s="415"/>
    </row>
    <row r="5" spans="1:8" s="17" customFormat="1" ht="15.6">
      <c r="A5" s="207"/>
      <c r="B5" s="207"/>
      <c r="C5" s="208"/>
      <c r="D5" s="209"/>
      <c r="E5" s="210"/>
      <c r="F5" s="208"/>
      <c r="G5" s="206"/>
      <c r="H5" s="211"/>
    </row>
    <row r="6" spans="1:8" s="17" customFormat="1" ht="17.399999999999999">
      <c r="A6" s="441" t="s">
        <v>14</v>
      </c>
      <c r="B6" s="441"/>
      <c r="C6" s="441"/>
      <c r="D6" s="441"/>
      <c r="E6" s="441"/>
      <c r="F6" s="441"/>
      <c r="G6" s="441"/>
      <c r="H6" s="441"/>
    </row>
    <row r="7" spans="1:8" s="17" customFormat="1" ht="15.6">
      <c r="A7" s="418" t="s">
        <v>1739</v>
      </c>
      <c r="B7" s="418"/>
      <c r="C7" s="418"/>
      <c r="D7" s="418"/>
      <c r="E7" s="418"/>
      <c r="F7" s="418"/>
      <c r="G7" s="418"/>
      <c r="H7" s="418"/>
    </row>
    <row r="8" spans="1:8" s="17" customFormat="1" ht="16.8">
      <c r="A8" s="420" t="s">
        <v>2479</v>
      </c>
      <c r="B8" s="420"/>
      <c r="C8" s="420"/>
      <c r="D8" s="420"/>
      <c r="E8" s="420"/>
      <c r="F8" s="420"/>
      <c r="G8" s="420"/>
      <c r="H8" s="420"/>
    </row>
    <row r="9" spans="1:8" s="17" customFormat="1" ht="16.8">
      <c r="A9" s="420" t="s">
        <v>2358</v>
      </c>
      <c r="B9" s="420"/>
      <c r="C9" s="420"/>
      <c r="D9" s="420"/>
      <c r="E9" s="420"/>
      <c r="F9" s="420"/>
      <c r="G9" s="420"/>
      <c r="H9" s="420"/>
    </row>
    <row r="10" spans="1:8" s="17" customFormat="1" ht="16.8">
      <c r="A10" s="421" t="s">
        <v>1741</v>
      </c>
      <c r="B10" s="421"/>
      <c r="C10" s="421"/>
      <c r="D10" s="421"/>
      <c r="E10" s="421"/>
      <c r="F10" s="421"/>
      <c r="G10" s="421"/>
      <c r="H10" s="421"/>
    </row>
    <row r="11" spans="1:8" s="17" customFormat="1" ht="16.8">
      <c r="A11" s="442" t="s">
        <v>1723</v>
      </c>
      <c r="B11" s="442"/>
      <c r="C11" s="442"/>
      <c r="D11" s="442"/>
      <c r="E11" s="442"/>
      <c r="F11" s="442"/>
      <c r="G11" s="442"/>
      <c r="H11" s="442"/>
    </row>
    <row r="12" spans="1:8" s="97" customFormat="1" ht="41.4">
      <c r="A12" s="90" t="s">
        <v>15</v>
      </c>
      <c r="B12" s="90" t="s">
        <v>57</v>
      </c>
      <c r="C12" s="90" t="s">
        <v>58</v>
      </c>
      <c r="D12" s="91" t="s">
        <v>59</v>
      </c>
      <c r="E12" s="92" t="s">
        <v>20</v>
      </c>
      <c r="F12" s="93" t="s">
        <v>60</v>
      </c>
      <c r="G12" s="92" t="s">
        <v>61</v>
      </c>
      <c r="H12" s="90" t="s">
        <v>16</v>
      </c>
    </row>
    <row r="13" spans="1:8" s="17" customFormat="1" ht="15.6">
      <c r="A13" s="96" t="s">
        <v>17</v>
      </c>
      <c r="B13" s="425" t="s">
        <v>2480</v>
      </c>
      <c r="C13" s="425"/>
      <c r="D13" s="425"/>
      <c r="E13" s="425"/>
      <c r="F13" s="425"/>
      <c r="G13" s="73">
        <f>G14</f>
        <v>4040000</v>
      </c>
      <c r="H13" s="74"/>
    </row>
    <row r="14" spans="1:8" s="12" customFormat="1" ht="93.6">
      <c r="A14" s="212"/>
      <c r="B14" s="226" t="s">
        <v>2388</v>
      </c>
      <c r="C14" s="220" t="s">
        <v>2120</v>
      </c>
      <c r="D14" s="221">
        <v>101</v>
      </c>
      <c r="E14" s="222">
        <v>80000</v>
      </c>
      <c r="F14" s="306">
        <v>0.5</v>
      </c>
      <c r="G14" s="225">
        <f>D14*E14*F14</f>
        <v>4040000</v>
      </c>
      <c r="H14" s="216"/>
    </row>
    <row r="15" spans="1:8" s="17" customFormat="1" ht="16.8">
      <c r="A15" s="75" t="s">
        <v>18</v>
      </c>
      <c r="B15" s="426" t="s">
        <v>1725</v>
      </c>
      <c r="C15" s="426"/>
      <c r="D15" s="426"/>
      <c r="E15" s="426"/>
      <c r="F15" s="426"/>
      <c r="G15" s="76">
        <f>SUM(G16:G35)</f>
        <v>117960164.83597334</v>
      </c>
      <c r="H15" s="11"/>
    </row>
    <row r="16" spans="1:8" s="17" customFormat="1" ht="31.2">
      <c r="A16" s="77">
        <v>1</v>
      </c>
      <c r="B16" s="78" t="s">
        <v>2481</v>
      </c>
      <c r="C16" s="14" t="s">
        <v>66</v>
      </c>
      <c r="D16" s="132">
        <f>(6.2*2.9)</f>
        <v>17.98</v>
      </c>
      <c r="E16" s="15">
        <v>379477</v>
      </c>
      <c r="F16" s="187">
        <v>0.2</v>
      </c>
      <c r="G16" s="79">
        <f t="shared" ref="G16:G35" si="0">D16*E16*F16</f>
        <v>1364599.2920000001</v>
      </c>
      <c r="H16" s="15"/>
    </row>
    <row r="17" spans="1:8" s="17" customFormat="1" ht="62.4">
      <c r="A17" s="77">
        <v>2</v>
      </c>
      <c r="B17" s="78" t="s">
        <v>2482</v>
      </c>
      <c r="C17" s="14" t="s">
        <v>1755</v>
      </c>
      <c r="D17" s="132">
        <f>(6.65/6)*2.3*4</f>
        <v>10.196666666666667</v>
      </c>
      <c r="E17" s="15">
        <v>19900</v>
      </c>
      <c r="F17" s="187">
        <v>0.2</v>
      </c>
      <c r="G17" s="79">
        <f t="shared" si="0"/>
        <v>40582.733333333337</v>
      </c>
      <c r="H17" s="15"/>
    </row>
    <row r="18" spans="1:8" s="17" customFormat="1" ht="15.6">
      <c r="A18" s="77">
        <v>3</v>
      </c>
      <c r="B18" s="78" t="s">
        <v>2483</v>
      </c>
      <c r="C18" s="14" t="s">
        <v>1754</v>
      </c>
      <c r="D18" s="132">
        <f>13.3*2.4*0.1</f>
        <v>3.1920000000000002</v>
      </c>
      <c r="E18" s="15">
        <v>1629758</v>
      </c>
      <c r="F18" s="187">
        <v>0.2</v>
      </c>
      <c r="G18" s="79">
        <f t="shared" si="0"/>
        <v>1040437.5072000001</v>
      </c>
      <c r="H18" s="15"/>
    </row>
    <row r="19" spans="1:8" s="17" customFormat="1" ht="31.2">
      <c r="A19" s="77">
        <v>4</v>
      </c>
      <c r="B19" s="78" t="s">
        <v>2484</v>
      </c>
      <c r="C19" s="14" t="s">
        <v>66</v>
      </c>
      <c r="D19" s="132">
        <f>0.8*(8+4.6+9.3)</f>
        <v>17.52</v>
      </c>
      <c r="E19" s="15">
        <v>507361</v>
      </c>
      <c r="F19" s="187">
        <v>0.2</v>
      </c>
      <c r="G19" s="79">
        <f t="shared" si="0"/>
        <v>1777792.9440000001</v>
      </c>
      <c r="H19" s="15"/>
    </row>
    <row r="20" spans="1:8" s="17" customFormat="1" ht="78">
      <c r="A20" s="77">
        <v>5</v>
      </c>
      <c r="B20" s="78" t="s">
        <v>2485</v>
      </c>
      <c r="C20" s="14" t="s">
        <v>66</v>
      </c>
      <c r="D20" s="132">
        <f>19.9*8</f>
        <v>159.19999999999999</v>
      </c>
      <c r="E20" s="15">
        <v>1805209</v>
      </c>
      <c r="F20" s="187">
        <v>0.2</v>
      </c>
      <c r="G20" s="79">
        <f t="shared" si="0"/>
        <v>57477854.559999995</v>
      </c>
      <c r="H20" s="15"/>
    </row>
    <row r="21" spans="1:8" s="17" customFormat="1" ht="31.2">
      <c r="A21" s="77" t="s">
        <v>1761</v>
      </c>
      <c r="B21" s="78" t="s">
        <v>2486</v>
      </c>
      <c r="C21" s="14" t="s">
        <v>66</v>
      </c>
      <c r="D21" s="132">
        <f>4.7*2.45+3.2*2.45</f>
        <v>19.355</v>
      </c>
      <c r="E21" s="15">
        <v>505745</v>
      </c>
      <c r="F21" s="187">
        <v>0.2</v>
      </c>
      <c r="G21" s="79">
        <f t="shared" si="0"/>
        <v>1957738.895</v>
      </c>
      <c r="H21" s="15"/>
    </row>
    <row r="22" spans="1:8" s="17" customFormat="1" ht="62.4">
      <c r="A22" s="77" t="s">
        <v>1761</v>
      </c>
      <c r="B22" s="78" t="s">
        <v>2487</v>
      </c>
      <c r="C22" s="14" t="s">
        <v>1755</v>
      </c>
      <c r="D22" s="132">
        <f>(11.98/6)*2.45*9+3.2*8</f>
        <v>69.626500000000021</v>
      </c>
      <c r="E22" s="15">
        <v>19900</v>
      </c>
      <c r="F22" s="187">
        <v>0.2</v>
      </c>
      <c r="G22" s="79">
        <f t="shared" si="0"/>
        <v>277113.47000000009</v>
      </c>
      <c r="H22" s="15"/>
    </row>
    <row r="23" spans="1:8" s="17" customFormat="1" ht="15.6">
      <c r="A23" s="77" t="s">
        <v>1761</v>
      </c>
      <c r="B23" s="78" t="s">
        <v>2488</v>
      </c>
      <c r="C23" s="14" t="s">
        <v>66</v>
      </c>
      <c r="D23" s="132">
        <f>3.2*4.7</f>
        <v>15.040000000000001</v>
      </c>
      <c r="E23" s="15">
        <v>488333</v>
      </c>
      <c r="F23" s="187">
        <v>0.2</v>
      </c>
      <c r="G23" s="79">
        <f t="shared" si="0"/>
        <v>1468905.6640000001</v>
      </c>
      <c r="H23" s="15"/>
    </row>
    <row r="24" spans="1:8" s="17" customFormat="1" ht="15.6">
      <c r="A24" s="77" t="s">
        <v>1761</v>
      </c>
      <c r="B24" s="78" t="s">
        <v>2489</v>
      </c>
      <c r="C24" s="14" t="s">
        <v>2026</v>
      </c>
      <c r="D24" s="132">
        <v>1</v>
      </c>
      <c r="E24" s="15">
        <f>198068+527872</f>
        <v>725940</v>
      </c>
      <c r="F24" s="187">
        <v>1</v>
      </c>
      <c r="G24" s="79">
        <f t="shared" si="0"/>
        <v>725940</v>
      </c>
      <c r="H24" s="15"/>
    </row>
    <row r="25" spans="1:8" s="17" customFormat="1" ht="15.6">
      <c r="A25" s="77" t="s">
        <v>1761</v>
      </c>
      <c r="B25" s="78" t="s">
        <v>2395</v>
      </c>
      <c r="C25" s="14" t="s">
        <v>2026</v>
      </c>
      <c r="D25" s="132">
        <v>2</v>
      </c>
      <c r="E25" s="15">
        <v>150000</v>
      </c>
      <c r="F25" s="187">
        <v>1</v>
      </c>
      <c r="G25" s="79">
        <f t="shared" si="0"/>
        <v>300000</v>
      </c>
      <c r="H25" s="15"/>
    </row>
    <row r="26" spans="1:8" s="17" customFormat="1" ht="31.2">
      <c r="A26" s="77" t="s">
        <v>1761</v>
      </c>
      <c r="B26" s="78" t="s">
        <v>2490</v>
      </c>
      <c r="C26" s="14" t="s">
        <v>1754</v>
      </c>
      <c r="D26" s="132">
        <f>0.15*0.15*1.5*9</f>
        <v>0.30375000000000002</v>
      </c>
      <c r="E26" s="15">
        <v>7050138</v>
      </c>
      <c r="F26" s="187">
        <v>0.2</v>
      </c>
      <c r="G26" s="79">
        <f t="shared" si="0"/>
        <v>428295.8835</v>
      </c>
      <c r="H26" s="15"/>
    </row>
    <row r="27" spans="1:8" s="17" customFormat="1" ht="15.6">
      <c r="A27" s="77" t="s">
        <v>1761</v>
      </c>
      <c r="B27" s="78" t="s">
        <v>2491</v>
      </c>
      <c r="C27" s="14" t="s">
        <v>66</v>
      </c>
      <c r="D27" s="132">
        <f>19.7*1.5</f>
        <v>29.549999999999997</v>
      </c>
      <c r="E27" s="15">
        <v>214934</v>
      </c>
      <c r="F27" s="187">
        <v>0.2</v>
      </c>
      <c r="G27" s="79">
        <f t="shared" si="0"/>
        <v>1270259.94</v>
      </c>
      <c r="H27" s="15"/>
    </row>
    <row r="28" spans="1:8" s="17" customFormat="1" ht="62.4">
      <c r="A28" s="77">
        <v>6</v>
      </c>
      <c r="B28" s="78" t="s">
        <v>2492</v>
      </c>
      <c r="C28" s="14" t="s">
        <v>66</v>
      </c>
      <c r="D28" s="132">
        <f>13.9*7.9</f>
        <v>109.81</v>
      </c>
      <c r="E28" s="15">
        <v>1805209</v>
      </c>
      <c r="F28" s="187">
        <v>0.2</v>
      </c>
      <c r="G28" s="79">
        <f t="shared" si="0"/>
        <v>39646000.057999998</v>
      </c>
      <c r="H28" s="15"/>
    </row>
    <row r="29" spans="1:8" s="17" customFormat="1" ht="31.2">
      <c r="A29" s="77" t="s">
        <v>1761</v>
      </c>
      <c r="B29" s="78" t="s">
        <v>2493</v>
      </c>
      <c r="C29" s="14" t="s">
        <v>66</v>
      </c>
      <c r="D29" s="132">
        <f>1.1*13.9+0.8*3.75+0.8*4</f>
        <v>21.49</v>
      </c>
      <c r="E29" s="15">
        <v>214934</v>
      </c>
      <c r="F29" s="187">
        <v>0.2</v>
      </c>
      <c r="G29" s="79">
        <f t="shared" si="0"/>
        <v>923786.33199999994</v>
      </c>
      <c r="H29" s="15"/>
    </row>
    <row r="30" spans="1:8" s="17" customFormat="1" ht="46.8">
      <c r="A30" s="77" t="s">
        <v>1761</v>
      </c>
      <c r="B30" s="78" t="s">
        <v>2494</v>
      </c>
      <c r="C30" s="14" t="s">
        <v>66</v>
      </c>
      <c r="D30" s="132">
        <f>3.75*(13.9-1.7)+(1.1*1.7)+(5.5*1.9)+(1.9*5.4)</f>
        <v>68.330000000000013</v>
      </c>
      <c r="E30" s="15">
        <v>550000</v>
      </c>
      <c r="F30" s="187">
        <v>0.2</v>
      </c>
      <c r="G30" s="79">
        <f t="shared" si="0"/>
        <v>7516300.0000000019</v>
      </c>
      <c r="H30" s="15"/>
    </row>
    <row r="31" spans="1:8" s="17" customFormat="1" ht="46.8">
      <c r="A31" s="77" t="s">
        <v>1761</v>
      </c>
      <c r="B31" s="78" t="s">
        <v>2495</v>
      </c>
      <c r="C31" s="14" t="s">
        <v>1755</v>
      </c>
      <c r="D31" s="132">
        <f>(15.47/6)*3*8</f>
        <v>61.88000000000001</v>
      </c>
      <c r="E31" s="15">
        <v>19900</v>
      </c>
      <c r="F31" s="187">
        <v>0.2</v>
      </c>
      <c r="G31" s="79">
        <f t="shared" si="0"/>
        <v>246282.40000000005</v>
      </c>
      <c r="H31" s="15"/>
    </row>
    <row r="32" spans="1:8" s="17" customFormat="1" ht="46.8">
      <c r="A32" s="77" t="s">
        <v>1761</v>
      </c>
      <c r="B32" s="78" t="s">
        <v>2496</v>
      </c>
      <c r="C32" s="14" t="s">
        <v>1754</v>
      </c>
      <c r="D32" s="132">
        <f>(1.7*2+2*1.5-1.7*0.7+1.2*(1.7+1.7))*0.11</f>
        <v>1.0219</v>
      </c>
      <c r="E32" s="15">
        <v>2126713</v>
      </c>
      <c r="F32" s="187">
        <v>0.2</v>
      </c>
      <c r="G32" s="79">
        <f t="shared" si="0"/>
        <v>434657.60294000007</v>
      </c>
      <c r="H32" s="15"/>
    </row>
    <row r="33" spans="1:8" s="17" customFormat="1" ht="31.2">
      <c r="A33" s="77"/>
      <c r="B33" s="78" t="s">
        <v>2497</v>
      </c>
      <c r="C33" s="14" t="s">
        <v>66</v>
      </c>
      <c r="D33" s="132">
        <f>(1.7*2+2*1.5-1.7*0.7+1.2*(1.7+1.7))*2</f>
        <v>18.580000000000002</v>
      </c>
      <c r="E33" s="79">
        <f>(141099+105359)/2</f>
        <v>123229</v>
      </c>
      <c r="F33" s="187">
        <v>0.2</v>
      </c>
      <c r="G33" s="79">
        <f t="shared" si="0"/>
        <v>457918.96400000009</v>
      </c>
      <c r="H33" s="15"/>
    </row>
    <row r="34" spans="1:8" s="17" customFormat="1" ht="15.6">
      <c r="A34" s="77" t="s">
        <v>1761</v>
      </c>
      <c r="B34" s="78" t="s">
        <v>2498</v>
      </c>
      <c r="C34" s="14" t="s">
        <v>66</v>
      </c>
      <c r="D34" s="132">
        <f>1.5*1.7</f>
        <v>2.5499999999999998</v>
      </c>
      <c r="E34" s="15">
        <v>240469</v>
      </c>
      <c r="F34" s="187">
        <v>0.2</v>
      </c>
      <c r="G34" s="79">
        <f t="shared" si="0"/>
        <v>122639.19</v>
      </c>
      <c r="H34" s="15"/>
    </row>
    <row r="35" spans="1:8" s="17" customFormat="1" ht="15.6">
      <c r="A35" s="77" t="s">
        <v>1761</v>
      </c>
      <c r="B35" s="78" t="s">
        <v>2499</v>
      </c>
      <c r="C35" s="14" t="s">
        <v>2026</v>
      </c>
      <c r="D35" s="132">
        <v>1</v>
      </c>
      <c r="E35" s="15">
        <v>2415297</v>
      </c>
      <c r="F35" s="187">
        <v>0.2</v>
      </c>
      <c r="G35" s="79">
        <f t="shared" si="0"/>
        <v>483059.4</v>
      </c>
      <c r="H35" s="15"/>
    </row>
    <row r="36" spans="1:8" s="17" customFormat="1" ht="16.8">
      <c r="A36" s="75" t="s">
        <v>19</v>
      </c>
      <c r="B36" s="426" t="s">
        <v>1727</v>
      </c>
      <c r="C36" s="426"/>
      <c r="D36" s="426"/>
      <c r="E36" s="426"/>
      <c r="F36" s="426"/>
      <c r="G36" s="76">
        <f>SUM(G37:G38)</f>
        <v>717250</v>
      </c>
      <c r="H36" s="11"/>
    </row>
    <row r="37" spans="1:8" s="12" customFormat="1" ht="15.6">
      <c r="A37" s="94">
        <v>1</v>
      </c>
      <c r="B37" s="13" t="s">
        <v>24</v>
      </c>
      <c r="C37" s="14" t="s">
        <v>66</v>
      </c>
      <c r="D37" s="14">
        <f>11*8</f>
        <v>88</v>
      </c>
      <c r="E37" s="79">
        <f>VLOOKUP(B37,'[20]Đơn giá cây cối'!$A$2:$C$1361,3,0)</f>
        <v>22000</v>
      </c>
      <c r="F37" s="132">
        <v>0.25</v>
      </c>
      <c r="G37" s="79">
        <f t="shared" ref="G37:G38" si="1">D37*E37*F37</f>
        <v>484000</v>
      </c>
      <c r="H37" s="95"/>
    </row>
    <row r="38" spans="1:8" s="12" customFormat="1" ht="31.2">
      <c r="A38" s="94">
        <v>2</v>
      </c>
      <c r="B38" s="13" t="s">
        <v>819</v>
      </c>
      <c r="C38" s="14" t="s">
        <v>1724</v>
      </c>
      <c r="D38" s="14">
        <v>1</v>
      </c>
      <c r="E38" s="79" t="str">
        <f>VLOOKUP(B38,'[20]Đơn giá cây cối'!$A$2:$C$1361,3,0)</f>
        <v>933.000</v>
      </c>
      <c r="F38" s="132">
        <v>0.25</v>
      </c>
      <c r="G38" s="79">
        <f t="shared" si="1"/>
        <v>233250</v>
      </c>
      <c r="H38" s="95"/>
    </row>
    <row r="39" spans="1:8" s="17" customFormat="1" ht="15.6">
      <c r="A39" s="80"/>
      <c r="B39" s="427" t="s">
        <v>62</v>
      </c>
      <c r="C39" s="428"/>
      <c r="D39" s="428"/>
      <c r="E39" s="428"/>
      <c r="F39" s="429"/>
      <c r="G39" s="81">
        <f>G13+G15+G36</f>
        <v>122717414.83597334</v>
      </c>
      <c r="H39" s="82"/>
    </row>
    <row r="40" spans="1:8" s="17" customFormat="1" ht="15.6">
      <c r="A40" s="80"/>
      <c r="B40" s="427" t="s">
        <v>1726</v>
      </c>
      <c r="C40" s="428"/>
      <c r="D40" s="428"/>
      <c r="E40" s="428"/>
      <c r="F40" s="429"/>
      <c r="G40" s="81">
        <f>ROUND(G39,-3)</f>
        <v>122717000</v>
      </c>
      <c r="H40" s="82"/>
    </row>
    <row r="41" spans="1:8" s="17" customFormat="1" ht="15.6">
      <c r="A41" s="430" t="str">
        <f>[18]!uni(G40)</f>
        <v xml:space="preserve">Một trăm hai mươi hai triệu bảy trăm mười bảy nghìn đồng </v>
      </c>
      <c r="B41" s="431"/>
      <c r="C41" s="431"/>
      <c r="D41" s="431"/>
      <c r="E41" s="431"/>
      <c r="F41" s="431"/>
      <c r="G41" s="431"/>
      <c r="H41" s="432"/>
    </row>
    <row r="42" spans="1:8" s="17" customFormat="1">
      <c r="C42" s="97"/>
      <c r="D42" s="20"/>
      <c r="E42" s="19"/>
      <c r="F42" s="97"/>
      <c r="G42" s="19"/>
    </row>
    <row r="43" spans="1:8" s="293" customFormat="1" ht="15.6">
      <c r="A43" s="108"/>
      <c r="B43" s="108"/>
      <c r="C43" s="424" t="s">
        <v>1742</v>
      </c>
      <c r="D43" s="424"/>
      <c r="E43" s="424"/>
      <c r="F43" s="424"/>
      <c r="G43" s="424"/>
      <c r="H43" s="424"/>
    </row>
    <row r="44" spans="1:8" s="293" customFormat="1" ht="15.6">
      <c r="A44" s="423" t="s">
        <v>63</v>
      </c>
      <c r="B44" s="423"/>
      <c r="C44" s="424" t="s">
        <v>1743</v>
      </c>
      <c r="D44" s="424"/>
      <c r="E44" s="424"/>
      <c r="F44" s="424" t="s">
        <v>1744</v>
      </c>
      <c r="G44" s="424"/>
      <c r="H44" s="424"/>
    </row>
    <row r="45" spans="1:8" s="293" customFormat="1" ht="15.6">
      <c r="A45" s="108"/>
      <c r="B45" s="108"/>
      <c r="C45" s="108"/>
      <c r="D45" s="110"/>
      <c r="E45" s="111"/>
      <c r="F45" s="112"/>
      <c r="G45" s="111"/>
      <c r="H45" s="113"/>
    </row>
    <row r="46" spans="1:8" s="293" customFormat="1" ht="15.6">
      <c r="A46" s="108"/>
      <c r="B46" s="108"/>
      <c r="C46" s="108"/>
      <c r="D46" s="110"/>
      <c r="E46" s="111"/>
      <c r="F46" s="112"/>
      <c r="G46" s="114"/>
      <c r="H46" s="113"/>
    </row>
    <row r="47" spans="1:8" s="293" customFormat="1" ht="15.6">
      <c r="A47" s="108"/>
      <c r="B47" s="108"/>
      <c r="C47" s="108"/>
      <c r="D47" s="110"/>
      <c r="E47" s="111"/>
      <c r="F47" s="112"/>
      <c r="G47" s="111"/>
      <c r="H47" s="113"/>
    </row>
    <row r="48" spans="1:8" s="293" customFormat="1" ht="15.6">
      <c r="A48" s="108"/>
      <c r="B48" s="108"/>
      <c r="C48" s="108"/>
      <c r="D48" s="110"/>
      <c r="E48" s="111"/>
      <c r="F48" s="112"/>
      <c r="G48" s="111"/>
      <c r="H48" s="113"/>
    </row>
    <row r="49" spans="1:8" s="293" customFormat="1" ht="15.6">
      <c r="A49" s="108"/>
      <c r="B49" s="108"/>
      <c r="C49" s="108"/>
      <c r="D49" s="110"/>
      <c r="E49" s="111"/>
      <c r="F49" s="112"/>
      <c r="G49" s="111"/>
      <c r="H49" s="113"/>
    </row>
    <row r="50" spans="1:8" s="293" customFormat="1" ht="15.6">
      <c r="A50" s="108"/>
      <c r="B50" s="198" t="s">
        <v>64</v>
      </c>
      <c r="C50" s="424"/>
      <c r="D50" s="424"/>
      <c r="E50" s="424"/>
      <c r="F50" s="424" t="s">
        <v>1745</v>
      </c>
      <c r="G50" s="424"/>
      <c r="H50" s="424"/>
    </row>
    <row r="51" spans="1:8" s="293" customFormat="1" ht="15.6">
      <c r="A51" s="108"/>
      <c r="B51" s="198"/>
      <c r="C51" s="199"/>
      <c r="D51" s="199"/>
      <c r="E51" s="199"/>
      <c r="F51" s="199"/>
      <c r="G51" s="199"/>
      <c r="H51" s="199"/>
    </row>
    <row r="52" spans="1:8" s="293" customFormat="1" ht="15.6">
      <c r="A52" s="424" t="s">
        <v>1746</v>
      </c>
      <c r="B52" s="424"/>
      <c r="C52" s="424"/>
      <c r="D52" s="424"/>
      <c r="E52" s="424" t="s">
        <v>1747</v>
      </c>
      <c r="F52" s="424"/>
      <c r="G52" s="424"/>
      <c r="H52" s="424"/>
    </row>
    <row r="53" spans="1:8" s="293" customFormat="1" ht="15.6">
      <c r="A53" s="424" t="s">
        <v>1748</v>
      </c>
      <c r="B53" s="424"/>
      <c r="C53" s="424"/>
      <c r="D53" s="424"/>
      <c r="E53" s="424" t="s">
        <v>65</v>
      </c>
      <c r="F53" s="424"/>
      <c r="G53" s="424"/>
      <c r="H53" s="424"/>
    </row>
    <row r="54" spans="1:8" s="293" customFormat="1" ht="15.6">
      <c r="A54" s="108"/>
      <c r="B54" s="108"/>
      <c r="C54" s="108"/>
      <c r="D54" s="110"/>
      <c r="E54" s="111"/>
      <c r="F54" s="112"/>
      <c r="G54" s="111"/>
      <c r="H54" s="113"/>
    </row>
    <row r="55" spans="1:8" s="293" customFormat="1" ht="15.6">
      <c r="A55" s="108"/>
      <c r="B55" s="108"/>
      <c r="C55" s="108"/>
      <c r="D55" s="110"/>
      <c r="E55" s="111"/>
      <c r="F55" s="112"/>
      <c r="G55" s="111"/>
      <c r="H55" s="113"/>
    </row>
    <row r="56" spans="1:8" s="293" customFormat="1" ht="15.6">
      <c r="A56" s="108"/>
      <c r="B56" s="108"/>
      <c r="C56" s="108"/>
      <c r="D56" s="110"/>
      <c r="E56" s="111"/>
      <c r="F56" s="112"/>
      <c r="G56" s="111"/>
      <c r="H56" s="113"/>
    </row>
    <row r="57" spans="1:8" s="293" customFormat="1" ht="15.6">
      <c r="A57" s="108"/>
      <c r="B57" s="108"/>
      <c r="C57" s="108"/>
      <c r="D57" s="110"/>
      <c r="E57" s="111"/>
      <c r="F57" s="112"/>
      <c r="G57" s="111"/>
      <c r="H57" s="113"/>
    </row>
    <row r="58" spans="1:8" s="293" customFormat="1" ht="15.6">
      <c r="A58" s="108"/>
      <c r="B58" s="108"/>
      <c r="C58" s="108"/>
      <c r="D58" s="110"/>
      <c r="E58" s="111"/>
      <c r="F58" s="112"/>
      <c r="G58" s="111"/>
      <c r="H58" s="113"/>
    </row>
    <row r="59" spans="1:8" s="293" customFormat="1" ht="15.6">
      <c r="A59" s="108"/>
      <c r="B59" s="108"/>
      <c r="C59" s="108"/>
      <c r="D59" s="115"/>
      <c r="E59" s="439" t="s">
        <v>1749</v>
      </c>
      <c r="F59" s="439"/>
      <c r="G59" s="439"/>
      <c r="H59" s="439"/>
    </row>
    <row r="60" spans="1:8" s="293" customFormat="1" ht="15.6">
      <c r="A60" s="424" t="s">
        <v>1751</v>
      </c>
      <c r="B60" s="424"/>
      <c r="C60" s="424"/>
      <c r="D60" s="424"/>
      <c r="E60" s="424" t="s">
        <v>1750</v>
      </c>
      <c r="F60" s="424"/>
      <c r="G60" s="424"/>
      <c r="H60" s="424"/>
    </row>
    <row r="61" spans="1:8" s="118" customFormat="1" ht="15.6">
      <c r="A61" s="440"/>
      <c r="B61" s="440"/>
      <c r="C61" s="116"/>
      <c r="D61" s="117"/>
      <c r="E61" s="440"/>
      <c r="F61" s="440"/>
      <c r="G61" s="440"/>
      <c r="H61" s="440"/>
    </row>
    <row r="62" spans="1:8" s="109" customFormat="1" ht="15.6">
      <c r="A62" s="108"/>
      <c r="B62" s="108"/>
      <c r="C62" s="108"/>
      <c r="D62" s="110"/>
      <c r="E62" s="111"/>
      <c r="F62" s="112"/>
      <c r="G62" s="111"/>
      <c r="H62" s="113"/>
    </row>
    <row r="63" spans="1:8" s="109" customFormat="1" ht="15.6">
      <c r="A63" s="108"/>
      <c r="B63" s="108"/>
      <c r="C63" s="108"/>
      <c r="D63" s="110"/>
      <c r="E63" s="111"/>
      <c r="F63" s="112"/>
      <c r="G63" s="111"/>
      <c r="H63" s="113"/>
    </row>
    <row r="64" spans="1:8" s="109" customFormat="1" ht="15.6">
      <c r="A64" s="108"/>
      <c r="B64" s="108"/>
      <c r="C64" s="108"/>
      <c r="D64" s="110"/>
      <c r="E64" s="111"/>
      <c r="F64" s="112"/>
      <c r="G64" s="111"/>
      <c r="H64" s="113"/>
    </row>
    <row r="65" spans="1:8" s="109" customFormat="1" ht="15.6">
      <c r="A65" s="108"/>
      <c r="B65" s="108"/>
      <c r="C65" s="108"/>
      <c r="D65" s="110"/>
      <c r="E65" s="111"/>
      <c r="F65" s="112"/>
      <c r="G65" s="111"/>
      <c r="H65" s="113"/>
    </row>
    <row r="66" spans="1:8" s="109" customFormat="1" ht="15.6">
      <c r="A66" s="108"/>
      <c r="B66" s="108"/>
      <c r="C66" s="108"/>
      <c r="D66" s="110"/>
      <c r="E66" s="111"/>
      <c r="F66" s="112"/>
      <c r="G66" s="111"/>
      <c r="H66" s="113"/>
    </row>
    <row r="67" spans="1:8" s="109" customFormat="1" ht="15.6">
      <c r="A67" s="108"/>
      <c r="B67" s="108"/>
      <c r="C67" s="108"/>
      <c r="D67" s="115"/>
      <c r="E67" s="439" t="s">
        <v>1749</v>
      </c>
      <c r="F67" s="439"/>
      <c r="G67" s="439"/>
      <c r="H67" s="439"/>
    </row>
    <row r="68" spans="1:8" s="109" customFormat="1" ht="15.6">
      <c r="A68" s="424" t="s">
        <v>1751</v>
      </c>
      <c r="B68" s="424"/>
      <c r="C68" s="424"/>
      <c r="D68" s="424"/>
      <c r="E68" s="424" t="s">
        <v>1750</v>
      </c>
      <c r="F68" s="424"/>
      <c r="G68" s="424"/>
      <c r="H68" s="424"/>
    </row>
    <row r="69" spans="1:8" s="118" customFormat="1" ht="15.6">
      <c r="A69" s="440"/>
      <c r="B69" s="440"/>
      <c r="C69" s="116"/>
      <c r="D69" s="117"/>
      <c r="E69" s="440"/>
      <c r="F69" s="440"/>
      <c r="G69" s="440"/>
      <c r="H69" s="440"/>
    </row>
    <row r="70" spans="1:8" s="118" customFormat="1" ht="15.6">
      <c r="A70" s="440"/>
      <c r="B70" s="440"/>
      <c r="C70" s="440"/>
      <c r="D70" s="440"/>
      <c r="E70" s="440"/>
      <c r="F70" s="440"/>
      <c r="G70" s="440"/>
      <c r="H70" s="440"/>
    </row>
    <row r="71" spans="1:8" s="98" customFormat="1" ht="19.2">
      <c r="A71" s="436"/>
      <c r="B71" s="436"/>
      <c r="C71" s="436"/>
      <c r="D71" s="436"/>
      <c r="E71" s="119"/>
      <c r="F71" s="120"/>
      <c r="G71" s="119"/>
      <c r="H71" s="121"/>
    </row>
    <row r="72" spans="1:8" s="98" customFormat="1" ht="19.2">
      <c r="A72" s="436"/>
      <c r="B72" s="436"/>
      <c r="C72" s="436"/>
      <c r="D72" s="436"/>
      <c r="E72" s="119"/>
      <c r="F72" s="120"/>
      <c r="G72" s="119"/>
      <c r="H72" s="121"/>
    </row>
    <row r="73" spans="1:8" s="98" customFormat="1" ht="19.2">
      <c r="A73" s="121"/>
      <c r="B73" s="121"/>
      <c r="C73" s="121"/>
      <c r="D73" s="122"/>
      <c r="E73" s="119"/>
      <c r="F73" s="120"/>
      <c r="G73" s="119"/>
      <c r="H73" s="121"/>
    </row>
    <row r="74" spans="1:8" ht="16.8">
      <c r="A74" s="83"/>
      <c r="B74" s="83"/>
      <c r="C74" s="83"/>
      <c r="D74" s="84"/>
      <c r="E74" s="85"/>
      <c r="F74" s="86"/>
      <c r="G74" s="85"/>
      <c r="H74" s="83"/>
    </row>
    <row r="75" spans="1:8" ht="16.8">
      <c r="A75" s="83"/>
      <c r="B75" s="83"/>
      <c r="C75" s="83"/>
      <c r="D75" s="84"/>
      <c r="E75" s="85"/>
      <c r="F75" s="86"/>
      <c r="G75" s="85"/>
      <c r="H75" s="83"/>
    </row>
    <row r="76" spans="1:8" ht="16.8">
      <c r="A76" s="83"/>
      <c r="B76" s="83"/>
      <c r="C76" s="83"/>
      <c r="D76" s="84"/>
      <c r="E76" s="85"/>
      <c r="F76" s="86"/>
      <c r="G76" s="85"/>
      <c r="H76" s="83"/>
    </row>
    <row r="77" spans="1:8" ht="16.8">
      <c r="A77" s="83"/>
      <c r="B77" s="83"/>
      <c r="C77" s="83"/>
      <c r="D77" s="84"/>
      <c r="E77" s="437"/>
      <c r="F77" s="437"/>
      <c r="G77" s="437"/>
      <c r="H77" s="437"/>
    </row>
    <row r="78" spans="1:8" ht="17.399999999999999">
      <c r="A78" s="438"/>
      <c r="B78" s="438"/>
      <c r="C78" s="438"/>
      <c r="D78" s="438"/>
      <c r="E78" s="438"/>
      <c r="F78" s="438"/>
      <c r="G78" s="438"/>
      <c r="H78" s="438"/>
    </row>
    <row r="79" spans="1:8" s="17" customFormat="1">
      <c r="D79" s="18"/>
      <c r="E79" s="19"/>
      <c r="F79" s="97"/>
      <c r="G79" s="19"/>
    </row>
    <row r="80" spans="1:8" s="17" customFormat="1">
      <c r="D80" s="18"/>
      <c r="E80" s="19"/>
      <c r="F80" s="97"/>
      <c r="G80" s="19"/>
    </row>
    <row r="81" spans="3:7" s="17" customFormat="1">
      <c r="D81" s="18"/>
      <c r="E81" s="19"/>
      <c r="F81" s="97"/>
      <c r="G81" s="19"/>
    </row>
    <row r="82" spans="3:7" s="17" customFormat="1">
      <c r="D82" s="18"/>
      <c r="E82" s="19"/>
      <c r="F82" s="97"/>
      <c r="G82" s="19"/>
    </row>
    <row r="83" spans="3:7" s="17" customFormat="1">
      <c r="D83" s="18"/>
      <c r="E83" s="19"/>
      <c r="F83" s="97"/>
      <c r="G83" s="19"/>
    </row>
    <row r="84" spans="3:7" s="17" customFormat="1">
      <c r="D84" s="18"/>
      <c r="E84" s="19"/>
      <c r="F84" s="97"/>
      <c r="G84" s="19"/>
    </row>
    <row r="85" spans="3:7" s="17" customFormat="1">
      <c r="D85" s="18"/>
      <c r="E85" s="19"/>
      <c r="F85" s="97"/>
      <c r="G85" s="19"/>
    </row>
    <row r="86" spans="3:7" s="17" customFormat="1">
      <c r="D86" s="18"/>
      <c r="E86" s="19"/>
      <c r="F86" s="97"/>
      <c r="G86" s="19"/>
    </row>
    <row r="87" spans="3:7" s="17" customFormat="1">
      <c r="D87" s="18"/>
      <c r="E87" s="19"/>
      <c r="F87" s="97"/>
      <c r="G87" s="19"/>
    </row>
    <row r="88" spans="3:7" s="17" customFormat="1">
      <c r="D88" s="18"/>
      <c r="E88" s="19"/>
      <c r="F88" s="97"/>
      <c r="G88" s="19"/>
    </row>
    <row r="89" spans="3:7" s="17" customFormat="1">
      <c r="D89" s="18"/>
      <c r="E89" s="19"/>
      <c r="F89" s="97"/>
      <c r="G89" s="19"/>
    </row>
    <row r="90" spans="3:7" s="17" customFormat="1">
      <c r="D90" s="18"/>
      <c r="E90" s="19"/>
      <c r="F90" s="97"/>
      <c r="G90" s="19"/>
    </row>
    <row r="91" spans="3:7" s="17" customFormat="1">
      <c r="D91" s="18"/>
      <c r="E91" s="19"/>
      <c r="F91" s="97"/>
      <c r="G91" s="19"/>
    </row>
    <row r="92" spans="3:7" s="17" customFormat="1">
      <c r="D92" s="18"/>
      <c r="E92" s="19"/>
      <c r="F92" s="97"/>
      <c r="G92" s="19"/>
    </row>
    <row r="93" spans="3:7" s="17" customFormat="1">
      <c r="D93" s="18"/>
      <c r="E93" s="19"/>
      <c r="F93" s="97"/>
      <c r="G93" s="19"/>
    </row>
    <row r="94" spans="3:7" s="17" customFormat="1">
      <c r="D94" s="18"/>
      <c r="E94" s="19"/>
      <c r="F94" s="97"/>
      <c r="G94" s="19"/>
    </row>
    <row r="95" spans="3:7" s="17" customFormat="1">
      <c r="C95" s="97"/>
      <c r="D95" s="20"/>
      <c r="E95" s="19"/>
      <c r="F95" s="97"/>
      <c r="G95" s="19"/>
    </row>
    <row r="96" spans="3:7" s="17" customFormat="1">
      <c r="C96" s="97"/>
      <c r="D96" s="20"/>
      <c r="E96" s="19"/>
      <c r="F96" s="97"/>
      <c r="G96" s="19"/>
    </row>
    <row r="97" spans="3:7" s="17" customFormat="1">
      <c r="C97" s="97"/>
      <c r="D97" s="20"/>
      <c r="E97" s="19"/>
      <c r="F97" s="97"/>
      <c r="G97" s="19"/>
    </row>
    <row r="98" spans="3:7" s="17" customFormat="1">
      <c r="C98" s="97"/>
      <c r="D98" s="20"/>
      <c r="E98" s="19"/>
      <c r="F98" s="97"/>
      <c r="G98" s="19"/>
    </row>
    <row r="99" spans="3:7" s="17" customFormat="1">
      <c r="C99" s="97"/>
      <c r="D99" s="20"/>
      <c r="E99" s="19"/>
      <c r="F99" s="97"/>
      <c r="G99" s="19"/>
    </row>
    <row r="100" spans="3:7" s="17" customFormat="1">
      <c r="C100" s="97"/>
      <c r="D100" s="20"/>
      <c r="E100" s="19"/>
      <c r="F100" s="97"/>
      <c r="G100" s="19"/>
    </row>
    <row r="101" spans="3:7" s="17" customFormat="1">
      <c r="C101" s="97"/>
      <c r="D101" s="20"/>
      <c r="E101" s="19"/>
      <c r="F101" s="97"/>
      <c r="G101" s="19"/>
    </row>
    <row r="102" spans="3:7" s="17" customFormat="1">
      <c r="C102" s="97"/>
      <c r="D102" s="20"/>
      <c r="E102" s="19"/>
      <c r="F102" s="97"/>
      <c r="G102" s="19"/>
    </row>
    <row r="103" spans="3:7" s="17" customFormat="1">
      <c r="C103" s="97"/>
      <c r="D103" s="20"/>
      <c r="E103" s="19"/>
      <c r="F103" s="97"/>
      <c r="G103" s="19"/>
    </row>
    <row r="104" spans="3:7" s="17" customFormat="1">
      <c r="C104" s="97"/>
      <c r="D104" s="20"/>
      <c r="E104" s="19"/>
      <c r="F104" s="97"/>
      <c r="G104" s="19"/>
    </row>
    <row r="105" spans="3:7" s="17" customFormat="1">
      <c r="C105" s="97"/>
      <c r="D105" s="20"/>
      <c r="E105" s="19"/>
      <c r="F105" s="97"/>
      <c r="G105" s="19"/>
    </row>
    <row r="106" spans="3:7" s="17" customFormat="1">
      <c r="C106" s="97"/>
      <c r="D106" s="20"/>
      <c r="E106" s="19"/>
      <c r="F106" s="97"/>
      <c r="G106" s="19"/>
    </row>
    <row r="107" spans="3:7"/>
    <row r="108" spans="3:7"/>
    <row r="109" spans="3:7"/>
    <row r="110" spans="3:7"/>
    <row r="111" spans="3:7"/>
    <row r="112" spans="3:7"/>
    <row r="113" s="16" customFormat="1"/>
    <row r="114" s="16" customFormat="1"/>
    <row r="115" s="16" customFormat="1"/>
    <row r="116" s="16" customFormat="1"/>
    <row r="117" s="16" customFormat="1"/>
    <row r="118" s="16" customFormat="1"/>
    <row r="119" s="16" customFormat="1"/>
    <row r="120" s="16" customFormat="1"/>
    <row r="121" s="16" customFormat="1"/>
    <row r="122" s="16" customFormat="1"/>
    <row r="123" s="16" customFormat="1"/>
    <row r="124" s="16" customFormat="1"/>
    <row r="125" s="16" customFormat="1"/>
    <row r="126" s="16" customFormat="1"/>
    <row r="127" s="16" customFormat="1"/>
    <row r="128" s="16" customFormat="1"/>
    <row r="129" s="16" customFormat="1"/>
    <row r="130" s="16" customFormat="1"/>
    <row r="131" s="16" customFormat="1"/>
    <row r="132" s="16" customFormat="1"/>
    <row r="133" s="16" customFormat="1"/>
    <row r="134" s="16" customFormat="1"/>
    <row r="135" s="16" customFormat="1"/>
    <row r="136" s="16" customFormat="1"/>
    <row r="137" s="16" customFormat="1"/>
    <row r="138" s="16" customFormat="1"/>
    <row r="139" s="16" customFormat="1"/>
    <row r="140" s="16" customFormat="1"/>
    <row r="141" s="16" customFormat="1"/>
    <row r="142" s="16" customFormat="1"/>
    <row r="143" s="16" customFormat="1"/>
    <row r="144" s="16" customFormat="1"/>
    <row r="145" s="16" customFormat="1"/>
    <row r="146" s="16" customFormat="1"/>
    <row r="147" s="16" customFormat="1"/>
    <row r="148" s="16" customFormat="1"/>
    <row r="149" s="16" customFormat="1"/>
    <row r="150" s="16" customFormat="1"/>
    <row r="151" s="16" customFormat="1"/>
    <row r="152" s="16" customFormat="1"/>
    <row r="153" s="16" customFormat="1"/>
    <row r="154" s="16" customFormat="1"/>
    <row r="155" s="16" customFormat="1"/>
    <row r="156" s="16" customFormat="1"/>
    <row r="157" s="16" customFormat="1"/>
    <row r="158" s="16" customFormat="1"/>
    <row r="159" s="16" customFormat="1"/>
    <row r="160" s="16" customFormat="1"/>
    <row r="161" s="16" customFormat="1"/>
    <row r="162" s="16" customFormat="1"/>
    <row r="163" s="16" customFormat="1"/>
    <row r="164" s="16" customFormat="1"/>
    <row r="165" s="16" customFormat="1"/>
    <row r="166" s="16" customFormat="1"/>
    <row r="167" s="16" customFormat="1"/>
    <row r="168" s="16" customFormat="1"/>
    <row r="169" s="16" customFormat="1"/>
    <row r="170" s="16" customFormat="1"/>
    <row r="171" s="16" customFormat="1"/>
    <row r="172" s="16" customFormat="1"/>
    <row r="173" s="16" customFormat="1"/>
    <row r="174" s="16" customFormat="1"/>
    <row r="175" s="16" customFormat="1"/>
    <row r="176" s="16" customFormat="1"/>
    <row r="177" s="16" customFormat="1"/>
    <row r="178" s="16" customFormat="1"/>
    <row r="179" s="16" customFormat="1"/>
    <row r="180" s="16" customFormat="1"/>
    <row r="181" s="16" customFormat="1"/>
    <row r="182" s="16" customFormat="1"/>
    <row r="183" s="16" customFormat="1"/>
    <row r="184" s="16" customFormat="1"/>
    <row r="185" s="16" customFormat="1"/>
    <row r="186" s="16" customFormat="1"/>
    <row r="187" s="16" customFormat="1"/>
    <row r="188" s="16" customFormat="1"/>
    <row r="189" s="16" customFormat="1"/>
    <row r="190" s="16" customFormat="1"/>
    <row r="191" s="16" customFormat="1"/>
    <row r="192" s="16" customFormat="1"/>
    <row r="193" s="16" customFormat="1"/>
    <row r="194" s="16" customFormat="1"/>
    <row r="195" s="16" customFormat="1"/>
    <row r="196" s="16" customFormat="1"/>
    <row r="197" s="16" customFormat="1"/>
    <row r="198" s="16" customFormat="1"/>
    <row r="199" s="16" customFormat="1"/>
    <row r="200" s="16" customFormat="1"/>
    <row r="201" s="16" customFormat="1"/>
    <row r="202" s="16" customFormat="1"/>
    <row r="203" s="16" customFormat="1"/>
    <row r="204" s="16" customFormat="1"/>
    <row r="205" s="16" customFormat="1"/>
    <row r="206" s="16" customFormat="1"/>
    <row r="207" s="16" customFormat="1"/>
    <row r="208" s="16" customFormat="1"/>
    <row r="209" s="16" customFormat="1"/>
    <row r="210" s="16" customFormat="1"/>
    <row r="211" s="16" customFormat="1"/>
    <row r="212" s="16" customFormat="1"/>
    <row r="213" s="16" customFormat="1"/>
    <row r="214" s="16" customFormat="1"/>
    <row r="215" s="16" customFormat="1"/>
    <row r="216" s="16" customFormat="1"/>
    <row r="217" s="16" customFormat="1"/>
    <row r="218" s="16" customFormat="1"/>
    <row r="219" s="16" customFormat="1"/>
    <row r="220" s="16" customFormat="1"/>
    <row r="221" s="16" customFormat="1"/>
    <row r="222" s="16" customFormat="1"/>
    <row r="223" s="16" customFormat="1"/>
    <row r="224" s="16" customFormat="1"/>
    <row r="225" s="16" customFormat="1"/>
    <row r="226" s="16" customFormat="1"/>
    <row r="227" s="16" customFormat="1"/>
    <row r="228" s="16" customFormat="1"/>
    <row r="229" s="16" customFormat="1"/>
    <row r="230" s="16" customFormat="1"/>
    <row r="231" s="16" customFormat="1"/>
    <row r="232" s="16" customFormat="1"/>
    <row r="233" s="16" customFormat="1"/>
    <row r="234" s="16" customFormat="1"/>
    <row r="235" s="16" customFormat="1"/>
    <row r="236" s="16" customFormat="1"/>
    <row r="237" s="16" customFormat="1"/>
    <row r="238" s="16" customFormat="1"/>
    <row r="239" s="16" customFormat="1"/>
    <row r="240" s="16" customFormat="1"/>
    <row r="241" s="16" customFormat="1"/>
    <row r="242" s="16" customFormat="1"/>
    <row r="243" s="16" customFormat="1"/>
    <row r="244" s="16" customFormat="1"/>
    <row r="245" s="16" customFormat="1"/>
    <row r="246" s="16" customFormat="1"/>
    <row r="247" s="16" customFormat="1"/>
    <row r="248" s="16" customFormat="1"/>
    <row r="249" s="16" customFormat="1"/>
    <row r="250" s="16" customFormat="1"/>
    <row r="251" s="16" customFormat="1"/>
    <row r="252" s="16" customFormat="1"/>
    <row r="253" s="16" customFormat="1"/>
    <row r="254" s="16" customFormat="1"/>
    <row r="255" s="16" customFormat="1"/>
    <row r="256" s="16" customFormat="1"/>
    <row r="257" s="16" customFormat="1"/>
    <row r="258" s="16" customFormat="1"/>
    <row r="259" s="16" customFormat="1"/>
    <row r="260" s="16" customFormat="1"/>
    <row r="261" s="16" customFormat="1"/>
    <row r="262" s="16" customFormat="1"/>
    <row r="263" s="16" customFormat="1"/>
    <row r="264" s="16" customFormat="1"/>
    <row r="265" s="16" customFormat="1"/>
    <row r="266" s="16" customFormat="1"/>
    <row r="267" s="16" customFormat="1"/>
    <row r="268" s="16" customFormat="1"/>
    <row r="269" s="16" customFormat="1"/>
    <row r="270" s="16" customFormat="1"/>
    <row r="271" s="16" customFormat="1"/>
    <row r="272" s="16" customFormat="1"/>
    <row r="273" s="16" customFormat="1"/>
    <row r="274" s="16" customFormat="1"/>
    <row r="275" s="16" customFormat="1"/>
    <row r="276" s="16" customFormat="1"/>
    <row r="277" s="16" customFormat="1"/>
    <row r="278" s="16" customFormat="1"/>
    <row r="279" s="16" customFormat="1"/>
    <row r="280" s="16" customFormat="1"/>
    <row r="281" s="16" customFormat="1"/>
    <row r="282" s="16" customFormat="1"/>
    <row r="283" s="16" customFormat="1"/>
    <row r="284" s="16" customFormat="1"/>
    <row r="285" s="16" customFormat="1"/>
    <row r="286" s="16" customFormat="1"/>
    <row r="287" s="16" customFormat="1"/>
    <row r="288" s="16" customFormat="1"/>
    <row r="289" s="16" customFormat="1"/>
    <row r="290" s="16" customFormat="1"/>
    <row r="291" s="16" customFormat="1"/>
    <row r="292" s="16" customFormat="1"/>
    <row r="293" s="16" customFormat="1"/>
    <row r="294" s="16" customFormat="1"/>
    <row r="295" s="16" customFormat="1"/>
    <row r="296" s="16" customFormat="1"/>
    <row r="297" s="16" customFormat="1"/>
    <row r="298" s="16" customFormat="1"/>
    <row r="299" s="16" customFormat="1"/>
    <row r="300" s="16" customFormat="1"/>
    <row r="301" s="16" customFormat="1"/>
    <row r="302" s="16" customFormat="1"/>
    <row r="303" s="16" customFormat="1"/>
    <row r="304" s="16" customFormat="1"/>
    <row r="305" s="16" customFormat="1"/>
    <row r="306" s="16" customFormat="1"/>
    <row r="307" s="16" customFormat="1"/>
    <row r="308" s="16" customFormat="1"/>
    <row r="309" s="16" customFormat="1"/>
  </sheetData>
  <mergeCells count="45">
    <mergeCell ref="A4:B4"/>
    <mergeCell ref="C4:H4"/>
    <mergeCell ref="A1:B1"/>
    <mergeCell ref="C1:H1"/>
    <mergeCell ref="A2:B2"/>
    <mergeCell ref="C2:H2"/>
    <mergeCell ref="A3:B3"/>
    <mergeCell ref="A41:H41"/>
    <mergeCell ref="A6:H6"/>
    <mergeCell ref="A7:H7"/>
    <mergeCell ref="A8:H8"/>
    <mergeCell ref="A9:H9"/>
    <mergeCell ref="A10:H10"/>
    <mergeCell ref="A11:H11"/>
    <mergeCell ref="B13:F13"/>
    <mergeCell ref="B15:F15"/>
    <mergeCell ref="B36:F36"/>
    <mergeCell ref="B39:F39"/>
    <mergeCell ref="B40:F40"/>
    <mergeCell ref="A60:D60"/>
    <mergeCell ref="E60:H60"/>
    <mergeCell ref="C43:H43"/>
    <mergeCell ref="A44:B44"/>
    <mergeCell ref="C44:E44"/>
    <mergeCell ref="F44:H44"/>
    <mergeCell ref="C50:E50"/>
    <mergeCell ref="F50:H50"/>
    <mergeCell ref="A52:D52"/>
    <mergeCell ref="E52:H52"/>
    <mergeCell ref="A53:D53"/>
    <mergeCell ref="E53:H53"/>
    <mergeCell ref="E59:H59"/>
    <mergeCell ref="A78:H78"/>
    <mergeCell ref="A61:B61"/>
    <mergeCell ref="E61:H61"/>
    <mergeCell ref="E67:H67"/>
    <mergeCell ref="A68:D68"/>
    <mergeCell ref="E68:H68"/>
    <mergeCell ref="A69:B69"/>
    <mergeCell ref="E69:H69"/>
    <mergeCell ref="A70:D70"/>
    <mergeCell ref="E70:H70"/>
    <mergeCell ref="A71:D71"/>
    <mergeCell ref="A72:D72"/>
    <mergeCell ref="E77:H77"/>
  </mergeCells>
  <dataValidations count="2">
    <dataValidation type="list" allowBlank="1" showInputMessage="1" showErrorMessage="1" sqref="B37:B38" xr:uid="{00000000-0002-0000-4500-000000000000}">
      <formula1>bichphuong</formula1>
    </dataValidation>
    <dataValidation type="list" allowBlank="1" showInputMessage="1" showErrorMessage="1" sqref="WVJ983070:WVJ983087 B983070:B983087 IX983070:IX983087 ST983070:ST983087 ACP983070:ACP983087 AML983070:AML983087 AWH983070:AWH983087 BGD983070:BGD983087 BPZ983070:BPZ983087 BZV983070:BZV983087 CJR983070:CJR983087 CTN983070:CTN983087 DDJ983070:DDJ983087 DNF983070:DNF983087 DXB983070:DXB983087 EGX983070:EGX983087 EQT983070:EQT983087 FAP983070:FAP983087 FKL983070:FKL983087 FUH983070:FUH983087 GED983070:GED983087 GNZ983070:GNZ983087 GXV983070:GXV983087 HHR983070:HHR983087 HRN983070:HRN983087 IBJ983070:IBJ983087 ILF983070:ILF983087 IVB983070:IVB983087 JEX983070:JEX983087 JOT983070:JOT983087 JYP983070:JYP983087 KIL983070:KIL983087 KSH983070:KSH983087 LCD983070:LCD983087 LLZ983070:LLZ983087 LVV983070:LVV983087 MFR983070:MFR983087 MPN983070:MPN983087 MZJ983070:MZJ983087 NJF983070:NJF983087 NTB983070:NTB983087 OCX983070:OCX983087 OMT983070:OMT983087 OWP983070:OWP983087 PGL983070:PGL983087 PQH983070:PQH983087 QAD983070:QAD983087 QJZ983070:QJZ983087 QTV983070:QTV983087 RDR983070:RDR983087 RNN983070:RNN983087 RXJ983070:RXJ983087 SHF983070:SHF983087 SRB983070:SRB983087 TAX983070:TAX983087 TKT983070:TKT983087 TUP983070:TUP983087 UEL983070:UEL983087 UOH983070:UOH983087 UYD983070:UYD983087 VHZ983070:VHZ983087 VRV983070:VRV983087 WBR983070:WBR983087 WLN983070:WLN983087 B65566:B65583 IX65566:IX65583 ST65566:ST65583 ACP65566:ACP65583 AML65566:AML65583 AWH65566:AWH65583 BGD65566:BGD65583 BPZ65566:BPZ65583 BZV65566:BZV65583 CJR65566:CJR65583 CTN65566:CTN65583 DDJ65566:DDJ65583 DNF65566:DNF65583 DXB65566:DXB65583 EGX65566:EGX65583 EQT65566:EQT65583 FAP65566:FAP65583 FKL65566:FKL65583 FUH65566:FUH65583 GED65566:GED65583 GNZ65566:GNZ65583 GXV65566:GXV65583 HHR65566:HHR65583 HRN65566:HRN65583 IBJ65566:IBJ65583 ILF65566:ILF65583 IVB65566:IVB65583 JEX65566:JEX65583 JOT65566:JOT65583 JYP65566:JYP65583 KIL65566:KIL65583 KSH65566:KSH65583 LCD65566:LCD65583 LLZ65566:LLZ65583 LVV65566:LVV65583 MFR65566:MFR65583 MPN65566:MPN65583 MZJ65566:MZJ65583 NJF65566:NJF65583 NTB65566:NTB65583 OCX65566:OCX65583 OMT65566:OMT65583 OWP65566:OWP65583 PGL65566:PGL65583 PQH65566:PQH65583 QAD65566:QAD65583 QJZ65566:QJZ65583 QTV65566:QTV65583 RDR65566:RDR65583 RNN65566:RNN65583 RXJ65566:RXJ65583 SHF65566:SHF65583 SRB65566:SRB65583 TAX65566:TAX65583 TKT65566:TKT65583 TUP65566:TUP65583 UEL65566:UEL65583 UOH65566:UOH65583 UYD65566:UYD65583 VHZ65566:VHZ65583 VRV65566:VRV65583 WBR65566:WBR65583 WLN65566:WLN65583 WVJ65566:WVJ65583 B131102:B131119 IX131102:IX131119 ST131102:ST131119 ACP131102:ACP131119 AML131102:AML131119 AWH131102:AWH131119 BGD131102:BGD131119 BPZ131102:BPZ131119 BZV131102:BZV131119 CJR131102:CJR131119 CTN131102:CTN131119 DDJ131102:DDJ131119 DNF131102:DNF131119 DXB131102:DXB131119 EGX131102:EGX131119 EQT131102:EQT131119 FAP131102:FAP131119 FKL131102:FKL131119 FUH131102:FUH131119 GED131102:GED131119 GNZ131102:GNZ131119 GXV131102:GXV131119 HHR131102:HHR131119 HRN131102:HRN131119 IBJ131102:IBJ131119 ILF131102:ILF131119 IVB131102:IVB131119 JEX131102:JEX131119 JOT131102:JOT131119 JYP131102:JYP131119 KIL131102:KIL131119 KSH131102:KSH131119 LCD131102:LCD131119 LLZ131102:LLZ131119 LVV131102:LVV131119 MFR131102:MFR131119 MPN131102:MPN131119 MZJ131102:MZJ131119 NJF131102:NJF131119 NTB131102:NTB131119 OCX131102:OCX131119 OMT131102:OMT131119 OWP131102:OWP131119 PGL131102:PGL131119 PQH131102:PQH131119 QAD131102:QAD131119 QJZ131102:QJZ131119 QTV131102:QTV131119 RDR131102:RDR131119 RNN131102:RNN131119 RXJ131102:RXJ131119 SHF131102:SHF131119 SRB131102:SRB131119 TAX131102:TAX131119 TKT131102:TKT131119 TUP131102:TUP131119 UEL131102:UEL131119 UOH131102:UOH131119 UYD131102:UYD131119 VHZ131102:VHZ131119 VRV131102:VRV131119 WBR131102:WBR131119 WLN131102:WLN131119 WVJ131102:WVJ131119 B196638:B196655 IX196638:IX196655 ST196638:ST196655 ACP196638:ACP196655 AML196638:AML196655 AWH196638:AWH196655 BGD196638:BGD196655 BPZ196638:BPZ196655 BZV196638:BZV196655 CJR196638:CJR196655 CTN196638:CTN196655 DDJ196638:DDJ196655 DNF196638:DNF196655 DXB196638:DXB196655 EGX196638:EGX196655 EQT196638:EQT196655 FAP196638:FAP196655 FKL196638:FKL196655 FUH196638:FUH196655 GED196638:GED196655 GNZ196638:GNZ196655 GXV196638:GXV196655 HHR196638:HHR196655 HRN196638:HRN196655 IBJ196638:IBJ196655 ILF196638:ILF196655 IVB196638:IVB196655 JEX196638:JEX196655 JOT196638:JOT196655 JYP196638:JYP196655 KIL196638:KIL196655 KSH196638:KSH196655 LCD196638:LCD196655 LLZ196638:LLZ196655 LVV196638:LVV196655 MFR196638:MFR196655 MPN196638:MPN196655 MZJ196638:MZJ196655 NJF196638:NJF196655 NTB196638:NTB196655 OCX196638:OCX196655 OMT196638:OMT196655 OWP196638:OWP196655 PGL196638:PGL196655 PQH196638:PQH196655 QAD196638:QAD196655 QJZ196638:QJZ196655 QTV196638:QTV196655 RDR196638:RDR196655 RNN196638:RNN196655 RXJ196638:RXJ196655 SHF196638:SHF196655 SRB196638:SRB196655 TAX196638:TAX196655 TKT196638:TKT196655 TUP196638:TUP196655 UEL196638:UEL196655 UOH196638:UOH196655 UYD196638:UYD196655 VHZ196638:VHZ196655 VRV196638:VRV196655 WBR196638:WBR196655 WLN196638:WLN196655 WVJ196638:WVJ196655 B262174:B262191 IX262174:IX262191 ST262174:ST262191 ACP262174:ACP262191 AML262174:AML262191 AWH262174:AWH262191 BGD262174:BGD262191 BPZ262174:BPZ262191 BZV262174:BZV262191 CJR262174:CJR262191 CTN262174:CTN262191 DDJ262174:DDJ262191 DNF262174:DNF262191 DXB262174:DXB262191 EGX262174:EGX262191 EQT262174:EQT262191 FAP262174:FAP262191 FKL262174:FKL262191 FUH262174:FUH262191 GED262174:GED262191 GNZ262174:GNZ262191 GXV262174:GXV262191 HHR262174:HHR262191 HRN262174:HRN262191 IBJ262174:IBJ262191 ILF262174:ILF262191 IVB262174:IVB262191 JEX262174:JEX262191 JOT262174:JOT262191 JYP262174:JYP262191 KIL262174:KIL262191 KSH262174:KSH262191 LCD262174:LCD262191 LLZ262174:LLZ262191 LVV262174:LVV262191 MFR262174:MFR262191 MPN262174:MPN262191 MZJ262174:MZJ262191 NJF262174:NJF262191 NTB262174:NTB262191 OCX262174:OCX262191 OMT262174:OMT262191 OWP262174:OWP262191 PGL262174:PGL262191 PQH262174:PQH262191 QAD262174:QAD262191 QJZ262174:QJZ262191 QTV262174:QTV262191 RDR262174:RDR262191 RNN262174:RNN262191 RXJ262174:RXJ262191 SHF262174:SHF262191 SRB262174:SRB262191 TAX262174:TAX262191 TKT262174:TKT262191 TUP262174:TUP262191 UEL262174:UEL262191 UOH262174:UOH262191 UYD262174:UYD262191 VHZ262174:VHZ262191 VRV262174:VRV262191 WBR262174:WBR262191 WLN262174:WLN262191 WVJ262174:WVJ262191 B327710:B327727 IX327710:IX327727 ST327710:ST327727 ACP327710:ACP327727 AML327710:AML327727 AWH327710:AWH327727 BGD327710:BGD327727 BPZ327710:BPZ327727 BZV327710:BZV327727 CJR327710:CJR327727 CTN327710:CTN327727 DDJ327710:DDJ327727 DNF327710:DNF327727 DXB327710:DXB327727 EGX327710:EGX327727 EQT327710:EQT327727 FAP327710:FAP327727 FKL327710:FKL327727 FUH327710:FUH327727 GED327710:GED327727 GNZ327710:GNZ327727 GXV327710:GXV327727 HHR327710:HHR327727 HRN327710:HRN327727 IBJ327710:IBJ327727 ILF327710:ILF327727 IVB327710:IVB327727 JEX327710:JEX327727 JOT327710:JOT327727 JYP327710:JYP327727 KIL327710:KIL327727 KSH327710:KSH327727 LCD327710:LCD327727 LLZ327710:LLZ327727 LVV327710:LVV327727 MFR327710:MFR327727 MPN327710:MPN327727 MZJ327710:MZJ327727 NJF327710:NJF327727 NTB327710:NTB327727 OCX327710:OCX327727 OMT327710:OMT327727 OWP327710:OWP327727 PGL327710:PGL327727 PQH327710:PQH327727 QAD327710:QAD327727 QJZ327710:QJZ327727 QTV327710:QTV327727 RDR327710:RDR327727 RNN327710:RNN327727 RXJ327710:RXJ327727 SHF327710:SHF327727 SRB327710:SRB327727 TAX327710:TAX327727 TKT327710:TKT327727 TUP327710:TUP327727 UEL327710:UEL327727 UOH327710:UOH327727 UYD327710:UYD327727 VHZ327710:VHZ327727 VRV327710:VRV327727 WBR327710:WBR327727 WLN327710:WLN327727 WVJ327710:WVJ327727 B393246:B393263 IX393246:IX393263 ST393246:ST393263 ACP393246:ACP393263 AML393246:AML393263 AWH393246:AWH393263 BGD393246:BGD393263 BPZ393246:BPZ393263 BZV393246:BZV393263 CJR393246:CJR393263 CTN393246:CTN393263 DDJ393246:DDJ393263 DNF393246:DNF393263 DXB393246:DXB393263 EGX393246:EGX393263 EQT393246:EQT393263 FAP393246:FAP393263 FKL393246:FKL393263 FUH393246:FUH393263 GED393246:GED393263 GNZ393246:GNZ393263 GXV393246:GXV393263 HHR393246:HHR393263 HRN393246:HRN393263 IBJ393246:IBJ393263 ILF393246:ILF393263 IVB393246:IVB393263 JEX393246:JEX393263 JOT393246:JOT393263 JYP393246:JYP393263 KIL393246:KIL393263 KSH393246:KSH393263 LCD393246:LCD393263 LLZ393246:LLZ393263 LVV393246:LVV393263 MFR393246:MFR393263 MPN393246:MPN393263 MZJ393246:MZJ393263 NJF393246:NJF393263 NTB393246:NTB393263 OCX393246:OCX393263 OMT393246:OMT393263 OWP393246:OWP393263 PGL393246:PGL393263 PQH393246:PQH393263 QAD393246:QAD393263 QJZ393246:QJZ393263 QTV393246:QTV393263 RDR393246:RDR393263 RNN393246:RNN393263 RXJ393246:RXJ393263 SHF393246:SHF393263 SRB393246:SRB393263 TAX393246:TAX393263 TKT393246:TKT393263 TUP393246:TUP393263 UEL393246:UEL393263 UOH393246:UOH393263 UYD393246:UYD393263 VHZ393246:VHZ393263 VRV393246:VRV393263 WBR393246:WBR393263 WLN393246:WLN393263 WVJ393246:WVJ393263 B458782:B458799 IX458782:IX458799 ST458782:ST458799 ACP458782:ACP458799 AML458782:AML458799 AWH458782:AWH458799 BGD458782:BGD458799 BPZ458782:BPZ458799 BZV458782:BZV458799 CJR458782:CJR458799 CTN458782:CTN458799 DDJ458782:DDJ458799 DNF458782:DNF458799 DXB458782:DXB458799 EGX458782:EGX458799 EQT458782:EQT458799 FAP458782:FAP458799 FKL458782:FKL458799 FUH458782:FUH458799 GED458782:GED458799 GNZ458782:GNZ458799 GXV458782:GXV458799 HHR458782:HHR458799 HRN458782:HRN458799 IBJ458782:IBJ458799 ILF458782:ILF458799 IVB458782:IVB458799 JEX458782:JEX458799 JOT458782:JOT458799 JYP458782:JYP458799 KIL458782:KIL458799 KSH458782:KSH458799 LCD458782:LCD458799 LLZ458782:LLZ458799 LVV458782:LVV458799 MFR458782:MFR458799 MPN458782:MPN458799 MZJ458782:MZJ458799 NJF458782:NJF458799 NTB458782:NTB458799 OCX458782:OCX458799 OMT458782:OMT458799 OWP458782:OWP458799 PGL458782:PGL458799 PQH458782:PQH458799 QAD458782:QAD458799 QJZ458782:QJZ458799 QTV458782:QTV458799 RDR458782:RDR458799 RNN458782:RNN458799 RXJ458782:RXJ458799 SHF458782:SHF458799 SRB458782:SRB458799 TAX458782:TAX458799 TKT458782:TKT458799 TUP458782:TUP458799 UEL458782:UEL458799 UOH458782:UOH458799 UYD458782:UYD458799 VHZ458782:VHZ458799 VRV458782:VRV458799 WBR458782:WBR458799 WLN458782:WLN458799 WVJ458782:WVJ458799 B524318:B524335 IX524318:IX524335 ST524318:ST524335 ACP524318:ACP524335 AML524318:AML524335 AWH524318:AWH524335 BGD524318:BGD524335 BPZ524318:BPZ524335 BZV524318:BZV524335 CJR524318:CJR524335 CTN524318:CTN524335 DDJ524318:DDJ524335 DNF524318:DNF524335 DXB524318:DXB524335 EGX524318:EGX524335 EQT524318:EQT524335 FAP524318:FAP524335 FKL524318:FKL524335 FUH524318:FUH524335 GED524318:GED524335 GNZ524318:GNZ524335 GXV524318:GXV524335 HHR524318:HHR524335 HRN524318:HRN524335 IBJ524318:IBJ524335 ILF524318:ILF524335 IVB524318:IVB524335 JEX524318:JEX524335 JOT524318:JOT524335 JYP524318:JYP524335 KIL524318:KIL524335 KSH524318:KSH524335 LCD524318:LCD524335 LLZ524318:LLZ524335 LVV524318:LVV524335 MFR524318:MFR524335 MPN524318:MPN524335 MZJ524318:MZJ524335 NJF524318:NJF524335 NTB524318:NTB524335 OCX524318:OCX524335 OMT524318:OMT524335 OWP524318:OWP524335 PGL524318:PGL524335 PQH524318:PQH524335 QAD524318:QAD524335 QJZ524318:QJZ524335 QTV524318:QTV524335 RDR524318:RDR524335 RNN524318:RNN524335 RXJ524318:RXJ524335 SHF524318:SHF524335 SRB524318:SRB524335 TAX524318:TAX524335 TKT524318:TKT524335 TUP524318:TUP524335 UEL524318:UEL524335 UOH524318:UOH524335 UYD524318:UYD524335 VHZ524318:VHZ524335 VRV524318:VRV524335 WBR524318:WBR524335 WLN524318:WLN524335 WVJ524318:WVJ524335 B589854:B589871 IX589854:IX589871 ST589854:ST589871 ACP589854:ACP589871 AML589854:AML589871 AWH589854:AWH589871 BGD589854:BGD589871 BPZ589854:BPZ589871 BZV589854:BZV589871 CJR589854:CJR589871 CTN589854:CTN589871 DDJ589854:DDJ589871 DNF589854:DNF589871 DXB589854:DXB589871 EGX589854:EGX589871 EQT589854:EQT589871 FAP589854:FAP589871 FKL589854:FKL589871 FUH589854:FUH589871 GED589854:GED589871 GNZ589854:GNZ589871 GXV589854:GXV589871 HHR589854:HHR589871 HRN589854:HRN589871 IBJ589854:IBJ589871 ILF589854:ILF589871 IVB589854:IVB589871 JEX589854:JEX589871 JOT589854:JOT589871 JYP589854:JYP589871 KIL589854:KIL589871 KSH589854:KSH589871 LCD589854:LCD589871 LLZ589854:LLZ589871 LVV589854:LVV589871 MFR589854:MFR589871 MPN589854:MPN589871 MZJ589854:MZJ589871 NJF589854:NJF589871 NTB589854:NTB589871 OCX589854:OCX589871 OMT589854:OMT589871 OWP589854:OWP589871 PGL589854:PGL589871 PQH589854:PQH589871 QAD589854:QAD589871 QJZ589854:QJZ589871 QTV589854:QTV589871 RDR589854:RDR589871 RNN589854:RNN589871 RXJ589854:RXJ589871 SHF589854:SHF589871 SRB589854:SRB589871 TAX589854:TAX589871 TKT589854:TKT589871 TUP589854:TUP589871 UEL589854:UEL589871 UOH589854:UOH589871 UYD589854:UYD589871 VHZ589854:VHZ589871 VRV589854:VRV589871 WBR589854:WBR589871 WLN589854:WLN589871 WVJ589854:WVJ589871 B655390:B655407 IX655390:IX655407 ST655390:ST655407 ACP655390:ACP655407 AML655390:AML655407 AWH655390:AWH655407 BGD655390:BGD655407 BPZ655390:BPZ655407 BZV655390:BZV655407 CJR655390:CJR655407 CTN655390:CTN655407 DDJ655390:DDJ655407 DNF655390:DNF655407 DXB655390:DXB655407 EGX655390:EGX655407 EQT655390:EQT655407 FAP655390:FAP655407 FKL655390:FKL655407 FUH655390:FUH655407 GED655390:GED655407 GNZ655390:GNZ655407 GXV655390:GXV655407 HHR655390:HHR655407 HRN655390:HRN655407 IBJ655390:IBJ655407 ILF655390:ILF655407 IVB655390:IVB655407 JEX655390:JEX655407 JOT655390:JOT655407 JYP655390:JYP655407 KIL655390:KIL655407 KSH655390:KSH655407 LCD655390:LCD655407 LLZ655390:LLZ655407 LVV655390:LVV655407 MFR655390:MFR655407 MPN655390:MPN655407 MZJ655390:MZJ655407 NJF655390:NJF655407 NTB655390:NTB655407 OCX655390:OCX655407 OMT655390:OMT655407 OWP655390:OWP655407 PGL655390:PGL655407 PQH655390:PQH655407 QAD655390:QAD655407 QJZ655390:QJZ655407 QTV655390:QTV655407 RDR655390:RDR655407 RNN655390:RNN655407 RXJ655390:RXJ655407 SHF655390:SHF655407 SRB655390:SRB655407 TAX655390:TAX655407 TKT655390:TKT655407 TUP655390:TUP655407 UEL655390:UEL655407 UOH655390:UOH655407 UYD655390:UYD655407 VHZ655390:VHZ655407 VRV655390:VRV655407 WBR655390:WBR655407 WLN655390:WLN655407 WVJ655390:WVJ655407 B720926:B720943 IX720926:IX720943 ST720926:ST720943 ACP720926:ACP720943 AML720926:AML720943 AWH720926:AWH720943 BGD720926:BGD720943 BPZ720926:BPZ720943 BZV720926:BZV720943 CJR720926:CJR720943 CTN720926:CTN720943 DDJ720926:DDJ720943 DNF720926:DNF720943 DXB720926:DXB720943 EGX720926:EGX720943 EQT720926:EQT720943 FAP720926:FAP720943 FKL720926:FKL720943 FUH720926:FUH720943 GED720926:GED720943 GNZ720926:GNZ720943 GXV720926:GXV720943 HHR720926:HHR720943 HRN720926:HRN720943 IBJ720926:IBJ720943 ILF720926:ILF720943 IVB720926:IVB720943 JEX720926:JEX720943 JOT720926:JOT720943 JYP720926:JYP720943 KIL720926:KIL720943 KSH720926:KSH720943 LCD720926:LCD720943 LLZ720926:LLZ720943 LVV720926:LVV720943 MFR720926:MFR720943 MPN720926:MPN720943 MZJ720926:MZJ720943 NJF720926:NJF720943 NTB720926:NTB720943 OCX720926:OCX720943 OMT720926:OMT720943 OWP720926:OWP720943 PGL720926:PGL720943 PQH720926:PQH720943 QAD720926:QAD720943 QJZ720926:QJZ720943 QTV720926:QTV720943 RDR720926:RDR720943 RNN720926:RNN720943 RXJ720926:RXJ720943 SHF720926:SHF720943 SRB720926:SRB720943 TAX720926:TAX720943 TKT720926:TKT720943 TUP720926:TUP720943 UEL720926:UEL720943 UOH720926:UOH720943 UYD720926:UYD720943 VHZ720926:VHZ720943 VRV720926:VRV720943 WBR720926:WBR720943 WLN720926:WLN720943 WVJ720926:WVJ720943 B786462:B786479 IX786462:IX786479 ST786462:ST786479 ACP786462:ACP786479 AML786462:AML786479 AWH786462:AWH786479 BGD786462:BGD786479 BPZ786462:BPZ786479 BZV786462:BZV786479 CJR786462:CJR786479 CTN786462:CTN786479 DDJ786462:DDJ786479 DNF786462:DNF786479 DXB786462:DXB786479 EGX786462:EGX786479 EQT786462:EQT786479 FAP786462:FAP786479 FKL786462:FKL786479 FUH786462:FUH786479 GED786462:GED786479 GNZ786462:GNZ786479 GXV786462:GXV786479 HHR786462:HHR786479 HRN786462:HRN786479 IBJ786462:IBJ786479 ILF786462:ILF786479 IVB786462:IVB786479 JEX786462:JEX786479 JOT786462:JOT786479 JYP786462:JYP786479 KIL786462:KIL786479 KSH786462:KSH786479 LCD786462:LCD786479 LLZ786462:LLZ786479 LVV786462:LVV786479 MFR786462:MFR786479 MPN786462:MPN786479 MZJ786462:MZJ786479 NJF786462:NJF786479 NTB786462:NTB786479 OCX786462:OCX786479 OMT786462:OMT786479 OWP786462:OWP786479 PGL786462:PGL786479 PQH786462:PQH786479 QAD786462:QAD786479 QJZ786462:QJZ786479 QTV786462:QTV786479 RDR786462:RDR786479 RNN786462:RNN786479 RXJ786462:RXJ786479 SHF786462:SHF786479 SRB786462:SRB786479 TAX786462:TAX786479 TKT786462:TKT786479 TUP786462:TUP786479 UEL786462:UEL786479 UOH786462:UOH786479 UYD786462:UYD786479 VHZ786462:VHZ786479 VRV786462:VRV786479 WBR786462:WBR786479 WLN786462:WLN786479 WVJ786462:WVJ786479 B851998:B852015 IX851998:IX852015 ST851998:ST852015 ACP851998:ACP852015 AML851998:AML852015 AWH851998:AWH852015 BGD851998:BGD852015 BPZ851998:BPZ852015 BZV851998:BZV852015 CJR851998:CJR852015 CTN851998:CTN852015 DDJ851998:DDJ852015 DNF851998:DNF852015 DXB851998:DXB852015 EGX851998:EGX852015 EQT851998:EQT852015 FAP851998:FAP852015 FKL851998:FKL852015 FUH851998:FUH852015 GED851998:GED852015 GNZ851998:GNZ852015 GXV851998:GXV852015 HHR851998:HHR852015 HRN851998:HRN852015 IBJ851998:IBJ852015 ILF851998:ILF852015 IVB851998:IVB852015 JEX851998:JEX852015 JOT851998:JOT852015 JYP851998:JYP852015 KIL851998:KIL852015 KSH851998:KSH852015 LCD851998:LCD852015 LLZ851998:LLZ852015 LVV851998:LVV852015 MFR851998:MFR852015 MPN851998:MPN852015 MZJ851998:MZJ852015 NJF851998:NJF852015 NTB851998:NTB852015 OCX851998:OCX852015 OMT851998:OMT852015 OWP851998:OWP852015 PGL851998:PGL852015 PQH851998:PQH852015 QAD851998:QAD852015 QJZ851998:QJZ852015 QTV851998:QTV852015 RDR851998:RDR852015 RNN851998:RNN852015 RXJ851998:RXJ852015 SHF851998:SHF852015 SRB851998:SRB852015 TAX851998:TAX852015 TKT851998:TKT852015 TUP851998:TUP852015 UEL851998:UEL852015 UOH851998:UOH852015 UYD851998:UYD852015 VHZ851998:VHZ852015 VRV851998:VRV852015 WBR851998:WBR852015 WLN851998:WLN852015 WVJ851998:WVJ852015 B917534:B917551 IX917534:IX917551 ST917534:ST917551 ACP917534:ACP917551 AML917534:AML917551 AWH917534:AWH917551 BGD917534:BGD917551 BPZ917534:BPZ917551 BZV917534:BZV917551 CJR917534:CJR917551 CTN917534:CTN917551 DDJ917534:DDJ917551 DNF917534:DNF917551 DXB917534:DXB917551 EGX917534:EGX917551 EQT917534:EQT917551 FAP917534:FAP917551 FKL917534:FKL917551 FUH917534:FUH917551 GED917534:GED917551 GNZ917534:GNZ917551 GXV917534:GXV917551 HHR917534:HHR917551 HRN917534:HRN917551 IBJ917534:IBJ917551 ILF917534:ILF917551 IVB917534:IVB917551 JEX917534:JEX917551 JOT917534:JOT917551 JYP917534:JYP917551 KIL917534:KIL917551 KSH917534:KSH917551 LCD917534:LCD917551 LLZ917534:LLZ917551 LVV917534:LVV917551 MFR917534:MFR917551 MPN917534:MPN917551 MZJ917534:MZJ917551 NJF917534:NJF917551 NTB917534:NTB917551 OCX917534:OCX917551 OMT917534:OMT917551 OWP917534:OWP917551 PGL917534:PGL917551 PQH917534:PQH917551 QAD917534:QAD917551 QJZ917534:QJZ917551 QTV917534:QTV917551 RDR917534:RDR917551 RNN917534:RNN917551 RXJ917534:RXJ917551 SHF917534:SHF917551 SRB917534:SRB917551 TAX917534:TAX917551 TKT917534:TKT917551 TUP917534:TUP917551 UEL917534:UEL917551 UOH917534:UOH917551 UYD917534:UYD917551 VHZ917534:VHZ917551 VRV917534:VRV917551 WBR917534:WBR917551 WLN917534:WLN917551 WVJ917534:WVJ917551" xr:uid="{00000000-0002-0000-4500-000001000000}">
      <formula1>trung</formula1>
    </dataValidation>
  </dataValidation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324"/>
  <sheetViews>
    <sheetView topLeftCell="A13" workbookViewId="0">
      <selection activeCell="A23" sqref="A23:XFD23"/>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9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5.6">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5.6">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38.25" customHeight="1">
      <c r="A7" s="418" t="s">
        <v>1739</v>
      </c>
      <c r="B7" s="418"/>
      <c r="C7" s="418"/>
      <c r="D7" s="418"/>
      <c r="E7" s="418"/>
      <c r="F7" s="418"/>
      <c r="G7" s="418"/>
      <c r="H7" s="418"/>
    </row>
    <row r="8" spans="1:8" s="98" customFormat="1" ht="16.8">
      <c r="A8" s="420" t="s">
        <v>2500</v>
      </c>
      <c r="B8" s="420"/>
      <c r="C8" s="420"/>
      <c r="D8" s="420"/>
      <c r="E8" s="420"/>
      <c r="F8" s="420"/>
      <c r="G8" s="420"/>
      <c r="H8" s="420"/>
    </row>
    <row r="9" spans="1:8" s="98" customFormat="1" ht="16.8">
      <c r="A9" s="420" t="s">
        <v>2383</v>
      </c>
      <c r="B9" s="420"/>
      <c r="C9" s="420"/>
      <c r="D9" s="420"/>
      <c r="E9" s="420"/>
      <c r="F9" s="420"/>
      <c r="G9" s="420"/>
      <c r="H9" s="420"/>
    </row>
    <row r="10" spans="1:8" s="98" customFormat="1" ht="16.8">
      <c r="A10" s="421" t="s">
        <v>1741</v>
      </c>
      <c r="B10" s="421"/>
      <c r="C10" s="421"/>
      <c r="D10" s="421"/>
      <c r="E10" s="421"/>
      <c r="F10" s="421"/>
      <c r="G10" s="421"/>
      <c r="H10" s="421"/>
    </row>
    <row r="11" spans="1:8" s="98" customFormat="1" ht="16.8">
      <c r="A11" s="442" t="s">
        <v>1723</v>
      </c>
      <c r="B11" s="442"/>
      <c r="C11" s="442"/>
      <c r="D11" s="442"/>
      <c r="E11" s="442"/>
      <c r="F11" s="442"/>
      <c r="G11" s="442"/>
      <c r="H11" s="442"/>
    </row>
    <row r="12" spans="1:8" s="87" customFormat="1" ht="41.4">
      <c r="A12" s="90" t="s">
        <v>15</v>
      </c>
      <c r="B12" s="90" t="s">
        <v>57</v>
      </c>
      <c r="C12" s="90" t="s">
        <v>58</v>
      </c>
      <c r="D12" s="91" t="s">
        <v>59</v>
      </c>
      <c r="E12" s="92" t="s">
        <v>20</v>
      </c>
      <c r="F12" s="93" t="s">
        <v>60</v>
      </c>
      <c r="G12" s="92" t="s">
        <v>61</v>
      </c>
      <c r="H12" s="90" t="s">
        <v>16</v>
      </c>
    </row>
    <row r="13" spans="1:8" s="17" customFormat="1" ht="15.6">
      <c r="A13" s="96" t="s">
        <v>17</v>
      </c>
      <c r="B13" s="425" t="s">
        <v>2501</v>
      </c>
      <c r="C13" s="425"/>
      <c r="D13" s="425"/>
      <c r="E13" s="425"/>
      <c r="F13" s="425"/>
      <c r="G13" s="73">
        <f>G14+G16</f>
        <v>12543200</v>
      </c>
      <c r="H13" s="74"/>
    </row>
    <row r="14" spans="1:8" s="12" customFormat="1" ht="15.6">
      <c r="A14" s="212">
        <v>1</v>
      </c>
      <c r="B14" s="452" t="s">
        <v>2102</v>
      </c>
      <c r="C14" s="452"/>
      <c r="D14" s="452"/>
      <c r="E14" s="213"/>
      <c r="F14" s="214"/>
      <c r="G14" s="215">
        <f>G15</f>
        <v>4664000</v>
      </c>
      <c r="H14" s="216"/>
    </row>
    <row r="15" spans="1:8" s="12" customFormat="1" ht="46.8">
      <c r="A15" s="212"/>
      <c r="B15" s="124" t="s">
        <v>2360</v>
      </c>
      <c r="C15" s="220" t="s">
        <v>2120</v>
      </c>
      <c r="D15" s="221">
        <v>58.3</v>
      </c>
      <c r="E15" s="222">
        <v>80000</v>
      </c>
      <c r="F15" s="223">
        <v>1</v>
      </c>
      <c r="G15" s="225">
        <f>D15*E15*F15</f>
        <v>4664000</v>
      </c>
      <c r="H15" s="216"/>
    </row>
    <row r="16" spans="1:8" s="12" customFormat="1" ht="15.6">
      <c r="A16" s="212">
        <v>2</v>
      </c>
      <c r="B16" s="219" t="s">
        <v>2116</v>
      </c>
      <c r="C16" s="220"/>
      <c r="D16" s="221"/>
      <c r="E16" s="222"/>
      <c r="F16" s="223"/>
      <c r="G16" s="224">
        <f>G18+G19</f>
        <v>7879200</v>
      </c>
      <c r="H16" s="216"/>
    </row>
    <row r="17" spans="1:9" s="257" customFormat="1" ht="124.2">
      <c r="A17" s="473" t="s">
        <v>2117</v>
      </c>
      <c r="B17" s="456" t="s">
        <v>2123</v>
      </c>
      <c r="C17" s="256" t="s">
        <v>2124</v>
      </c>
      <c r="D17" s="256" t="s">
        <v>2125</v>
      </c>
      <c r="E17" s="228" t="s">
        <v>2126</v>
      </c>
      <c r="F17" s="256" t="s">
        <v>2127</v>
      </c>
      <c r="G17" s="256" t="s">
        <v>2128</v>
      </c>
      <c r="H17" s="256" t="s">
        <v>2129</v>
      </c>
    </row>
    <row r="18" spans="1:9" s="257" customFormat="1" ht="13.8">
      <c r="A18" s="474"/>
      <c r="B18" s="457"/>
      <c r="C18" s="307">
        <v>5</v>
      </c>
      <c r="D18" s="279">
        <f>IF(H18&lt;30%,3,IF(H18&lt;70%,6,IF(H18&gt;70%,12,0)))</f>
        <v>3</v>
      </c>
      <c r="E18" s="280">
        <v>14400</v>
      </c>
      <c r="F18" s="281">
        <f>IF(H18&lt;30%,30,IF(H18&gt;30%,30))</f>
        <v>30</v>
      </c>
      <c r="G18" s="308">
        <f>C18*D18*E18*F18</f>
        <v>6480000</v>
      </c>
      <c r="H18" s="309">
        <f>D15/5685</f>
        <v>1.0255057167985927E-2</v>
      </c>
    </row>
    <row r="19" spans="1:9" s="257" customFormat="1" ht="96.6">
      <c r="A19" s="258" t="s">
        <v>2122</v>
      </c>
      <c r="B19" s="259" t="s">
        <v>2131</v>
      </c>
      <c r="C19" s="260" t="s">
        <v>66</v>
      </c>
      <c r="D19" s="261">
        <f>D15</f>
        <v>58.3</v>
      </c>
      <c r="E19" s="262">
        <v>80000</v>
      </c>
      <c r="F19" s="263">
        <f>30%</f>
        <v>0.3</v>
      </c>
      <c r="G19" s="264">
        <f>D19*E19*F19</f>
        <v>1399200</v>
      </c>
      <c r="H19" s="265"/>
      <c r="I19" s="266"/>
    </row>
    <row r="20" spans="1:9" ht="16.8">
      <c r="A20" s="75" t="s">
        <v>18</v>
      </c>
      <c r="B20" s="426" t="s">
        <v>1725</v>
      </c>
      <c r="C20" s="426"/>
      <c r="D20" s="426"/>
      <c r="E20" s="426"/>
      <c r="F20" s="426"/>
      <c r="G20" s="76">
        <f>SUM(G21:G21)</f>
        <v>0</v>
      </c>
      <c r="H20" s="11"/>
    </row>
    <row r="21" spans="1:9" ht="15.6">
      <c r="A21" s="77"/>
      <c r="B21" s="78" t="s">
        <v>1728</v>
      </c>
      <c r="C21" s="13"/>
      <c r="D21" s="13"/>
      <c r="E21" s="13"/>
      <c r="F21" s="13"/>
      <c r="G21" s="79"/>
      <c r="H21" s="15"/>
    </row>
    <row r="22" spans="1:9" ht="16.8">
      <c r="A22" s="75" t="s">
        <v>19</v>
      </c>
      <c r="B22" s="426" t="s">
        <v>1727</v>
      </c>
      <c r="C22" s="426"/>
      <c r="D22" s="426"/>
      <c r="E22" s="426"/>
      <c r="F22" s="426"/>
      <c r="G22" s="76">
        <f>SUM(G23:G23)</f>
        <v>0</v>
      </c>
      <c r="H22" s="11"/>
    </row>
    <row r="23" spans="1:9" ht="15.6">
      <c r="A23" s="77"/>
      <c r="B23" s="78" t="s">
        <v>1728</v>
      </c>
      <c r="C23" s="13"/>
      <c r="D23" s="13"/>
      <c r="E23" s="13"/>
      <c r="F23" s="13"/>
      <c r="G23" s="79"/>
      <c r="H23" s="15"/>
    </row>
    <row r="24" spans="1:9" ht="15.6">
      <c r="A24" s="80"/>
      <c r="B24" s="427" t="s">
        <v>62</v>
      </c>
      <c r="C24" s="428"/>
      <c r="D24" s="428"/>
      <c r="E24" s="428"/>
      <c r="F24" s="429"/>
      <c r="G24" s="81">
        <f>G13+G20+G22</f>
        <v>12543200</v>
      </c>
      <c r="H24" s="82"/>
    </row>
    <row r="25" spans="1:9" ht="15.6">
      <c r="A25" s="80"/>
      <c r="B25" s="427" t="s">
        <v>1726</v>
      </c>
      <c r="C25" s="428"/>
      <c r="D25" s="428"/>
      <c r="E25" s="428"/>
      <c r="F25" s="429"/>
      <c r="G25" s="81">
        <f>ROUND(G24,-3)</f>
        <v>12543000</v>
      </c>
      <c r="H25" s="82"/>
    </row>
    <row r="26" spans="1:9" ht="15.6">
      <c r="A26" s="430" t="e">
        <f t="array" aca="1" ref="A26" ca="1">[23]!vnd(G25)</f>
        <v>#NAME?</v>
      </c>
      <c r="B26" s="431"/>
      <c r="C26" s="431"/>
      <c r="D26" s="431"/>
      <c r="E26" s="431"/>
      <c r="F26" s="431"/>
      <c r="G26" s="431"/>
      <c r="H26" s="432"/>
    </row>
    <row r="27" spans="1:9">
      <c r="A27" s="17"/>
      <c r="B27" s="17"/>
      <c r="C27" s="97"/>
      <c r="D27" s="20"/>
      <c r="E27" s="19"/>
      <c r="G27" s="19"/>
      <c r="H27" s="17"/>
    </row>
    <row r="28" spans="1:9" s="109" customFormat="1" ht="15.6">
      <c r="A28" s="108"/>
      <c r="B28" s="108"/>
      <c r="C28" s="424" t="s">
        <v>1742</v>
      </c>
      <c r="D28" s="424"/>
      <c r="E28" s="424"/>
      <c r="F28" s="424"/>
      <c r="G28" s="424"/>
      <c r="H28" s="424"/>
    </row>
    <row r="29" spans="1:9" s="109" customFormat="1" ht="15.6">
      <c r="A29" s="423" t="s">
        <v>63</v>
      </c>
      <c r="B29" s="423"/>
      <c r="C29" s="424" t="s">
        <v>1743</v>
      </c>
      <c r="D29" s="424"/>
      <c r="E29" s="424"/>
      <c r="F29" s="424" t="s">
        <v>1744</v>
      </c>
      <c r="G29" s="424"/>
      <c r="H29" s="424"/>
    </row>
    <row r="30" spans="1:9" s="109" customFormat="1" ht="15.6">
      <c r="A30" s="108"/>
      <c r="B30" s="108"/>
      <c r="C30" s="108"/>
      <c r="D30" s="110"/>
      <c r="E30" s="111"/>
      <c r="F30" s="112"/>
      <c r="G30" s="111"/>
      <c r="H30" s="113"/>
    </row>
    <row r="31" spans="1:9" s="109" customFormat="1" ht="15.6">
      <c r="A31" s="108"/>
      <c r="B31" s="108"/>
      <c r="C31" s="108"/>
      <c r="D31" s="110"/>
      <c r="E31" s="111"/>
      <c r="F31" s="112"/>
      <c r="G31" s="114"/>
      <c r="H31" s="113"/>
    </row>
    <row r="32" spans="1:9" s="109" customFormat="1" ht="15.6">
      <c r="A32" s="108"/>
      <c r="B32" s="108"/>
      <c r="C32" s="108"/>
      <c r="D32" s="110"/>
      <c r="E32" s="111"/>
      <c r="F32" s="112"/>
      <c r="G32" s="111"/>
      <c r="H32" s="113"/>
    </row>
    <row r="33" spans="1:8" s="109" customFormat="1" ht="15.6">
      <c r="A33" s="108"/>
      <c r="B33" s="108"/>
      <c r="C33" s="108"/>
      <c r="D33" s="110"/>
      <c r="E33" s="111"/>
      <c r="F33" s="112"/>
      <c r="G33" s="111"/>
      <c r="H33" s="113"/>
    </row>
    <row r="34" spans="1:8" s="109" customFormat="1" ht="15.6">
      <c r="A34" s="108"/>
      <c r="B34" s="108"/>
      <c r="C34" s="108"/>
      <c r="D34" s="110"/>
      <c r="E34" s="111"/>
      <c r="F34" s="112"/>
      <c r="G34" s="111"/>
      <c r="H34" s="113"/>
    </row>
    <row r="35" spans="1:8" s="109" customFormat="1" ht="15.6">
      <c r="A35" s="108"/>
      <c r="B35" s="198" t="s">
        <v>64</v>
      </c>
      <c r="C35" s="424"/>
      <c r="D35" s="424"/>
      <c r="E35" s="424"/>
      <c r="F35" s="424" t="s">
        <v>1745</v>
      </c>
      <c r="G35" s="424"/>
      <c r="H35" s="424"/>
    </row>
    <row r="36" spans="1:8" s="109" customFormat="1" ht="15.6">
      <c r="A36" s="108"/>
      <c r="B36" s="198"/>
      <c r="C36" s="199"/>
      <c r="D36" s="199"/>
      <c r="E36" s="199"/>
      <c r="F36" s="199"/>
      <c r="G36" s="199"/>
      <c r="H36" s="199"/>
    </row>
    <row r="37" spans="1:8" s="109" customFormat="1" ht="15.6">
      <c r="A37" s="424" t="s">
        <v>1746</v>
      </c>
      <c r="B37" s="424"/>
      <c r="C37" s="424"/>
      <c r="D37" s="424"/>
      <c r="E37" s="424" t="s">
        <v>1747</v>
      </c>
      <c r="F37" s="424"/>
      <c r="G37" s="424"/>
      <c r="H37" s="424"/>
    </row>
    <row r="38" spans="1:8" s="109" customFormat="1" ht="15.6">
      <c r="A38" s="424" t="s">
        <v>1748</v>
      </c>
      <c r="B38" s="424"/>
      <c r="C38" s="424"/>
      <c r="D38" s="424"/>
      <c r="E38" s="424" t="s">
        <v>65</v>
      </c>
      <c r="F38" s="424"/>
      <c r="G38" s="424"/>
      <c r="H38" s="424"/>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 r="A43" s="108"/>
      <c r="B43" s="108"/>
      <c r="C43" s="108"/>
      <c r="D43" s="110"/>
      <c r="E43" s="111"/>
      <c r="F43" s="112"/>
      <c r="G43" s="111"/>
      <c r="H43" s="113"/>
    </row>
    <row r="44" spans="1:8" s="109" customFormat="1" ht="15.6">
      <c r="A44" s="108"/>
      <c r="B44" s="108"/>
      <c r="C44" s="108"/>
      <c r="D44" s="115"/>
      <c r="E44" s="439" t="s">
        <v>1749</v>
      </c>
      <c r="F44" s="439"/>
      <c r="G44" s="439"/>
      <c r="H44" s="439"/>
    </row>
    <row r="45" spans="1:8" s="109" customFormat="1" ht="15.6">
      <c r="A45" s="424" t="s">
        <v>1751</v>
      </c>
      <c r="B45" s="424"/>
      <c r="C45" s="424"/>
      <c r="D45" s="424"/>
      <c r="E45" s="424" t="s">
        <v>1750</v>
      </c>
      <c r="F45" s="424"/>
      <c r="G45" s="424"/>
      <c r="H45" s="424"/>
    </row>
    <row r="46" spans="1:8" s="118" customFormat="1" ht="15.6">
      <c r="A46" s="440"/>
      <c r="B46" s="440"/>
      <c r="C46" s="116"/>
      <c r="D46" s="117"/>
      <c r="E46" s="440"/>
      <c r="F46" s="440"/>
      <c r="G46" s="440"/>
      <c r="H46" s="440"/>
    </row>
    <row r="47" spans="1:8" s="118" customFormat="1" ht="15.6">
      <c r="A47" s="440"/>
      <c r="B47" s="440"/>
      <c r="C47" s="440"/>
      <c r="D47" s="440"/>
      <c r="E47" s="440"/>
      <c r="F47" s="440"/>
      <c r="G47" s="440"/>
      <c r="H47" s="440"/>
    </row>
    <row r="48" spans="1:8" s="98" customFormat="1" ht="19.2">
      <c r="A48" s="436"/>
      <c r="B48" s="436"/>
      <c r="C48" s="436"/>
      <c r="D48" s="436"/>
      <c r="E48" s="119"/>
      <c r="F48" s="120"/>
      <c r="G48" s="119"/>
      <c r="H48" s="121"/>
    </row>
    <row r="49" spans="1:8" s="98" customFormat="1" ht="19.2">
      <c r="A49" s="436"/>
      <c r="B49" s="436"/>
      <c r="C49" s="436"/>
      <c r="D49" s="436"/>
      <c r="E49" s="119"/>
      <c r="F49" s="120"/>
      <c r="G49" s="119"/>
      <c r="H49" s="121"/>
    </row>
    <row r="50" spans="1:8" s="98" customFormat="1" ht="19.2">
      <c r="A50" s="121"/>
      <c r="B50" s="121"/>
      <c r="C50" s="121"/>
      <c r="D50" s="122"/>
      <c r="E50" s="119"/>
      <c r="F50" s="120"/>
      <c r="G50" s="119"/>
      <c r="H50" s="121"/>
    </row>
    <row r="51" spans="1:8" ht="16.8">
      <c r="A51" s="83"/>
      <c r="B51" s="83"/>
      <c r="C51" s="83"/>
      <c r="D51" s="84"/>
      <c r="E51" s="85"/>
      <c r="F51" s="86"/>
      <c r="G51" s="85"/>
      <c r="H51" s="83"/>
    </row>
    <row r="52" spans="1:8" ht="16.8">
      <c r="A52" s="83"/>
      <c r="B52" s="83"/>
      <c r="C52" s="83"/>
      <c r="D52" s="84"/>
      <c r="E52" s="85"/>
      <c r="F52" s="86"/>
      <c r="G52" s="85"/>
      <c r="H52" s="83"/>
    </row>
    <row r="53" spans="1:8" ht="16.8">
      <c r="A53" s="83"/>
      <c r="B53" s="83"/>
      <c r="C53" s="83"/>
      <c r="D53" s="84"/>
      <c r="E53" s="85"/>
      <c r="F53" s="86"/>
      <c r="G53" s="85"/>
      <c r="H53" s="83"/>
    </row>
    <row r="54" spans="1:8" ht="16.8">
      <c r="A54" s="83"/>
      <c r="B54" s="83"/>
      <c r="C54" s="83"/>
      <c r="D54" s="84"/>
      <c r="E54" s="437"/>
      <c r="F54" s="437"/>
      <c r="G54" s="437"/>
      <c r="H54" s="437"/>
    </row>
    <row r="55" spans="1:8" ht="17.399999999999999">
      <c r="A55" s="438"/>
      <c r="B55" s="438"/>
      <c r="C55" s="438"/>
      <c r="D55" s="438"/>
      <c r="E55" s="438"/>
      <c r="F55" s="438"/>
      <c r="G55" s="438"/>
      <c r="H55" s="438"/>
    </row>
    <row r="56" spans="1:8" s="17" customFormat="1">
      <c r="D56" s="18"/>
      <c r="E56" s="19"/>
      <c r="F56" s="97"/>
      <c r="G56" s="19"/>
    </row>
    <row r="57" spans="1:8" s="17" customFormat="1">
      <c r="D57" s="18"/>
      <c r="E57" s="19"/>
      <c r="F57" s="97"/>
      <c r="G57" s="19"/>
    </row>
    <row r="58" spans="1:8" s="17" customFormat="1">
      <c r="D58" s="18"/>
      <c r="E58" s="19"/>
      <c r="F58" s="97"/>
      <c r="G58" s="19"/>
    </row>
    <row r="59" spans="1:8" s="17" customFormat="1">
      <c r="D59" s="18"/>
      <c r="E59" s="19"/>
      <c r="F59" s="97"/>
      <c r="G59" s="19"/>
    </row>
    <row r="60" spans="1:8" s="17" customFormat="1">
      <c r="D60" s="18"/>
      <c r="E60" s="19"/>
      <c r="F60" s="97"/>
      <c r="G60" s="19"/>
    </row>
    <row r="61" spans="1:8" s="17" customFormat="1">
      <c r="D61" s="18"/>
      <c r="E61" s="19"/>
      <c r="F61" s="97"/>
      <c r="G61" s="19"/>
    </row>
    <row r="62" spans="1:8" s="17" customFormat="1">
      <c r="D62" s="18"/>
      <c r="E62" s="19"/>
      <c r="F62" s="97"/>
      <c r="G62" s="19"/>
    </row>
    <row r="63" spans="1:8" s="17" customFormat="1">
      <c r="D63" s="18"/>
      <c r="E63" s="19"/>
      <c r="F63" s="97"/>
      <c r="G63" s="19"/>
    </row>
    <row r="64" spans="1:8" s="17" customFormat="1">
      <c r="D64" s="18"/>
      <c r="E64" s="19"/>
      <c r="F64" s="97"/>
      <c r="G64" s="19"/>
    </row>
    <row r="65" spans="3:7" s="17" customFormat="1">
      <c r="D65" s="18"/>
      <c r="E65" s="19"/>
      <c r="F65" s="97"/>
      <c r="G65" s="19"/>
    </row>
    <row r="66" spans="3:7" s="17" customFormat="1">
      <c r="D66" s="18"/>
      <c r="E66" s="19"/>
      <c r="F66" s="97"/>
      <c r="G66" s="19"/>
    </row>
    <row r="67" spans="3:7" s="17" customFormat="1">
      <c r="D67" s="18"/>
      <c r="E67" s="19"/>
      <c r="F67" s="97"/>
      <c r="G67" s="19"/>
    </row>
    <row r="68" spans="3:7" s="17" customFormat="1">
      <c r="D68" s="18"/>
      <c r="E68" s="19"/>
      <c r="F68" s="97"/>
      <c r="G68" s="19"/>
    </row>
    <row r="69" spans="3:7" s="17" customFormat="1">
      <c r="D69" s="18"/>
      <c r="E69" s="19"/>
      <c r="F69" s="97"/>
      <c r="G69" s="19"/>
    </row>
    <row r="70" spans="3:7" s="17" customFormat="1">
      <c r="D70" s="18"/>
      <c r="E70" s="19"/>
      <c r="F70" s="97"/>
      <c r="G70" s="19"/>
    </row>
    <row r="71" spans="3:7" s="17" customFormat="1">
      <c r="D71" s="18"/>
      <c r="E71" s="19"/>
      <c r="F71" s="97"/>
      <c r="G71" s="19"/>
    </row>
    <row r="72" spans="3:7" s="17" customFormat="1">
      <c r="C72" s="97"/>
      <c r="D72" s="20"/>
      <c r="E72" s="19"/>
      <c r="F72" s="97"/>
      <c r="G72" s="19"/>
    </row>
    <row r="73" spans="3:7" s="17" customFormat="1">
      <c r="C73" s="97"/>
      <c r="D73" s="20"/>
      <c r="E73" s="19"/>
      <c r="F73" s="97"/>
      <c r="G73" s="19"/>
    </row>
    <row r="74" spans="3:7" s="17" customFormat="1">
      <c r="C74" s="97"/>
      <c r="D74" s="20"/>
      <c r="E74" s="19"/>
      <c r="F74" s="97"/>
      <c r="G74" s="19"/>
    </row>
    <row r="75" spans="3:7" s="17" customFormat="1">
      <c r="C75" s="97"/>
      <c r="D75" s="20"/>
      <c r="E75" s="19"/>
      <c r="F75" s="97"/>
      <c r="G75" s="19"/>
    </row>
    <row r="76" spans="3:7" s="17" customFormat="1">
      <c r="C76" s="97"/>
      <c r="D76" s="20"/>
      <c r="E76" s="19"/>
      <c r="F76" s="97"/>
      <c r="G76" s="19"/>
    </row>
    <row r="77" spans="3:7" s="17" customFormat="1">
      <c r="C77" s="97"/>
      <c r="D77" s="20"/>
      <c r="E77" s="19"/>
      <c r="F77" s="97"/>
      <c r="G77" s="19"/>
    </row>
    <row r="78" spans="3:7" s="17" customFormat="1">
      <c r="C78" s="97"/>
      <c r="D78" s="20"/>
      <c r="E78" s="19"/>
      <c r="F78" s="97"/>
      <c r="G78" s="19"/>
    </row>
    <row r="79" spans="3:7" s="17" customFormat="1">
      <c r="C79" s="97"/>
      <c r="D79" s="20"/>
      <c r="E79" s="19"/>
      <c r="F79" s="97"/>
      <c r="G79" s="19"/>
    </row>
    <row r="80" spans="3:7" s="17" customFormat="1">
      <c r="C80" s="97"/>
      <c r="D80" s="20"/>
      <c r="E80" s="19"/>
      <c r="F80" s="97"/>
      <c r="G80" s="19"/>
    </row>
    <row r="81" spans="3:7" s="17" customFormat="1">
      <c r="C81" s="97"/>
      <c r="D81" s="20"/>
      <c r="E81" s="19"/>
      <c r="F81" s="97"/>
      <c r="G81" s="19"/>
    </row>
    <row r="82" spans="3:7" s="17" customFormat="1">
      <c r="C82" s="97"/>
      <c r="D82" s="20"/>
      <c r="E82" s="19"/>
      <c r="F82" s="97"/>
      <c r="G82" s="19"/>
    </row>
    <row r="83" spans="3:7" s="17" customFormat="1">
      <c r="C83" s="97"/>
      <c r="D83" s="20"/>
      <c r="E83" s="19"/>
      <c r="F83" s="97"/>
      <c r="G83" s="19"/>
    </row>
    <row r="84" spans="3:7"/>
    <row r="85" spans="3:7"/>
    <row r="86" spans="3:7"/>
    <row r="87" spans="3:7"/>
    <row r="88" spans="3:7"/>
    <row r="89" spans="3:7"/>
    <row r="90" spans="3:7"/>
    <row r="91" spans="3:7"/>
    <row r="92" spans="3:7"/>
    <row r="93" spans="3:7"/>
    <row r="94" spans="3:7"/>
    <row r="95" spans="3:7"/>
    <row r="96" spans="3:7"/>
    <row r="97" s="16" customFormat="1"/>
    <row r="98" s="16" customFormat="1"/>
    <row r="99" s="16" customFormat="1"/>
    <row r="100" s="16" customFormat="1"/>
    <row r="101" s="16" customFormat="1"/>
    <row r="102" s="16" customFormat="1"/>
    <row r="103" s="16" customFormat="1"/>
    <row r="104" s="16" customFormat="1"/>
    <row r="105" s="16" customFormat="1"/>
    <row r="106" s="16" customFormat="1"/>
    <row r="107" s="16" customFormat="1"/>
    <row r="108" s="16" customFormat="1"/>
    <row r="109" s="16" customFormat="1"/>
    <row r="110" s="16" customFormat="1"/>
    <row r="111" s="16" customFormat="1"/>
    <row r="112" s="16" customFormat="1"/>
    <row r="113" s="16" customFormat="1"/>
    <row r="114" s="16" customFormat="1"/>
    <row r="115" s="16" customFormat="1"/>
    <row r="116" s="16" customFormat="1"/>
    <row r="117" s="16" customFormat="1"/>
    <row r="118" s="16" customFormat="1"/>
    <row r="119" s="16" customFormat="1"/>
    <row r="120" s="16" customFormat="1"/>
    <row r="121" s="16" customFormat="1"/>
    <row r="122" s="16" customFormat="1"/>
    <row r="123" s="16" customFormat="1"/>
    <row r="124" s="16" customFormat="1"/>
    <row r="125" s="16" customFormat="1"/>
    <row r="126" s="16" customFormat="1"/>
    <row r="127" s="16" customFormat="1"/>
    <row r="128" s="16" customFormat="1"/>
    <row r="129" s="16" customFormat="1"/>
    <row r="130" s="16" customFormat="1"/>
    <row r="131" s="16" customFormat="1"/>
    <row r="132" s="16" customFormat="1"/>
    <row r="133" s="16" customFormat="1"/>
    <row r="134" s="16" customFormat="1"/>
    <row r="135" s="16" customFormat="1"/>
    <row r="136" s="16" customFormat="1"/>
    <row r="137" s="16" customFormat="1"/>
    <row r="138" s="16" customFormat="1"/>
    <row r="139" s="16" customFormat="1"/>
    <row r="140" s="16" customFormat="1"/>
    <row r="141" s="16" customFormat="1"/>
    <row r="142" s="16" customFormat="1"/>
    <row r="143" s="16" customFormat="1"/>
    <row r="144" s="16" customFormat="1"/>
    <row r="145" s="16" customFormat="1"/>
    <row r="146" s="16" customFormat="1"/>
    <row r="147" s="16" customFormat="1"/>
    <row r="148" s="16" customFormat="1"/>
    <row r="149" s="16" customFormat="1"/>
    <row r="150" s="16" customFormat="1"/>
    <row r="151" s="16" customFormat="1"/>
    <row r="152" s="16" customFormat="1"/>
    <row r="153" s="16" customFormat="1"/>
    <row r="154" s="16" customFormat="1"/>
    <row r="155" s="16" customFormat="1"/>
    <row r="156" s="16" customFormat="1"/>
    <row r="157" s="16" customFormat="1"/>
    <row r="158" s="16" customFormat="1"/>
    <row r="159" s="16" customFormat="1"/>
    <row r="160" s="16" customFormat="1"/>
    <row r="161" s="16" customFormat="1"/>
    <row r="162" s="16" customFormat="1"/>
    <row r="163" s="16" customFormat="1"/>
    <row r="164" s="16" customFormat="1"/>
    <row r="165" s="16" customFormat="1"/>
    <row r="166" s="16" customFormat="1"/>
    <row r="167" s="16" customFormat="1"/>
    <row r="168" s="16" customFormat="1"/>
    <row r="169" s="16" customFormat="1"/>
    <row r="170" s="16" customFormat="1"/>
    <row r="171" s="16" customFormat="1"/>
    <row r="172" s="16" customFormat="1"/>
    <row r="173" s="16" customFormat="1"/>
    <row r="174" s="16" customFormat="1"/>
    <row r="175" s="16" customFormat="1"/>
    <row r="176" s="16" customFormat="1"/>
    <row r="177" s="16" customFormat="1"/>
    <row r="178" s="16" customFormat="1"/>
    <row r="179" s="16" customFormat="1"/>
    <row r="180" s="16" customFormat="1"/>
    <row r="181" s="16" customFormat="1"/>
    <row r="182" s="16" customFormat="1"/>
    <row r="183" s="16" customFormat="1"/>
    <row r="184" s="16" customFormat="1"/>
    <row r="185" s="16" customFormat="1"/>
    <row r="186" s="16" customFormat="1"/>
    <row r="187" s="16" customFormat="1"/>
    <row r="188" s="16" customFormat="1"/>
    <row r="189" s="16" customFormat="1"/>
    <row r="190" s="16" customFormat="1"/>
    <row r="191" s="16" customFormat="1"/>
    <row r="192" s="16" customFormat="1"/>
    <row r="193" s="16" customFormat="1"/>
    <row r="194" s="16" customFormat="1"/>
    <row r="195" s="16" customFormat="1"/>
    <row r="196" s="16" customFormat="1"/>
    <row r="197" s="16" customFormat="1"/>
    <row r="198" s="16" customFormat="1"/>
    <row r="199" s="16" customFormat="1"/>
    <row r="200" s="16" customFormat="1"/>
    <row r="201" s="16" customFormat="1"/>
    <row r="202" s="16" customFormat="1"/>
    <row r="203" s="16" customFormat="1"/>
    <row r="204" s="16" customFormat="1"/>
    <row r="205" s="16" customFormat="1"/>
    <row r="206" s="16" customFormat="1"/>
    <row r="207" s="16" customFormat="1"/>
    <row r="208" s="16" customFormat="1"/>
    <row r="209" s="16" customFormat="1"/>
    <row r="210" s="16" customFormat="1"/>
    <row r="211" s="16" customFormat="1"/>
    <row r="212" s="16" customFormat="1"/>
    <row r="213" s="16" customFormat="1"/>
    <row r="214" s="16" customFormat="1"/>
    <row r="215" s="16" customFormat="1"/>
    <row r="216" s="16" customFormat="1"/>
    <row r="217" s="16" customFormat="1"/>
    <row r="218" s="16" customFormat="1"/>
    <row r="219" s="16" customFormat="1"/>
    <row r="220" s="16" customFormat="1"/>
    <row r="221" s="16" customFormat="1"/>
    <row r="222" s="16" customFormat="1"/>
    <row r="223" s="16" customFormat="1"/>
    <row r="224" s="16" customFormat="1"/>
    <row r="225" s="16" customFormat="1"/>
    <row r="226" s="16" customFormat="1"/>
    <row r="227" s="16" customFormat="1"/>
    <row r="228" s="16" customFormat="1"/>
    <row r="229" s="16" customFormat="1"/>
    <row r="230" s="16" customFormat="1"/>
    <row r="231" s="16" customFormat="1"/>
    <row r="232" s="16" customFormat="1"/>
    <row r="233" s="16" customFormat="1"/>
    <row r="234" s="16" customFormat="1"/>
    <row r="235" s="16" customFormat="1"/>
    <row r="236" s="16" customFormat="1"/>
    <row r="237" s="16" customFormat="1"/>
    <row r="238" s="16" customFormat="1"/>
    <row r="239" s="16" customFormat="1"/>
    <row r="240" s="16" customFormat="1"/>
    <row r="241" s="16" customFormat="1"/>
    <row r="242" s="16" customFormat="1"/>
    <row r="243" s="16" customFormat="1"/>
    <row r="244" s="16" customFormat="1"/>
    <row r="245" s="16" customFormat="1"/>
    <row r="246" s="16" customFormat="1"/>
    <row r="247" s="16" customFormat="1"/>
    <row r="248" s="16" customFormat="1"/>
    <row r="249" s="16" customFormat="1"/>
    <row r="250" s="16" customFormat="1"/>
    <row r="251" s="16" customFormat="1"/>
    <row r="252" s="16" customFormat="1"/>
    <row r="253" s="16" customFormat="1"/>
    <row r="254" s="16" customFormat="1"/>
    <row r="255" s="16" customFormat="1"/>
    <row r="256" s="16" customFormat="1"/>
    <row r="257" s="16" customFormat="1"/>
    <row r="258" s="16" customFormat="1"/>
    <row r="259" s="16" customFormat="1"/>
    <row r="260" s="16" customFormat="1"/>
    <row r="261" s="16" customFormat="1"/>
    <row r="262" s="16" customFormat="1"/>
    <row r="263" s="16" customFormat="1"/>
    <row r="264" s="16" customFormat="1"/>
    <row r="265" s="16" customFormat="1"/>
    <row r="266" s="16" customFormat="1"/>
    <row r="267" s="16" customFormat="1"/>
    <row r="268" s="16" customFormat="1"/>
    <row r="269" s="16" customFormat="1"/>
    <row r="270" s="16" customFormat="1"/>
    <row r="271" s="16" customFormat="1"/>
    <row r="272" s="16" customFormat="1"/>
    <row r="273" s="16" customFormat="1"/>
    <row r="274" s="16" customFormat="1"/>
    <row r="275" s="16" customFormat="1"/>
    <row r="276" s="16" customFormat="1"/>
    <row r="277" s="16" customFormat="1"/>
    <row r="278" s="16" customFormat="1"/>
    <row r="279" s="16" customFormat="1"/>
    <row r="280" s="16" customFormat="1"/>
    <row r="281" s="16" customFormat="1"/>
    <row r="282" s="16" customFormat="1"/>
    <row r="283" s="16" customFormat="1"/>
    <row r="284" s="16" customFormat="1"/>
    <row r="285" s="16" customFormat="1"/>
    <row r="286" s="16" customFormat="1"/>
    <row r="287" s="16" customFormat="1"/>
    <row r="288" s="16" customFormat="1"/>
    <row r="289" s="16" customFormat="1"/>
    <row r="290" s="16" customFormat="1"/>
    <row r="291" s="16" customFormat="1"/>
    <row r="292" s="16" customFormat="1"/>
    <row r="293" s="16" customFormat="1"/>
    <row r="294" s="16" customFormat="1"/>
    <row r="295" s="16" customFormat="1"/>
    <row r="296" s="16" customFormat="1"/>
    <row r="297" s="16" customFormat="1"/>
    <row r="298" s="16" customFormat="1"/>
    <row r="299" s="16" customFormat="1"/>
    <row r="300" s="16" customFormat="1"/>
    <row r="301" s="16" customFormat="1"/>
    <row r="302" s="16" customFormat="1"/>
    <row r="303" s="16" customFormat="1"/>
    <row r="304" s="16" customFormat="1"/>
    <row r="305" s="16" customFormat="1"/>
    <row r="306" s="16" customFormat="1"/>
    <row r="307" s="16" customFormat="1"/>
    <row r="308" s="16" customFormat="1"/>
    <row r="309" s="16" customFormat="1"/>
    <row r="310" s="16" customFormat="1"/>
    <row r="311" s="16" customFormat="1"/>
    <row r="312" s="16" customFormat="1"/>
    <row r="313" s="16" customFormat="1"/>
    <row r="314" s="16" customFormat="1"/>
    <row r="315" s="16" customFormat="1"/>
    <row r="316" s="16" customFormat="1"/>
    <row r="317" s="16" customFormat="1"/>
    <row r="318" s="16" customFormat="1"/>
    <row r="319" s="16" customFormat="1"/>
    <row r="320" s="16" customFormat="1"/>
    <row r="321" s="16" customFormat="1"/>
    <row r="322" s="16" customFormat="1"/>
    <row r="323" s="16" customFormat="1"/>
    <row r="324" s="16" customFormat="1"/>
  </sheetData>
  <mergeCells count="43">
    <mergeCell ref="A4:B4"/>
    <mergeCell ref="C4:H4"/>
    <mergeCell ref="A1:B1"/>
    <mergeCell ref="C1:H1"/>
    <mergeCell ref="A2:B2"/>
    <mergeCell ref="C2:H2"/>
    <mergeCell ref="A3:B3"/>
    <mergeCell ref="B22:F22"/>
    <mergeCell ref="A6:H6"/>
    <mergeCell ref="A7:H7"/>
    <mergeCell ref="A8:H8"/>
    <mergeCell ref="A9:H9"/>
    <mergeCell ref="A10:H10"/>
    <mergeCell ref="A11:H11"/>
    <mergeCell ref="B13:F13"/>
    <mergeCell ref="B14:D14"/>
    <mergeCell ref="A17:A18"/>
    <mergeCell ref="B17:B18"/>
    <mergeCell ref="B20:F20"/>
    <mergeCell ref="B24:F24"/>
    <mergeCell ref="B25:F25"/>
    <mergeCell ref="A26:H26"/>
    <mergeCell ref="C28:H28"/>
    <mergeCell ref="A29:B29"/>
    <mergeCell ref="C29:E29"/>
    <mergeCell ref="F29:H29"/>
    <mergeCell ref="C35:E35"/>
    <mergeCell ref="F35:H35"/>
    <mergeCell ref="A37:D37"/>
    <mergeCell ref="E37:H37"/>
    <mergeCell ref="A38:D38"/>
    <mergeCell ref="E38:H38"/>
    <mergeCell ref="A48:D48"/>
    <mergeCell ref="A49:D49"/>
    <mergeCell ref="E54:H54"/>
    <mergeCell ref="A55:H55"/>
    <mergeCell ref="E44:H44"/>
    <mergeCell ref="A45:D45"/>
    <mergeCell ref="E45:H45"/>
    <mergeCell ref="A46:B46"/>
    <mergeCell ref="E46:H46"/>
    <mergeCell ref="A47:D47"/>
    <mergeCell ref="E47:H47"/>
  </mergeCells>
  <dataValidations count="1">
    <dataValidation type="list" allowBlank="1" showInputMessage="1" showErrorMessage="1" sqref="WVJ983047:WVJ983064 B983047:B983064 IX983047:IX983064 ST983047:ST983064 ACP983047:ACP983064 AML983047:AML983064 AWH983047:AWH983064 BGD983047:BGD983064 BPZ983047:BPZ983064 BZV983047:BZV983064 CJR983047:CJR983064 CTN983047:CTN983064 DDJ983047:DDJ983064 DNF983047:DNF983064 DXB983047:DXB983064 EGX983047:EGX983064 EQT983047:EQT983064 FAP983047:FAP983064 FKL983047:FKL983064 FUH983047:FUH983064 GED983047:GED983064 GNZ983047:GNZ983064 GXV983047:GXV983064 HHR983047:HHR983064 HRN983047:HRN983064 IBJ983047:IBJ983064 ILF983047:ILF983064 IVB983047:IVB983064 JEX983047:JEX983064 JOT983047:JOT983064 JYP983047:JYP983064 KIL983047:KIL983064 KSH983047:KSH983064 LCD983047:LCD983064 LLZ983047:LLZ983064 LVV983047:LVV983064 MFR983047:MFR983064 MPN983047:MPN983064 MZJ983047:MZJ983064 NJF983047:NJF983064 NTB983047:NTB983064 OCX983047:OCX983064 OMT983047:OMT983064 OWP983047:OWP983064 PGL983047:PGL983064 PQH983047:PQH983064 QAD983047:QAD983064 QJZ983047:QJZ983064 QTV983047:QTV983064 RDR983047:RDR983064 RNN983047:RNN983064 RXJ983047:RXJ983064 SHF983047:SHF983064 SRB983047:SRB983064 TAX983047:TAX983064 TKT983047:TKT983064 TUP983047:TUP983064 UEL983047:UEL983064 UOH983047:UOH983064 UYD983047:UYD983064 VHZ983047:VHZ983064 VRV983047:VRV983064 WBR983047:WBR983064 WLN983047:WLN983064 B65543:B65560 IX65543:IX65560 ST65543:ST65560 ACP65543:ACP65560 AML65543:AML65560 AWH65543:AWH65560 BGD65543:BGD65560 BPZ65543:BPZ65560 BZV65543:BZV65560 CJR65543:CJR65560 CTN65543:CTN65560 DDJ65543:DDJ65560 DNF65543:DNF65560 DXB65543:DXB65560 EGX65543:EGX65560 EQT65543:EQT65560 FAP65543:FAP65560 FKL65543:FKL65560 FUH65543:FUH65560 GED65543:GED65560 GNZ65543:GNZ65560 GXV65543:GXV65560 HHR65543:HHR65560 HRN65543:HRN65560 IBJ65543:IBJ65560 ILF65543:ILF65560 IVB65543:IVB65560 JEX65543:JEX65560 JOT65543:JOT65560 JYP65543:JYP65560 KIL65543:KIL65560 KSH65543:KSH65560 LCD65543:LCD65560 LLZ65543:LLZ65560 LVV65543:LVV65560 MFR65543:MFR65560 MPN65543:MPN65560 MZJ65543:MZJ65560 NJF65543:NJF65560 NTB65543:NTB65560 OCX65543:OCX65560 OMT65543:OMT65560 OWP65543:OWP65560 PGL65543:PGL65560 PQH65543:PQH65560 QAD65543:QAD65560 QJZ65543:QJZ65560 QTV65543:QTV65560 RDR65543:RDR65560 RNN65543:RNN65560 RXJ65543:RXJ65560 SHF65543:SHF65560 SRB65543:SRB65560 TAX65543:TAX65560 TKT65543:TKT65560 TUP65543:TUP65560 UEL65543:UEL65560 UOH65543:UOH65560 UYD65543:UYD65560 VHZ65543:VHZ65560 VRV65543:VRV65560 WBR65543:WBR65560 WLN65543:WLN65560 WVJ65543:WVJ65560 B131079:B131096 IX131079:IX131096 ST131079:ST131096 ACP131079:ACP131096 AML131079:AML131096 AWH131079:AWH131096 BGD131079:BGD131096 BPZ131079:BPZ131096 BZV131079:BZV131096 CJR131079:CJR131096 CTN131079:CTN131096 DDJ131079:DDJ131096 DNF131079:DNF131096 DXB131079:DXB131096 EGX131079:EGX131096 EQT131079:EQT131096 FAP131079:FAP131096 FKL131079:FKL131096 FUH131079:FUH131096 GED131079:GED131096 GNZ131079:GNZ131096 GXV131079:GXV131096 HHR131079:HHR131096 HRN131079:HRN131096 IBJ131079:IBJ131096 ILF131079:ILF131096 IVB131079:IVB131096 JEX131079:JEX131096 JOT131079:JOT131096 JYP131079:JYP131096 KIL131079:KIL131096 KSH131079:KSH131096 LCD131079:LCD131096 LLZ131079:LLZ131096 LVV131079:LVV131096 MFR131079:MFR131096 MPN131079:MPN131096 MZJ131079:MZJ131096 NJF131079:NJF131096 NTB131079:NTB131096 OCX131079:OCX131096 OMT131079:OMT131096 OWP131079:OWP131096 PGL131079:PGL131096 PQH131079:PQH131096 QAD131079:QAD131096 QJZ131079:QJZ131096 QTV131079:QTV131096 RDR131079:RDR131096 RNN131079:RNN131096 RXJ131079:RXJ131096 SHF131079:SHF131096 SRB131079:SRB131096 TAX131079:TAX131096 TKT131079:TKT131096 TUP131079:TUP131096 UEL131079:UEL131096 UOH131079:UOH131096 UYD131079:UYD131096 VHZ131079:VHZ131096 VRV131079:VRV131096 WBR131079:WBR131096 WLN131079:WLN131096 WVJ131079:WVJ131096 B196615:B196632 IX196615:IX196632 ST196615:ST196632 ACP196615:ACP196632 AML196615:AML196632 AWH196615:AWH196632 BGD196615:BGD196632 BPZ196615:BPZ196632 BZV196615:BZV196632 CJR196615:CJR196632 CTN196615:CTN196632 DDJ196615:DDJ196632 DNF196615:DNF196632 DXB196615:DXB196632 EGX196615:EGX196632 EQT196615:EQT196632 FAP196615:FAP196632 FKL196615:FKL196632 FUH196615:FUH196632 GED196615:GED196632 GNZ196615:GNZ196632 GXV196615:GXV196632 HHR196615:HHR196632 HRN196615:HRN196632 IBJ196615:IBJ196632 ILF196615:ILF196632 IVB196615:IVB196632 JEX196615:JEX196632 JOT196615:JOT196632 JYP196615:JYP196632 KIL196615:KIL196632 KSH196615:KSH196632 LCD196615:LCD196632 LLZ196615:LLZ196632 LVV196615:LVV196632 MFR196615:MFR196632 MPN196615:MPN196632 MZJ196615:MZJ196632 NJF196615:NJF196632 NTB196615:NTB196632 OCX196615:OCX196632 OMT196615:OMT196632 OWP196615:OWP196632 PGL196615:PGL196632 PQH196615:PQH196632 QAD196615:QAD196632 QJZ196615:QJZ196632 QTV196615:QTV196632 RDR196615:RDR196632 RNN196615:RNN196632 RXJ196615:RXJ196632 SHF196615:SHF196632 SRB196615:SRB196632 TAX196615:TAX196632 TKT196615:TKT196632 TUP196615:TUP196632 UEL196615:UEL196632 UOH196615:UOH196632 UYD196615:UYD196632 VHZ196615:VHZ196632 VRV196615:VRV196632 WBR196615:WBR196632 WLN196615:WLN196632 WVJ196615:WVJ196632 B262151:B262168 IX262151:IX262168 ST262151:ST262168 ACP262151:ACP262168 AML262151:AML262168 AWH262151:AWH262168 BGD262151:BGD262168 BPZ262151:BPZ262168 BZV262151:BZV262168 CJR262151:CJR262168 CTN262151:CTN262168 DDJ262151:DDJ262168 DNF262151:DNF262168 DXB262151:DXB262168 EGX262151:EGX262168 EQT262151:EQT262168 FAP262151:FAP262168 FKL262151:FKL262168 FUH262151:FUH262168 GED262151:GED262168 GNZ262151:GNZ262168 GXV262151:GXV262168 HHR262151:HHR262168 HRN262151:HRN262168 IBJ262151:IBJ262168 ILF262151:ILF262168 IVB262151:IVB262168 JEX262151:JEX262168 JOT262151:JOT262168 JYP262151:JYP262168 KIL262151:KIL262168 KSH262151:KSH262168 LCD262151:LCD262168 LLZ262151:LLZ262168 LVV262151:LVV262168 MFR262151:MFR262168 MPN262151:MPN262168 MZJ262151:MZJ262168 NJF262151:NJF262168 NTB262151:NTB262168 OCX262151:OCX262168 OMT262151:OMT262168 OWP262151:OWP262168 PGL262151:PGL262168 PQH262151:PQH262168 QAD262151:QAD262168 QJZ262151:QJZ262168 QTV262151:QTV262168 RDR262151:RDR262168 RNN262151:RNN262168 RXJ262151:RXJ262168 SHF262151:SHF262168 SRB262151:SRB262168 TAX262151:TAX262168 TKT262151:TKT262168 TUP262151:TUP262168 UEL262151:UEL262168 UOH262151:UOH262168 UYD262151:UYD262168 VHZ262151:VHZ262168 VRV262151:VRV262168 WBR262151:WBR262168 WLN262151:WLN262168 WVJ262151:WVJ262168 B327687:B327704 IX327687:IX327704 ST327687:ST327704 ACP327687:ACP327704 AML327687:AML327704 AWH327687:AWH327704 BGD327687:BGD327704 BPZ327687:BPZ327704 BZV327687:BZV327704 CJR327687:CJR327704 CTN327687:CTN327704 DDJ327687:DDJ327704 DNF327687:DNF327704 DXB327687:DXB327704 EGX327687:EGX327704 EQT327687:EQT327704 FAP327687:FAP327704 FKL327687:FKL327704 FUH327687:FUH327704 GED327687:GED327704 GNZ327687:GNZ327704 GXV327687:GXV327704 HHR327687:HHR327704 HRN327687:HRN327704 IBJ327687:IBJ327704 ILF327687:ILF327704 IVB327687:IVB327704 JEX327687:JEX327704 JOT327687:JOT327704 JYP327687:JYP327704 KIL327687:KIL327704 KSH327687:KSH327704 LCD327687:LCD327704 LLZ327687:LLZ327704 LVV327687:LVV327704 MFR327687:MFR327704 MPN327687:MPN327704 MZJ327687:MZJ327704 NJF327687:NJF327704 NTB327687:NTB327704 OCX327687:OCX327704 OMT327687:OMT327704 OWP327687:OWP327704 PGL327687:PGL327704 PQH327687:PQH327704 QAD327687:QAD327704 QJZ327687:QJZ327704 QTV327687:QTV327704 RDR327687:RDR327704 RNN327687:RNN327704 RXJ327687:RXJ327704 SHF327687:SHF327704 SRB327687:SRB327704 TAX327687:TAX327704 TKT327687:TKT327704 TUP327687:TUP327704 UEL327687:UEL327704 UOH327687:UOH327704 UYD327687:UYD327704 VHZ327687:VHZ327704 VRV327687:VRV327704 WBR327687:WBR327704 WLN327687:WLN327704 WVJ327687:WVJ327704 B393223:B393240 IX393223:IX393240 ST393223:ST393240 ACP393223:ACP393240 AML393223:AML393240 AWH393223:AWH393240 BGD393223:BGD393240 BPZ393223:BPZ393240 BZV393223:BZV393240 CJR393223:CJR393240 CTN393223:CTN393240 DDJ393223:DDJ393240 DNF393223:DNF393240 DXB393223:DXB393240 EGX393223:EGX393240 EQT393223:EQT393240 FAP393223:FAP393240 FKL393223:FKL393240 FUH393223:FUH393240 GED393223:GED393240 GNZ393223:GNZ393240 GXV393223:GXV393240 HHR393223:HHR393240 HRN393223:HRN393240 IBJ393223:IBJ393240 ILF393223:ILF393240 IVB393223:IVB393240 JEX393223:JEX393240 JOT393223:JOT393240 JYP393223:JYP393240 KIL393223:KIL393240 KSH393223:KSH393240 LCD393223:LCD393240 LLZ393223:LLZ393240 LVV393223:LVV393240 MFR393223:MFR393240 MPN393223:MPN393240 MZJ393223:MZJ393240 NJF393223:NJF393240 NTB393223:NTB393240 OCX393223:OCX393240 OMT393223:OMT393240 OWP393223:OWP393240 PGL393223:PGL393240 PQH393223:PQH393240 QAD393223:QAD393240 QJZ393223:QJZ393240 QTV393223:QTV393240 RDR393223:RDR393240 RNN393223:RNN393240 RXJ393223:RXJ393240 SHF393223:SHF393240 SRB393223:SRB393240 TAX393223:TAX393240 TKT393223:TKT393240 TUP393223:TUP393240 UEL393223:UEL393240 UOH393223:UOH393240 UYD393223:UYD393240 VHZ393223:VHZ393240 VRV393223:VRV393240 WBR393223:WBR393240 WLN393223:WLN393240 WVJ393223:WVJ393240 B458759:B458776 IX458759:IX458776 ST458759:ST458776 ACP458759:ACP458776 AML458759:AML458776 AWH458759:AWH458776 BGD458759:BGD458776 BPZ458759:BPZ458776 BZV458759:BZV458776 CJR458759:CJR458776 CTN458759:CTN458776 DDJ458759:DDJ458776 DNF458759:DNF458776 DXB458759:DXB458776 EGX458759:EGX458776 EQT458759:EQT458776 FAP458759:FAP458776 FKL458759:FKL458776 FUH458759:FUH458776 GED458759:GED458776 GNZ458759:GNZ458776 GXV458759:GXV458776 HHR458759:HHR458776 HRN458759:HRN458776 IBJ458759:IBJ458776 ILF458759:ILF458776 IVB458759:IVB458776 JEX458759:JEX458776 JOT458759:JOT458776 JYP458759:JYP458776 KIL458759:KIL458776 KSH458759:KSH458776 LCD458759:LCD458776 LLZ458759:LLZ458776 LVV458759:LVV458776 MFR458759:MFR458776 MPN458759:MPN458776 MZJ458759:MZJ458776 NJF458759:NJF458776 NTB458759:NTB458776 OCX458759:OCX458776 OMT458759:OMT458776 OWP458759:OWP458776 PGL458759:PGL458776 PQH458759:PQH458776 QAD458759:QAD458776 QJZ458759:QJZ458776 QTV458759:QTV458776 RDR458759:RDR458776 RNN458759:RNN458776 RXJ458759:RXJ458776 SHF458759:SHF458776 SRB458759:SRB458776 TAX458759:TAX458776 TKT458759:TKT458776 TUP458759:TUP458776 UEL458759:UEL458776 UOH458759:UOH458776 UYD458759:UYD458776 VHZ458759:VHZ458776 VRV458759:VRV458776 WBR458759:WBR458776 WLN458759:WLN458776 WVJ458759:WVJ458776 B524295:B524312 IX524295:IX524312 ST524295:ST524312 ACP524295:ACP524312 AML524295:AML524312 AWH524295:AWH524312 BGD524295:BGD524312 BPZ524295:BPZ524312 BZV524295:BZV524312 CJR524295:CJR524312 CTN524295:CTN524312 DDJ524295:DDJ524312 DNF524295:DNF524312 DXB524295:DXB524312 EGX524295:EGX524312 EQT524295:EQT524312 FAP524295:FAP524312 FKL524295:FKL524312 FUH524295:FUH524312 GED524295:GED524312 GNZ524295:GNZ524312 GXV524295:GXV524312 HHR524295:HHR524312 HRN524295:HRN524312 IBJ524295:IBJ524312 ILF524295:ILF524312 IVB524295:IVB524312 JEX524295:JEX524312 JOT524295:JOT524312 JYP524295:JYP524312 KIL524295:KIL524312 KSH524295:KSH524312 LCD524295:LCD524312 LLZ524295:LLZ524312 LVV524295:LVV524312 MFR524295:MFR524312 MPN524295:MPN524312 MZJ524295:MZJ524312 NJF524295:NJF524312 NTB524295:NTB524312 OCX524295:OCX524312 OMT524295:OMT524312 OWP524295:OWP524312 PGL524295:PGL524312 PQH524295:PQH524312 QAD524295:QAD524312 QJZ524295:QJZ524312 QTV524295:QTV524312 RDR524295:RDR524312 RNN524295:RNN524312 RXJ524295:RXJ524312 SHF524295:SHF524312 SRB524295:SRB524312 TAX524295:TAX524312 TKT524295:TKT524312 TUP524295:TUP524312 UEL524295:UEL524312 UOH524295:UOH524312 UYD524295:UYD524312 VHZ524295:VHZ524312 VRV524295:VRV524312 WBR524295:WBR524312 WLN524295:WLN524312 WVJ524295:WVJ524312 B589831:B589848 IX589831:IX589848 ST589831:ST589848 ACP589831:ACP589848 AML589831:AML589848 AWH589831:AWH589848 BGD589831:BGD589848 BPZ589831:BPZ589848 BZV589831:BZV589848 CJR589831:CJR589848 CTN589831:CTN589848 DDJ589831:DDJ589848 DNF589831:DNF589848 DXB589831:DXB589848 EGX589831:EGX589848 EQT589831:EQT589848 FAP589831:FAP589848 FKL589831:FKL589848 FUH589831:FUH589848 GED589831:GED589848 GNZ589831:GNZ589848 GXV589831:GXV589848 HHR589831:HHR589848 HRN589831:HRN589848 IBJ589831:IBJ589848 ILF589831:ILF589848 IVB589831:IVB589848 JEX589831:JEX589848 JOT589831:JOT589848 JYP589831:JYP589848 KIL589831:KIL589848 KSH589831:KSH589848 LCD589831:LCD589848 LLZ589831:LLZ589848 LVV589831:LVV589848 MFR589831:MFR589848 MPN589831:MPN589848 MZJ589831:MZJ589848 NJF589831:NJF589848 NTB589831:NTB589848 OCX589831:OCX589848 OMT589831:OMT589848 OWP589831:OWP589848 PGL589831:PGL589848 PQH589831:PQH589848 QAD589831:QAD589848 QJZ589831:QJZ589848 QTV589831:QTV589848 RDR589831:RDR589848 RNN589831:RNN589848 RXJ589831:RXJ589848 SHF589831:SHF589848 SRB589831:SRB589848 TAX589831:TAX589848 TKT589831:TKT589848 TUP589831:TUP589848 UEL589831:UEL589848 UOH589831:UOH589848 UYD589831:UYD589848 VHZ589831:VHZ589848 VRV589831:VRV589848 WBR589831:WBR589848 WLN589831:WLN589848 WVJ589831:WVJ589848 B655367:B655384 IX655367:IX655384 ST655367:ST655384 ACP655367:ACP655384 AML655367:AML655384 AWH655367:AWH655384 BGD655367:BGD655384 BPZ655367:BPZ655384 BZV655367:BZV655384 CJR655367:CJR655384 CTN655367:CTN655384 DDJ655367:DDJ655384 DNF655367:DNF655384 DXB655367:DXB655384 EGX655367:EGX655384 EQT655367:EQT655384 FAP655367:FAP655384 FKL655367:FKL655384 FUH655367:FUH655384 GED655367:GED655384 GNZ655367:GNZ655384 GXV655367:GXV655384 HHR655367:HHR655384 HRN655367:HRN655384 IBJ655367:IBJ655384 ILF655367:ILF655384 IVB655367:IVB655384 JEX655367:JEX655384 JOT655367:JOT655384 JYP655367:JYP655384 KIL655367:KIL655384 KSH655367:KSH655384 LCD655367:LCD655384 LLZ655367:LLZ655384 LVV655367:LVV655384 MFR655367:MFR655384 MPN655367:MPN655384 MZJ655367:MZJ655384 NJF655367:NJF655384 NTB655367:NTB655384 OCX655367:OCX655384 OMT655367:OMT655384 OWP655367:OWP655384 PGL655367:PGL655384 PQH655367:PQH655384 QAD655367:QAD655384 QJZ655367:QJZ655384 QTV655367:QTV655384 RDR655367:RDR655384 RNN655367:RNN655384 RXJ655367:RXJ655384 SHF655367:SHF655384 SRB655367:SRB655384 TAX655367:TAX655384 TKT655367:TKT655384 TUP655367:TUP655384 UEL655367:UEL655384 UOH655367:UOH655384 UYD655367:UYD655384 VHZ655367:VHZ655384 VRV655367:VRV655384 WBR655367:WBR655384 WLN655367:WLN655384 WVJ655367:WVJ655384 B720903:B720920 IX720903:IX720920 ST720903:ST720920 ACP720903:ACP720920 AML720903:AML720920 AWH720903:AWH720920 BGD720903:BGD720920 BPZ720903:BPZ720920 BZV720903:BZV720920 CJR720903:CJR720920 CTN720903:CTN720920 DDJ720903:DDJ720920 DNF720903:DNF720920 DXB720903:DXB720920 EGX720903:EGX720920 EQT720903:EQT720920 FAP720903:FAP720920 FKL720903:FKL720920 FUH720903:FUH720920 GED720903:GED720920 GNZ720903:GNZ720920 GXV720903:GXV720920 HHR720903:HHR720920 HRN720903:HRN720920 IBJ720903:IBJ720920 ILF720903:ILF720920 IVB720903:IVB720920 JEX720903:JEX720920 JOT720903:JOT720920 JYP720903:JYP720920 KIL720903:KIL720920 KSH720903:KSH720920 LCD720903:LCD720920 LLZ720903:LLZ720920 LVV720903:LVV720920 MFR720903:MFR720920 MPN720903:MPN720920 MZJ720903:MZJ720920 NJF720903:NJF720920 NTB720903:NTB720920 OCX720903:OCX720920 OMT720903:OMT720920 OWP720903:OWP720920 PGL720903:PGL720920 PQH720903:PQH720920 QAD720903:QAD720920 QJZ720903:QJZ720920 QTV720903:QTV720920 RDR720903:RDR720920 RNN720903:RNN720920 RXJ720903:RXJ720920 SHF720903:SHF720920 SRB720903:SRB720920 TAX720903:TAX720920 TKT720903:TKT720920 TUP720903:TUP720920 UEL720903:UEL720920 UOH720903:UOH720920 UYD720903:UYD720920 VHZ720903:VHZ720920 VRV720903:VRV720920 WBR720903:WBR720920 WLN720903:WLN720920 WVJ720903:WVJ720920 B786439:B786456 IX786439:IX786456 ST786439:ST786456 ACP786439:ACP786456 AML786439:AML786456 AWH786439:AWH786456 BGD786439:BGD786456 BPZ786439:BPZ786456 BZV786439:BZV786456 CJR786439:CJR786456 CTN786439:CTN786456 DDJ786439:DDJ786456 DNF786439:DNF786456 DXB786439:DXB786456 EGX786439:EGX786456 EQT786439:EQT786456 FAP786439:FAP786456 FKL786439:FKL786456 FUH786439:FUH786456 GED786439:GED786456 GNZ786439:GNZ786456 GXV786439:GXV786456 HHR786439:HHR786456 HRN786439:HRN786456 IBJ786439:IBJ786456 ILF786439:ILF786456 IVB786439:IVB786456 JEX786439:JEX786456 JOT786439:JOT786456 JYP786439:JYP786456 KIL786439:KIL786456 KSH786439:KSH786456 LCD786439:LCD786456 LLZ786439:LLZ786456 LVV786439:LVV786456 MFR786439:MFR786456 MPN786439:MPN786456 MZJ786439:MZJ786456 NJF786439:NJF786456 NTB786439:NTB786456 OCX786439:OCX786456 OMT786439:OMT786456 OWP786439:OWP786456 PGL786439:PGL786456 PQH786439:PQH786456 QAD786439:QAD786456 QJZ786439:QJZ786456 QTV786439:QTV786456 RDR786439:RDR786456 RNN786439:RNN786456 RXJ786439:RXJ786456 SHF786439:SHF786456 SRB786439:SRB786456 TAX786439:TAX786456 TKT786439:TKT786456 TUP786439:TUP786456 UEL786439:UEL786456 UOH786439:UOH786456 UYD786439:UYD786456 VHZ786439:VHZ786456 VRV786439:VRV786456 WBR786439:WBR786456 WLN786439:WLN786456 WVJ786439:WVJ786456 B851975:B851992 IX851975:IX851992 ST851975:ST851992 ACP851975:ACP851992 AML851975:AML851992 AWH851975:AWH851992 BGD851975:BGD851992 BPZ851975:BPZ851992 BZV851975:BZV851992 CJR851975:CJR851992 CTN851975:CTN851992 DDJ851975:DDJ851992 DNF851975:DNF851992 DXB851975:DXB851992 EGX851975:EGX851992 EQT851975:EQT851992 FAP851975:FAP851992 FKL851975:FKL851992 FUH851975:FUH851992 GED851975:GED851992 GNZ851975:GNZ851992 GXV851975:GXV851992 HHR851975:HHR851992 HRN851975:HRN851992 IBJ851975:IBJ851992 ILF851975:ILF851992 IVB851975:IVB851992 JEX851975:JEX851992 JOT851975:JOT851992 JYP851975:JYP851992 KIL851975:KIL851992 KSH851975:KSH851992 LCD851975:LCD851992 LLZ851975:LLZ851992 LVV851975:LVV851992 MFR851975:MFR851992 MPN851975:MPN851992 MZJ851975:MZJ851992 NJF851975:NJF851992 NTB851975:NTB851992 OCX851975:OCX851992 OMT851975:OMT851992 OWP851975:OWP851992 PGL851975:PGL851992 PQH851975:PQH851992 QAD851975:QAD851992 QJZ851975:QJZ851992 QTV851975:QTV851992 RDR851975:RDR851992 RNN851975:RNN851992 RXJ851975:RXJ851992 SHF851975:SHF851992 SRB851975:SRB851992 TAX851975:TAX851992 TKT851975:TKT851992 TUP851975:TUP851992 UEL851975:UEL851992 UOH851975:UOH851992 UYD851975:UYD851992 VHZ851975:VHZ851992 VRV851975:VRV851992 WBR851975:WBR851992 WLN851975:WLN851992 WVJ851975:WVJ851992 B917511:B917528 IX917511:IX917528 ST917511:ST917528 ACP917511:ACP917528 AML917511:AML917528 AWH917511:AWH917528 BGD917511:BGD917528 BPZ917511:BPZ917528 BZV917511:BZV917528 CJR917511:CJR917528 CTN917511:CTN917528 DDJ917511:DDJ917528 DNF917511:DNF917528 DXB917511:DXB917528 EGX917511:EGX917528 EQT917511:EQT917528 FAP917511:FAP917528 FKL917511:FKL917528 FUH917511:FUH917528 GED917511:GED917528 GNZ917511:GNZ917528 GXV917511:GXV917528 HHR917511:HHR917528 HRN917511:HRN917528 IBJ917511:IBJ917528 ILF917511:ILF917528 IVB917511:IVB917528 JEX917511:JEX917528 JOT917511:JOT917528 JYP917511:JYP917528 KIL917511:KIL917528 KSH917511:KSH917528 LCD917511:LCD917528 LLZ917511:LLZ917528 LVV917511:LVV917528 MFR917511:MFR917528 MPN917511:MPN917528 MZJ917511:MZJ917528 NJF917511:NJF917528 NTB917511:NTB917528 OCX917511:OCX917528 OMT917511:OMT917528 OWP917511:OWP917528 PGL917511:PGL917528 PQH917511:PQH917528 QAD917511:QAD917528 QJZ917511:QJZ917528 QTV917511:QTV917528 RDR917511:RDR917528 RNN917511:RNN917528 RXJ917511:RXJ917528 SHF917511:SHF917528 SRB917511:SRB917528 TAX917511:TAX917528 TKT917511:TKT917528 TUP917511:TUP917528 UEL917511:UEL917528 UOH917511:UOH917528 UYD917511:UYD917528 VHZ917511:VHZ917528 VRV917511:VRV917528 WBR917511:WBR917528 WLN917511:WLN917528 WVJ917511:WVJ917528" xr:uid="{00000000-0002-0000-4600-000000000000}">
      <formula1>trung</formula1>
    </dataValidation>
  </dataValidation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H366"/>
  <sheetViews>
    <sheetView topLeftCell="A14" workbookViewId="0">
      <selection activeCell="A23" sqref="A23:XFD23"/>
    </sheetView>
  </sheetViews>
  <sheetFormatPr defaultColWidth="40.59765625" defaultRowHeight="15" customHeight="1" zeroHeight="1"/>
  <cols>
    <col min="1" max="1" width="4.19921875" style="16" customWidth="1"/>
    <col min="2" max="2" width="23.5" style="16" customWidth="1"/>
    <col min="3" max="3" width="5" style="87" customWidth="1"/>
    <col min="4" max="4" width="6.19921875" style="88" customWidth="1"/>
    <col min="5" max="5" width="10.8984375" style="89" customWidth="1"/>
    <col min="6" max="6" width="5.8984375" style="87" customWidth="1"/>
    <col min="7" max="7" width="9.3984375" style="89" customWidth="1"/>
    <col min="8" max="8" width="7.19921875" style="16" customWidth="1"/>
    <col min="9" max="248" width="0" style="16" hidden="1" customWidth="1"/>
    <col min="249" max="249" width="9.09765625" style="16" customWidth="1"/>
    <col min="250" max="250" width="3.398437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9765625" style="16"/>
    <col min="257" max="257" width="4.19921875" style="16" customWidth="1"/>
    <col min="258" max="258" width="25.6992187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69921875" style="16" customWidth="1"/>
    <col min="265" max="504" width="0" style="16" hidden="1" customWidth="1"/>
    <col min="505" max="505" width="9.09765625" style="16" customWidth="1"/>
    <col min="506" max="506" width="3.398437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9765625" style="16"/>
    <col min="513" max="513" width="4.19921875" style="16" customWidth="1"/>
    <col min="514" max="514" width="25.6992187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69921875" style="16" customWidth="1"/>
    <col min="521" max="760" width="0" style="16" hidden="1" customWidth="1"/>
    <col min="761" max="761" width="9.09765625" style="16" customWidth="1"/>
    <col min="762" max="762" width="3.398437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9765625" style="16"/>
    <col min="769" max="769" width="4.19921875" style="16" customWidth="1"/>
    <col min="770" max="770" width="25.6992187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69921875" style="16" customWidth="1"/>
    <col min="777" max="1016" width="0" style="16" hidden="1" customWidth="1"/>
    <col min="1017" max="1017" width="9.09765625" style="16" customWidth="1"/>
    <col min="1018" max="1018" width="3.398437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9765625" style="16"/>
    <col min="1025" max="1025" width="4.19921875" style="16" customWidth="1"/>
    <col min="1026" max="1026" width="25.6992187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69921875" style="16" customWidth="1"/>
    <col min="1033" max="1272" width="0" style="16" hidden="1" customWidth="1"/>
    <col min="1273" max="1273" width="9.09765625" style="16" customWidth="1"/>
    <col min="1274" max="1274" width="3.398437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9765625" style="16"/>
    <col min="1281" max="1281" width="4.19921875" style="16" customWidth="1"/>
    <col min="1282" max="1282" width="25.6992187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69921875" style="16" customWidth="1"/>
    <col min="1289" max="1528" width="0" style="16" hidden="1" customWidth="1"/>
    <col min="1529" max="1529" width="9.09765625" style="16" customWidth="1"/>
    <col min="1530" max="1530" width="3.398437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9765625" style="16"/>
    <col min="1537" max="1537" width="4.19921875" style="16" customWidth="1"/>
    <col min="1538" max="1538" width="25.6992187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69921875" style="16" customWidth="1"/>
    <col min="1545" max="1784" width="0" style="16" hidden="1" customWidth="1"/>
    <col min="1785" max="1785" width="9.09765625" style="16" customWidth="1"/>
    <col min="1786" max="1786" width="3.398437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9765625" style="16"/>
    <col min="1793" max="1793" width="4.19921875" style="16" customWidth="1"/>
    <col min="1794" max="1794" width="25.6992187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69921875" style="16" customWidth="1"/>
    <col min="1801" max="2040" width="0" style="16" hidden="1" customWidth="1"/>
    <col min="2041" max="2041" width="9.09765625" style="16" customWidth="1"/>
    <col min="2042" max="2042" width="3.398437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9765625" style="16"/>
    <col min="2049" max="2049" width="4.19921875" style="16" customWidth="1"/>
    <col min="2050" max="2050" width="25.6992187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69921875" style="16" customWidth="1"/>
    <col min="2057" max="2296" width="0" style="16" hidden="1" customWidth="1"/>
    <col min="2297" max="2297" width="9.09765625" style="16" customWidth="1"/>
    <col min="2298" max="2298" width="3.398437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9765625" style="16"/>
    <col min="2305" max="2305" width="4.19921875" style="16" customWidth="1"/>
    <col min="2306" max="2306" width="25.6992187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69921875" style="16" customWidth="1"/>
    <col min="2313" max="2552" width="0" style="16" hidden="1" customWidth="1"/>
    <col min="2553" max="2553" width="9.09765625" style="16" customWidth="1"/>
    <col min="2554" max="2554" width="3.398437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9765625" style="16"/>
    <col min="2561" max="2561" width="4.19921875" style="16" customWidth="1"/>
    <col min="2562" max="2562" width="25.6992187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69921875" style="16" customWidth="1"/>
    <col min="2569" max="2808" width="0" style="16" hidden="1" customWidth="1"/>
    <col min="2809" max="2809" width="9.09765625" style="16" customWidth="1"/>
    <col min="2810" max="2810" width="3.398437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9765625" style="16"/>
    <col min="2817" max="2817" width="4.19921875" style="16" customWidth="1"/>
    <col min="2818" max="2818" width="25.6992187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69921875" style="16" customWidth="1"/>
    <col min="2825" max="3064" width="0" style="16" hidden="1" customWidth="1"/>
    <col min="3065" max="3065" width="9.09765625" style="16" customWidth="1"/>
    <col min="3066" max="3066" width="3.398437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9765625" style="16"/>
    <col min="3073" max="3073" width="4.19921875" style="16" customWidth="1"/>
    <col min="3074" max="3074" width="25.6992187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69921875" style="16" customWidth="1"/>
    <col min="3081" max="3320" width="0" style="16" hidden="1" customWidth="1"/>
    <col min="3321" max="3321" width="9.09765625" style="16" customWidth="1"/>
    <col min="3322" max="3322" width="3.398437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9765625" style="16"/>
    <col min="3329" max="3329" width="4.19921875" style="16" customWidth="1"/>
    <col min="3330" max="3330" width="25.6992187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69921875" style="16" customWidth="1"/>
    <col min="3337" max="3576" width="0" style="16" hidden="1" customWidth="1"/>
    <col min="3577" max="3577" width="9.09765625" style="16" customWidth="1"/>
    <col min="3578" max="3578" width="3.398437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9765625" style="16"/>
    <col min="3585" max="3585" width="4.19921875" style="16" customWidth="1"/>
    <col min="3586" max="3586" width="25.6992187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69921875" style="16" customWidth="1"/>
    <col min="3593" max="3832" width="0" style="16" hidden="1" customWidth="1"/>
    <col min="3833" max="3833" width="9.09765625" style="16" customWidth="1"/>
    <col min="3834" max="3834" width="3.398437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9765625" style="16"/>
    <col min="3841" max="3841" width="4.19921875" style="16" customWidth="1"/>
    <col min="3842" max="3842" width="25.6992187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69921875" style="16" customWidth="1"/>
    <col min="3849" max="4088" width="0" style="16" hidden="1" customWidth="1"/>
    <col min="4089" max="4089" width="9.09765625" style="16" customWidth="1"/>
    <col min="4090" max="4090" width="3.398437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9765625" style="16"/>
    <col min="4097" max="4097" width="4.19921875" style="16" customWidth="1"/>
    <col min="4098" max="4098" width="25.6992187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69921875" style="16" customWidth="1"/>
    <col min="4105" max="4344" width="0" style="16" hidden="1" customWidth="1"/>
    <col min="4345" max="4345" width="9.09765625" style="16" customWidth="1"/>
    <col min="4346" max="4346" width="3.398437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9765625" style="16"/>
    <col min="4353" max="4353" width="4.19921875" style="16" customWidth="1"/>
    <col min="4354" max="4354" width="25.6992187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69921875" style="16" customWidth="1"/>
    <col min="4361" max="4600" width="0" style="16" hidden="1" customWidth="1"/>
    <col min="4601" max="4601" width="9.09765625" style="16" customWidth="1"/>
    <col min="4602" max="4602" width="3.398437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9765625" style="16"/>
    <col min="4609" max="4609" width="4.19921875" style="16" customWidth="1"/>
    <col min="4610" max="4610" width="25.6992187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69921875" style="16" customWidth="1"/>
    <col min="4617" max="4856" width="0" style="16" hidden="1" customWidth="1"/>
    <col min="4857" max="4857" width="9.09765625" style="16" customWidth="1"/>
    <col min="4858" max="4858" width="3.398437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9765625" style="16"/>
    <col min="4865" max="4865" width="4.19921875" style="16" customWidth="1"/>
    <col min="4866" max="4866" width="25.6992187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69921875" style="16" customWidth="1"/>
    <col min="4873" max="5112" width="0" style="16" hidden="1" customWidth="1"/>
    <col min="5113" max="5113" width="9.09765625" style="16" customWidth="1"/>
    <col min="5114" max="5114" width="3.398437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9765625" style="16"/>
    <col min="5121" max="5121" width="4.19921875" style="16" customWidth="1"/>
    <col min="5122" max="5122" width="25.6992187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69921875" style="16" customWidth="1"/>
    <col min="5129" max="5368" width="0" style="16" hidden="1" customWidth="1"/>
    <col min="5369" max="5369" width="9.09765625" style="16" customWidth="1"/>
    <col min="5370" max="5370" width="3.398437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9765625" style="16"/>
    <col min="5377" max="5377" width="4.19921875" style="16" customWidth="1"/>
    <col min="5378" max="5378" width="25.6992187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69921875" style="16" customWidth="1"/>
    <col min="5385" max="5624" width="0" style="16" hidden="1" customWidth="1"/>
    <col min="5625" max="5625" width="9.09765625" style="16" customWidth="1"/>
    <col min="5626" max="5626" width="3.398437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9765625" style="16"/>
    <col min="5633" max="5633" width="4.19921875" style="16" customWidth="1"/>
    <col min="5634" max="5634" width="25.6992187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69921875" style="16" customWidth="1"/>
    <col min="5641" max="5880" width="0" style="16" hidden="1" customWidth="1"/>
    <col min="5881" max="5881" width="9.09765625" style="16" customWidth="1"/>
    <col min="5882" max="5882" width="3.398437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9765625" style="16"/>
    <col min="5889" max="5889" width="4.19921875" style="16" customWidth="1"/>
    <col min="5890" max="5890" width="25.6992187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69921875" style="16" customWidth="1"/>
    <col min="5897" max="6136" width="0" style="16" hidden="1" customWidth="1"/>
    <col min="6137" max="6137" width="9.09765625" style="16" customWidth="1"/>
    <col min="6138" max="6138" width="3.398437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9765625" style="16"/>
    <col min="6145" max="6145" width="4.19921875" style="16" customWidth="1"/>
    <col min="6146" max="6146" width="25.6992187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69921875" style="16" customWidth="1"/>
    <col min="6153" max="6392" width="0" style="16" hidden="1" customWidth="1"/>
    <col min="6393" max="6393" width="9.09765625" style="16" customWidth="1"/>
    <col min="6394" max="6394" width="3.398437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9765625" style="16"/>
    <col min="6401" max="6401" width="4.19921875" style="16" customWidth="1"/>
    <col min="6402" max="6402" width="25.6992187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69921875" style="16" customWidth="1"/>
    <col min="6409" max="6648" width="0" style="16" hidden="1" customWidth="1"/>
    <col min="6649" max="6649" width="9.09765625" style="16" customWidth="1"/>
    <col min="6650" max="6650" width="3.398437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9765625" style="16"/>
    <col min="6657" max="6657" width="4.19921875" style="16" customWidth="1"/>
    <col min="6658" max="6658" width="25.6992187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69921875" style="16" customWidth="1"/>
    <col min="6665" max="6904" width="0" style="16" hidden="1" customWidth="1"/>
    <col min="6905" max="6905" width="9.09765625" style="16" customWidth="1"/>
    <col min="6906" max="6906" width="3.398437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9765625" style="16"/>
    <col min="6913" max="6913" width="4.19921875" style="16" customWidth="1"/>
    <col min="6914" max="6914" width="25.6992187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69921875" style="16" customWidth="1"/>
    <col min="6921" max="7160" width="0" style="16" hidden="1" customWidth="1"/>
    <col min="7161" max="7161" width="9.09765625" style="16" customWidth="1"/>
    <col min="7162" max="7162" width="3.398437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9765625" style="16"/>
    <col min="7169" max="7169" width="4.19921875" style="16" customWidth="1"/>
    <col min="7170" max="7170" width="25.6992187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69921875" style="16" customWidth="1"/>
    <col min="7177" max="7416" width="0" style="16" hidden="1" customWidth="1"/>
    <col min="7417" max="7417" width="9.09765625" style="16" customWidth="1"/>
    <col min="7418" max="7418" width="3.398437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9765625" style="16"/>
    <col min="7425" max="7425" width="4.19921875" style="16" customWidth="1"/>
    <col min="7426" max="7426" width="25.6992187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69921875" style="16" customWidth="1"/>
    <col min="7433" max="7672" width="0" style="16" hidden="1" customWidth="1"/>
    <col min="7673" max="7673" width="9.09765625" style="16" customWidth="1"/>
    <col min="7674" max="7674" width="3.398437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9765625" style="16"/>
    <col min="7681" max="7681" width="4.19921875" style="16" customWidth="1"/>
    <col min="7682" max="7682" width="25.6992187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69921875" style="16" customWidth="1"/>
    <col min="7689" max="7928" width="0" style="16" hidden="1" customWidth="1"/>
    <col min="7929" max="7929" width="9.09765625" style="16" customWidth="1"/>
    <col min="7930" max="7930" width="3.398437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9765625" style="16"/>
    <col min="7937" max="7937" width="4.19921875" style="16" customWidth="1"/>
    <col min="7938" max="7938" width="25.6992187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69921875" style="16" customWidth="1"/>
    <col min="7945" max="8184" width="0" style="16" hidden="1" customWidth="1"/>
    <col min="8185" max="8185" width="9.09765625" style="16" customWidth="1"/>
    <col min="8186" max="8186" width="3.398437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9765625" style="16"/>
    <col min="8193" max="8193" width="4.19921875" style="16" customWidth="1"/>
    <col min="8194" max="8194" width="25.6992187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69921875" style="16" customWidth="1"/>
    <col min="8201" max="8440" width="0" style="16" hidden="1" customWidth="1"/>
    <col min="8441" max="8441" width="9.09765625" style="16" customWidth="1"/>
    <col min="8442" max="8442" width="3.398437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9765625" style="16"/>
    <col min="8449" max="8449" width="4.19921875" style="16" customWidth="1"/>
    <col min="8450" max="8450" width="25.6992187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69921875" style="16" customWidth="1"/>
    <col min="8457" max="8696" width="0" style="16" hidden="1" customWidth="1"/>
    <col min="8697" max="8697" width="9.09765625" style="16" customWidth="1"/>
    <col min="8698" max="8698" width="3.398437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9765625" style="16"/>
    <col min="8705" max="8705" width="4.19921875" style="16" customWidth="1"/>
    <col min="8706" max="8706" width="25.6992187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69921875" style="16" customWidth="1"/>
    <col min="8713" max="8952" width="0" style="16" hidden="1" customWidth="1"/>
    <col min="8953" max="8953" width="9.09765625" style="16" customWidth="1"/>
    <col min="8954" max="8954" width="3.398437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9765625" style="16"/>
    <col min="8961" max="8961" width="4.19921875" style="16" customWidth="1"/>
    <col min="8962" max="8962" width="25.6992187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69921875" style="16" customWidth="1"/>
    <col min="8969" max="9208" width="0" style="16" hidden="1" customWidth="1"/>
    <col min="9209" max="9209" width="9.09765625" style="16" customWidth="1"/>
    <col min="9210" max="9210" width="3.398437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9765625" style="16"/>
    <col min="9217" max="9217" width="4.19921875" style="16" customWidth="1"/>
    <col min="9218" max="9218" width="25.6992187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69921875" style="16" customWidth="1"/>
    <col min="9225" max="9464" width="0" style="16" hidden="1" customWidth="1"/>
    <col min="9465" max="9465" width="9.09765625" style="16" customWidth="1"/>
    <col min="9466" max="9466" width="3.398437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9765625" style="16"/>
    <col min="9473" max="9473" width="4.19921875" style="16" customWidth="1"/>
    <col min="9474" max="9474" width="25.6992187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69921875" style="16" customWidth="1"/>
    <col min="9481" max="9720" width="0" style="16" hidden="1" customWidth="1"/>
    <col min="9721" max="9721" width="9.09765625" style="16" customWidth="1"/>
    <col min="9722" max="9722" width="3.398437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9765625" style="16"/>
    <col min="9729" max="9729" width="4.19921875" style="16" customWidth="1"/>
    <col min="9730" max="9730" width="25.6992187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69921875" style="16" customWidth="1"/>
    <col min="9737" max="9976" width="0" style="16" hidden="1" customWidth="1"/>
    <col min="9977" max="9977" width="9.09765625" style="16" customWidth="1"/>
    <col min="9978" max="9978" width="3.398437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9765625" style="16"/>
    <col min="9985" max="9985" width="4.19921875" style="16" customWidth="1"/>
    <col min="9986" max="9986" width="25.6992187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69921875" style="16" customWidth="1"/>
    <col min="9993" max="10232" width="0" style="16" hidden="1" customWidth="1"/>
    <col min="10233" max="10233" width="9.09765625" style="16" customWidth="1"/>
    <col min="10234" max="10234" width="3.398437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9765625" style="16"/>
    <col min="10241" max="10241" width="4.19921875" style="16" customWidth="1"/>
    <col min="10242" max="10242" width="25.6992187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69921875" style="16" customWidth="1"/>
    <col min="10249" max="10488" width="0" style="16" hidden="1" customWidth="1"/>
    <col min="10489" max="10489" width="9.09765625" style="16" customWidth="1"/>
    <col min="10490" max="10490" width="3.398437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9765625" style="16"/>
    <col min="10497" max="10497" width="4.19921875" style="16" customWidth="1"/>
    <col min="10498" max="10498" width="25.6992187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69921875" style="16" customWidth="1"/>
    <col min="10505" max="10744" width="0" style="16" hidden="1" customWidth="1"/>
    <col min="10745" max="10745" width="9.09765625" style="16" customWidth="1"/>
    <col min="10746" max="10746" width="3.398437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9765625" style="16"/>
    <col min="10753" max="10753" width="4.19921875" style="16" customWidth="1"/>
    <col min="10754" max="10754" width="25.6992187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69921875" style="16" customWidth="1"/>
    <col min="10761" max="11000" width="0" style="16" hidden="1" customWidth="1"/>
    <col min="11001" max="11001" width="9.09765625" style="16" customWidth="1"/>
    <col min="11002" max="11002" width="3.398437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9765625" style="16"/>
    <col min="11009" max="11009" width="4.19921875" style="16" customWidth="1"/>
    <col min="11010" max="11010" width="25.6992187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69921875" style="16" customWidth="1"/>
    <col min="11017" max="11256" width="0" style="16" hidden="1" customWidth="1"/>
    <col min="11257" max="11257" width="9.09765625" style="16" customWidth="1"/>
    <col min="11258" max="11258" width="3.398437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9765625" style="16"/>
    <col min="11265" max="11265" width="4.19921875" style="16" customWidth="1"/>
    <col min="11266" max="11266" width="25.6992187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69921875" style="16" customWidth="1"/>
    <col min="11273" max="11512" width="0" style="16" hidden="1" customWidth="1"/>
    <col min="11513" max="11513" width="9.09765625" style="16" customWidth="1"/>
    <col min="11514" max="11514" width="3.398437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9765625" style="16"/>
    <col min="11521" max="11521" width="4.19921875" style="16" customWidth="1"/>
    <col min="11522" max="11522" width="25.6992187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69921875" style="16" customWidth="1"/>
    <col min="11529" max="11768" width="0" style="16" hidden="1" customWidth="1"/>
    <col min="11769" max="11769" width="9.09765625" style="16" customWidth="1"/>
    <col min="11770" max="11770" width="3.398437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9765625" style="16"/>
    <col min="11777" max="11777" width="4.19921875" style="16" customWidth="1"/>
    <col min="11778" max="11778" width="25.6992187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69921875" style="16" customWidth="1"/>
    <col min="11785" max="12024" width="0" style="16" hidden="1" customWidth="1"/>
    <col min="12025" max="12025" width="9.09765625" style="16" customWidth="1"/>
    <col min="12026" max="12026" width="3.398437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9765625" style="16"/>
    <col min="12033" max="12033" width="4.19921875" style="16" customWidth="1"/>
    <col min="12034" max="12034" width="25.6992187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69921875" style="16" customWidth="1"/>
    <col min="12041" max="12280" width="0" style="16" hidden="1" customWidth="1"/>
    <col min="12281" max="12281" width="9.09765625" style="16" customWidth="1"/>
    <col min="12282" max="12282" width="3.398437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9765625" style="16"/>
    <col min="12289" max="12289" width="4.19921875" style="16" customWidth="1"/>
    <col min="12290" max="12290" width="25.6992187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69921875" style="16" customWidth="1"/>
    <col min="12297" max="12536" width="0" style="16" hidden="1" customWidth="1"/>
    <col min="12537" max="12537" width="9.09765625" style="16" customWidth="1"/>
    <col min="12538" max="12538" width="3.398437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9765625" style="16"/>
    <col min="12545" max="12545" width="4.19921875" style="16" customWidth="1"/>
    <col min="12546" max="12546" width="25.6992187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69921875" style="16" customWidth="1"/>
    <col min="12553" max="12792" width="0" style="16" hidden="1" customWidth="1"/>
    <col min="12793" max="12793" width="9.09765625" style="16" customWidth="1"/>
    <col min="12794" max="12794" width="3.398437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9765625" style="16"/>
    <col min="12801" max="12801" width="4.19921875" style="16" customWidth="1"/>
    <col min="12802" max="12802" width="25.6992187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69921875" style="16" customWidth="1"/>
    <col min="12809" max="13048" width="0" style="16" hidden="1" customWidth="1"/>
    <col min="13049" max="13049" width="9.09765625" style="16" customWidth="1"/>
    <col min="13050" max="13050" width="3.398437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9765625" style="16"/>
    <col min="13057" max="13057" width="4.19921875" style="16" customWidth="1"/>
    <col min="13058" max="13058" width="25.6992187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69921875" style="16" customWidth="1"/>
    <col min="13065" max="13304" width="0" style="16" hidden="1" customWidth="1"/>
    <col min="13305" max="13305" width="9.09765625" style="16" customWidth="1"/>
    <col min="13306" max="13306" width="3.398437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9765625" style="16"/>
    <col min="13313" max="13313" width="4.19921875" style="16" customWidth="1"/>
    <col min="13314" max="13314" width="25.6992187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69921875" style="16" customWidth="1"/>
    <col min="13321" max="13560" width="0" style="16" hidden="1" customWidth="1"/>
    <col min="13561" max="13561" width="9.09765625" style="16" customWidth="1"/>
    <col min="13562" max="13562" width="3.398437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9765625" style="16"/>
    <col min="13569" max="13569" width="4.19921875" style="16" customWidth="1"/>
    <col min="13570" max="13570" width="25.6992187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69921875" style="16" customWidth="1"/>
    <col min="13577" max="13816" width="0" style="16" hidden="1" customWidth="1"/>
    <col min="13817" max="13817" width="9.09765625" style="16" customWidth="1"/>
    <col min="13818" max="13818" width="3.398437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9765625" style="16"/>
    <col min="13825" max="13825" width="4.19921875" style="16" customWidth="1"/>
    <col min="13826" max="13826" width="25.6992187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69921875" style="16" customWidth="1"/>
    <col min="13833" max="14072" width="0" style="16" hidden="1" customWidth="1"/>
    <col min="14073" max="14073" width="9.09765625" style="16" customWidth="1"/>
    <col min="14074" max="14074" width="3.398437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9765625" style="16"/>
    <col min="14081" max="14081" width="4.19921875" style="16" customWidth="1"/>
    <col min="14082" max="14082" width="25.6992187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69921875" style="16" customWidth="1"/>
    <col min="14089" max="14328" width="0" style="16" hidden="1" customWidth="1"/>
    <col min="14329" max="14329" width="9.09765625" style="16" customWidth="1"/>
    <col min="14330" max="14330" width="3.398437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9765625" style="16"/>
    <col min="14337" max="14337" width="4.19921875" style="16" customWidth="1"/>
    <col min="14338" max="14338" width="25.6992187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69921875" style="16" customWidth="1"/>
    <col min="14345" max="14584" width="0" style="16" hidden="1" customWidth="1"/>
    <col min="14585" max="14585" width="9.09765625" style="16" customWidth="1"/>
    <col min="14586" max="14586" width="3.398437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9765625" style="16"/>
    <col min="14593" max="14593" width="4.19921875" style="16" customWidth="1"/>
    <col min="14594" max="14594" width="25.6992187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69921875" style="16" customWidth="1"/>
    <col min="14601" max="14840" width="0" style="16" hidden="1" customWidth="1"/>
    <col min="14841" max="14841" width="9.09765625" style="16" customWidth="1"/>
    <col min="14842" max="14842" width="3.398437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9765625" style="16"/>
    <col min="14849" max="14849" width="4.19921875" style="16" customWidth="1"/>
    <col min="14850" max="14850" width="25.6992187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69921875" style="16" customWidth="1"/>
    <col min="14857" max="15096" width="0" style="16" hidden="1" customWidth="1"/>
    <col min="15097" max="15097" width="9.09765625" style="16" customWidth="1"/>
    <col min="15098" max="15098" width="3.398437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9765625" style="16"/>
    <col min="15105" max="15105" width="4.19921875" style="16" customWidth="1"/>
    <col min="15106" max="15106" width="25.6992187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69921875" style="16" customWidth="1"/>
    <col min="15113" max="15352" width="0" style="16" hidden="1" customWidth="1"/>
    <col min="15353" max="15353" width="9.09765625" style="16" customWidth="1"/>
    <col min="15354" max="15354" width="3.398437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9765625" style="16"/>
    <col min="15361" max="15361" width="4.19921875" style="16" customWidth="1"/>
    <col min="15362" max="15362" width="25.6992187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69921875" style="16" customWidth="1"/>
    <col min="15369" max="15608" width="0" style="16" hidden="1" customWidth="1"/>
    <col min="15609" max="15609" width="9.09765625" style="16" customWidth="1"/>
    <col min="15610" max="15610" width="3.398437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9765625" style="16"/>
    <col min="15617" max="15617" width="4.19921875" style="16" customWidth="1"/>
    <col min="15618" max="15618" width="25.6992187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69921875" style="16" customWidth="1"/>
    <col min="15625" max="15864" width="0" style="16" hidden="1" customWidth="1"/>
    <col min="15865" max="15865" width="9.09765625" style="16" customWidth="1"/>
    <col min="15866" max="15866" width="3.398437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9765625" style="16"/>
    <col min="15873" max="15873" width="4.19921875" style="16" customWidth="1"/>
    <col min="15874" max="15874" width="25.6992187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69921875" style="16" customWidth="1"/>
    <col min="15881" max="16120" width="0" style="16" hidden="1" customWidth="1"/>
    <col min="16121" max="16121" width="9.09765625" style="16" customWidth="1"/>
    <col min="16122" max="16122" width="3.398437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9765625" style="16"/>
    <col min="16129" max="16129" width="4.19921875" style="16" customWidth="1"/>
    <col min="16130" max="16130" width="25.6992187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69921875" style="16" customWidth="1"/>
    <col min="16137" max="16376" width="0" style="16" hidden="1" customWidth="1"/>
    <col min="16377" max="16377" width="9.09765625" style="16" customWidth="1"/>
    <col min="16378" max="16378" width="3.398437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976562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2503</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2504</v>
      </c>
      <c r="C13" s="425"/>
      <c r="D13" s="425"/>
      <c r="E13" s="425"/>
      <c r="F13" s="425"/>
      <c r="G13" s="73">
        <f>G14</f>
        <v>0</v>
      </c>
      <c r="H13" s="74"/>
    </row>
    <row r="14" spans="1:8" s="131" customFormat="1" ht="48" customHeight="1">
      <c r="A14" s="123"/>
      <c r="B14" s="124" t="s">
        <v>2033</v>
      </c>
      <c r="C14" s="125"/>
      <c r="D14" s="126"/>
      <c r="E14" s="127"/>
      <c r="F14" s="128"/>
      <c r="G14" s="129">
        <f>D14*E14*F14</f>
        <v>0</v>
      </c>
      <c r="H14" s="130"/>
    </row>
    <row r="15" spans="1:8" ht="27" customHeight="1">
      <c r="A15" s="75" t="s">
        <v>18</v>
      </c>
      <c r="B15" s="426" t="s">
        <v>1725</v>
      </c>
      <c r="C15" s="426"/>
      <c r="D15" s="426"/>
      <c r="E15" s="426"/>
      <c r="F15" s="426"/>
      <c r="G15" s="76">
        <f>SUM(G16:G16)</f>
        <v>0</v>
      </c>
      <c r="H15" s="11"/>
    </row>
    <row r="16" spans="1:8" ht="30.6" customHeight="1">
      <c r="A16" s="77"/>
      <c r="B16" s="78" t="s">
        <v>1728</v>
      </c>
      <c r="C16" s="13"/>
      <c r="D16" s="13"/>
      <c r="E16" s="13"/>
      <c r="F16" s="13"/>
      <c r="G16" s="79"/>
      <c r="H16" s="15"/>
    </row>
    <row r="17" spans="1:8" ht="24" customHeight="1">
      <c r="A17" s="75" t="s">
        <v>19</v>
      </c>
      <c r="B17" s="426" t="s">
        <v>1727</v>
      </c>
      <c r="C17" s="426"/>
      <c r="D17" s="426"/>
      <c r="E17" s="426"/>
      <c r="F17" s="426"/>
      <c r="G17" s="76">
        <f>SUM(G19:G19)</f>
        <v>112000</v>
      </c>
      <c r="H17" s="11"/>
    </row>
    <row r="18" spans="1:8" ht="45" customHeight="1">
      <c r="A18" s="75"/>
      <c r="B18" s="433" t="s">
        <v>2505</v>
      </c>
      <c r="C18" s="434"/>
      <c r="D18" s="434"/>
      <c r="E18" s="434"/>
      <c r="F18" s="435"/>
      <c r="G18" s="76"/>
      <c r="H18" s="11"/>
    </row>
    <row r="19" spans="1:8" s="12" customFormat="1" ht="31.2">
      <c r="A19" s="94">
        <v>1</v>
      </c>
      <c r="B19" s="154" t="s">
        <v>881</v>
      </c>
      <c r="C19" s="14" t="s">
        <v>1724</v>
      </c>
      <c r="D19" s="14">
        <v>2</v>
      </c>
      <c r="E19" s="79" t="str">
        <f>VLOOKUP(B19,'[20]Đơn giá cây cối'!$A$2:$C$1361,3,0)</f>
        <v>224.000</v>
      </c>
      <c r="F19" s="132">
        <v>0.25</v>
      </c>
      <c r="G19" s="79">
        <f>D19*E19*F19</f>
        <v>112000</v>
      </c>
      <c r="H19" s="95"/>
    </row>
    <row r="20" spans="1:8" ht="15.6">
      <c r="A20" s="80"/>
      <c r="B20" s="427" t="s">
        <v>62</v>
      </c>
      <c r="C20" s="428"/>
      <c r="D20" s="428"/>
      <c r="E20" s="428"/>
      <c r="F20" s="429"/>
      <c r="G20" s="81">
        <f>G13+G15+G17</f>
        <v>112000</v>
      </c>
      <c r="H20" s="82"/>
    </row>
    <row r="21" spans="1:8" ht="15.6">
      <c r="A21" s="80"/>
      <c r="B21" s="427" t="s">
        <v>1726</v>
      </c>
      <c r="C21" s="428"/>
      <c r="D21" s="428"/>
      <c r="E21" s="428"/>
      <c r="F21" s="429"/>
      <c r="G21" s="81">
        <f>ROUND(G20,-3)</f>
        <v>112000</v>
      </c>
      <c r="H21" s="82"/>
    </row>
    <row r="22" spans="1:8" ht="15.6">
      <c r="A22" s="430" t="e" cm="1">
        <f t="array" aca="1" ref="A22" ca="1">[22]!vnd(G21)</f>
        <v>#NAME?</v>
      </c>
      <c r="B22" s="431"/>
      <c r="C22" s="431"/>
      <c r="D22" s="431"/>
      <c r="E22" s="431"/>
      <c r="F22" s="431"/>
      <c r="G22" s="431"/>
      <c r="H22" s="432"/>
    </row>
    <row r="23" spans="1:8" ht="15.6">
      <c r="A23" s="252"/>
      <c r="B23" s="253"/>
      <c r="C23" s="253"/>
      <c r="D23" s="253"/>
      <c r="E23" s="253"/>
      <c r="F23" s="253"/>
      <c r="G23" s="253"/>
      <c r="H23" s="253"/>
    </row>
    <row r="24" spans="1:8" ht="15.6">
      <c r="A24" s="252"/>
      <c r="B24" s="253"/>
      <c r="C24" s="253"/>
      <c r="D24" s="253"/>
      <c r="E24" s="253"/>
      <c r="F24" s="253"/>
      <c r="G24" s="253"/>
      <c r="H24" s="253"/>
    </row>
    <row r="25" spans="1:8" ht="15.6">
      <c r="A25" s="252"/>
      <c r="B25" s="253"/>
      <c r="C25" s="253"/>
      <c r="D25" s="253"/>
      <c r="E25" s="253"/>
      <c r="F25" s="253"/>
      <c r="G25" s="253"/>
      <c r="H25" s="253"/>
    </row>
    <row r="26" spans="1:8" ht="15.6">
      <c r="A26" s="252"/>
      <c r="B26" s="253"/>
      <c r="C26" s="253"/>
      <c r="D26" s="253"/>
      <c r="E26" s="253"/>
      <c r="F26" s="253"/>
      <c r="G26" s="253"/>
      <c r="H26" s="253"/>
    </row>
    <row r="27" spans="1:8" ht="15.6">
      <c r="A27" s="252"/>
      <c r="B27" s="253"/>
      <c r="C27" s="253"/>
      <c r="D27" s="253"/>
      <c r="E27" s="253"/>
      <c r="F27" s="253"/>
      <c r="G27" s="253"/>
      <c r="H27" s="253"/>
    </row>
    <row r="28" spans="1:8">
      <c r="A28" s="17"/>
      <c r="B28" s="17"/>
      <c r="C28" s="97"/>
      <c r="D28" s="20"/>
      <c r="E28" s="19"/>
      <c r="F28" s="97"/>
      <c r="G28" s="19"/>
      <c r="H28" s="17"/>
    </row>
    <row r="29" spans="1:8" s="109" customFormat="1" ht="16.5" customHeight="1">
      <c r="A29" s="108"/>
      <c r="B29" s="108"/>
      <c r="C29" s="424" t="s">
        <v>1742</v>
      </c>
      <c r="D29" s="424"/>
      <c r="E29" s="424"/>
      <c r="F29" s="424"/>
      <c r="G29" s="424"/>
      <c r="H29" s="424"/>
    </row>
    <row r="30" spans="1:8" s="109" customFormat="1" ht="16.5" customHeight="1">
      <c r="A30" s="423" t="s">
        <v>63</v>
      </c>
      <c r="B30" s="423"/>
      <c r="C30" s="424" t="s">
        <v>1743</v>
      </c>
      <c r="D30" s="424"/>
      <c r="E30" s="424"/>
      <c r="F30" s="424" t="s">
        <v>1744</v>
      </c>
      <c r="G30" s="424"/>
      <c r="H30" s="424"/>
    </row>
    <row r="31" spans="1:8" s="109" customFormat="1" ht="15.6">
      <c r="A31" s="108"/>
      <c r="B31" s="108"/>
      <c r="C31" s="108"/>
      <c r="D31" s="110"/>
      <c r="E31" s="111"/>
      <c r="F31" s="112"/>
      <c r="G31" s="111"/>
      <c r="H31" s="113"/>
    </row>
    <row r="32" spans="1:8" s="109" customFormat="1" ht="15.6">
      <c r="A32" s="108"/>
      <c r="B32" s="108"/>
      <c r="C32" s="108"/>
      <c r="D32" s="110"/>
      <c r="E32" s="111"/>
      <c r="F32" s="112"/>
      <c r="G32" s="114"/>
      <c r="H32" s="113"/>
    </row>
    <row r="33" spans="1:8" s="109" customFormat="1" ht="15.6">
      <c r="A33" s="108"/>
      <c r="B33" s="108"/>
      <c r="C33" s="108"/>
      <c r="D33" s="110"/>
      <c r="E33" s="111"/>
      <c r="F33" s="112"/>
      <c r="G33" s="111"/>
      <c r="H33" s="113"/>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6.5" customHeight="1">
      <c r="A36" s="108"/>
      <c r="B36" s="198" t="s">
        <v>64</v>
      </c>
      <c r="C36" s="424"/>
      <c r="D36" s="424"/>
      <c r="E36" s="424"/>
      <c r="F36" s="424" t="s">
        <v>1745</v>
      </c>
      <c r="G36" s="424"/>
      <c r="H36" s="424"/>
    </row>
    <row r="37" spans="1:8" s="109" customFormat="1" ht="15.6">
      <c r="A37" s="108"/>
      <c r="B37" s="198"/>
      <c r="C37" s="199"/>
      <c r="D37" s="199"/>
      <c r="E37" s="199"/>
      <c r="F37" s="199"/>
      <c r="G37" s="199"/>
      <c r="H37" s="199"/>
    </row>
    <row r="38" spans="1:8" s="109" customFormat="1" ht="15" customHeight="1">
      <c r="A38" s="424" t="s">
        <v>1746</v>
      </c>
      <c r="B38" s="424"/>
      <c r="C38" s="424"/>
      <c r="D38" s="424"/>
      <c r="E38" s="424" t="s">
        <v>1747</v>
      </c>
      <c r="F38" s="424"/>
      <c r="G38" s="424"/>
      <c r="H38" s="424"/>
    </row>
    <row r="39" spans="1:8" s="109" customFormat="1" ht="33.6" customHeight="1">
      <c r="A39" s="424" t="s">
        <v>1748</v>
      </c>
      <c r="B39" s="424"/>
      <c r="C39" s="424"/>
      <c r="D39" s="424"/>
      <c r="E39" s="424" t="s">
        <v>65</v>
      </c>
      <c r="F39" s="424"/>
      <c r="G39" s="424"/>
      <c r="H39" s="424"/>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 r="A43" s="108"/>
      <c r="B43" s="108"/>
      <c r="C43" s="108"/>
      <c r="D43" s="110"/>
      <c r="E43" s="111"/>
      <c r="F43" s="112"/>
      <c r="G43" s="111"/>
      <c r="H43" s="113"/>
    </row>
    <row r="44" spans="1:8" s="109" customFormat="1" ht="15.6">
      <c r="A44" s="108"/>
      <c r="B44" s="108"/>
      <c r="C44" s="108"/>
      <c r="D44" s="110"/>
      <c r="E44" s="111"/>
      <c r="F44" s="112"/>
      <c r="G44" s="111"/>
      <c r="H44" s="113"/>
    </row>
    <row r="45" spans="1:8" s="109" customFormat="1" ht="15.6" customHeight="1">
      <c r="A45" s="108"/>
      <c r="B45" s="108"/>
      <c r="C45" s="108"/>
      <c r="D45" s="115"/>
      <c r="E45" s="439" t="s">
        <v>1749</v>
      </c>
      <c r="F45" s="439"/>
      <c r="G45" s="439"/>
      <c r="H45" s="439"/>
    </row>
    <row r="46" spans="1:8" s="109" customFormat="1" ht="16.5" customHeight="1">
      <c r="A46" s="424" t="s">
        <v>1751</v>
      </c>
      <c r="B46" s="424"/>
      <c r="C46" s="424"/>
      <c r="D46" s="424"/>
      <c r="E46" s="424" t="s">
        <v>1750</v>
      </c>
      <c r="F46" s="424"/>
      <c r="G46" s="424"/>
      <c r="H46" s="424"/>
    </row>
    <row r="47" spans="1:8" s="118" customFormat="1" ht="16.2" customHeight="1">
      <c r="A47" s="440"/>
      <c r="B47" s="440"/>
      <c r="C47" s="116"/>
      <c r="D47" s="117"/>
      <c r="E47" s="440"/>
      <c r="F47" s="440"/>
      <c r="G47" s="440"/>
      <c r="H47" s="440"/>
    </row>
    <row r="48" spans="1:8" s="118" customFormat="1" ht="15.75" customHeight="1">
      <c r="A48" s="440"/>
      <c r="B48" s="440"/>
      <c r="C48" s="440"/>
      <c r="D48" s="440"/>
      <c r="E48" s="440"/>
      <c r="F48" s="440"/>
      <c r="G48" s="440"/>
      <c r="H48" s="440"/>
    </row>
    <row r="49" spans="1:8" s="98" customFormat="1" ht="16.2" customHeight="1">
      <c r="A49" s="436"/>
      <c r="B49" s="436"/>
      <c r="C49" s="436"/>
      <c r="D49" s="436"/>
      <c r="E49" s="119"/>
      <c r="F49" s="120"/>
      <c r="G49" s="119"/>
      <c r="H49" s="121"/>
    </row>
    <row r="50" spans="1:8" s="98" customFormat="1" ht="16.2" customHeight="1">
      <c r="A50" s="436"/>
      <c r="B50" s="436"/>
      <c r="C50" s="436"/>
      <c r="D50" s="436"/>
      <c r="E50" s="119"/>
      <c r="F50" s="120"/>
      <c r="G50" s="119"/>
      <c r="H50" s="121"/>
    </row>
    <row r="51" spans="1:8" s="98" customFormat="1" ht="16.2" customHeight="1">
      <c r="A51" s="121"/>
      <c r="B51" s="121"/>
      <c r="C51" s="121"/>
      <c r="D51" s="122"/>
      <c r="E51" s="119"/>
      <c r="F51" s="120"/>
      <c r="G51" s="119"/>
      <c r="H51" s="121"/>
    </row>
    <row r="52" spans="1:8" ht="16.2" customHeight="1">
      <c r="A52" s="83"/>
      <c r="B52" s="83"/>
      <c r="C52" s="83"/>
      <c r="D52" s="84"/>
      <c r="E52" s="85"/>
      <c r="F52" s="86"/>
      <c r="G52" s="85"/>
      <c r="H52" s="83"/>
    </row>
    <row r="53" spans="1:8" ht="16.2" customHeight="1">
      <c r="A53" s="83"/>
      <c r="B53" s="83"/>
      <c r="C53" s="83"/>
      <c r="D53" s="84"/>
      <c r="E53" s="85"/>
      <c r="F53" s="86"/>
      <c r="G53" s="85"/>
      <c r="H53" s="83"/>
    </row>
    <row r="54" spans="1:8" ht="16.2" customHeight="1">
      <c r="A54" s="83"/>
      <c r="B54" s="83"/>
      <c r="C54" s="83"/>
      <c r="D54" s="84"/>
      <c r="E54" s="85"/>
      <c r="F54" s="86"/>
      <c r="G54" s="85"/>
      <c r="H54" s="83"/>
    </row>
    <row r="55" spans="1:8" ht="16.2" customHeight="1">
      <c r="A55" s="83"/>
      <c r="B55" s="83"/>
      <c r="C55" s="83"/>
      <c r="D55" s="84"/>
      <c r="E55" s="437"/>
      <c r="F55" s="437"/>
      <c r="G55" s="437"/>
      <c r="H55" s="437"/>
    </row>
    <row r="56" spans="1:8" ht="20.25" customHeight="1">
      <c r="A56" s="438"/>
      <c r="B56" s="438"/>
      <c r="C56" s="438"/>
      <c r="D56" s="438"/>
      <c r="E56" s="438"/>
      <c r="F56" s="438"/>
      <c r="G56" s="438"/>
      <c r="H56" s="438"/>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row r="232"/>
    <row r="233"/>
    <row r="234"/>
    <row r="235"/>
    <row r="236"/>
    <row r="237"/>
    <row r="238"/>
    <row r="239"/>
    <row r="240"/>
    <row r="241"/>
    <row r="242"/>
    <row r="243"/>
    <row r="244"/>
    <row r="245"/>
    <row r="246"/>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sheetData>
  <mergeCells count="41">
    <mergeCell ref="A4:B4"/>
    <mergeCell ref="C4:H4"/>
    <mergeCell ref="A1:B1"/>
    <mergeCell ref="C1:H1"/>
    <mergeCell ref="A2:B2"/>
    <mergeCell ref="C2:H2"/>
    <mergeCell ref="A3:B3"/>
    <mergeCell ref="B21:F21"/>
    <mergeCell ref="A6:H6"/>
    <mergeCell ref="A7:H7"/>
    <mergeCell ref="A8:H8"/>
    <mergeCell ref="A9:H9"/>
    <mergeCell ref="A10:H10"/>
    <mergeCell ref="A11:H11"/>
    <mergeCell ref="B13:F13"/>
    <mergeCell ref="B15:F15"/>
    <mergeCell ref="B17:F17"/>
    <mergeCell ref="B18:F18"/>
    <mergeCell ref="B20:F20"/>
    <mergeCell ref="A46:D46"/>
    <mergeCell ref="E46:H46"/>
    <mergeCell ref="A22:H22"/>
    <mergeCell ref="C29:H29"/>
    <mergeCell ref="A30:B30"/>
    <mergeCell ref="C30:E30"/>
    <mergeCell ref="F30:H30"/>
    <mergeCell ref="C36:E36"/>
    <mergeCell ref="F36:H36"/>
    <mergeCell ref="A38:D38"/>
    <mergeCell ref="E38:H38"/>
    <mergeCell ref="A39:D39"/>
    <mergeCell ref="E39:H39"/>
    <mergeCell ref="E45:H45"/>
    <mergeCell ref="E55:H55"/>
    <mergeCell ref="A56:H56"/>
    <mergeCell ref="A47:B47"/>
    <mergeCell ref="E47:H47"/>
    <mergeCell ref="A48:D48"/>
    <mergeCell ref="E48:H48"/>
    <mergeCell ref="A49:D49"/>
    <mergeCell ref="A50:D50"/>
  </mergeCells>
  <dataValidations count="2">
    <dataValidation type="list" allowBlank="1" showInputMessage="1" showErrorMessage="1" sqref="WVJ983048:WVJ983065 B983048:B983065 IX983048:IX983065 ST983048:ST983065 ACP983048:ACP983065 AML983048:AML983065 AWH983048:AWH983065 BGD983048:BGD983065 BPZ983048:BPZ983065 BZV983048:BZV983065 CJR983048:CJR983065 CTN983048:CTN983065 DDJ983048:DDJ983065 DNF983048:DNF983065 DXB983048:DXB983065 EGX983048:EGX983065 EQT983048:EQT983065 FAP983048:FAP983065 FKL983048:FKL983065 FUH983048:FUH983065 GED983048:GED983065 GNZ983048:GNZ983065 GXV983048:GXV983065 HHR983048:HHR983065 HRN983048:HRN983065 IBJ983048:IBJ983065 ILF983048:ILF983065 IVB983048:IVB983065 JEX983048:JEX983065 JOT983048:JOT983065 JYP983048:JYP983065 KIL983048:KIL983065 KSH983048:KSH983065 LCD983048:LCD983065 LLZ983048:LLZ983065 LVV983048:LVV983065 MFR983048:MFR983065 MPN983048:MPN983065 MZJ983048:MZJ983065 NJF983048:NJF983065 NTB983048:NTB983065 OCX983048:OCX983065 OMT983048:OMT983065 OWP983048:OWP983065 PGL983048:PGL983065 PQH983048:PQH983065 QAD983048:QAD983065 QJZ983048:QJZ983065 QTV983048:QTV983065 RDR983048:RDR983065 RNN983048:RNN983065 RXJ983048:RXJ983065 SHF983048:SHF983065 SRB983048:SRB983065 TAX983048:TAX983065 TKT983048:TKT983065 TUP983048:TUP983065 UEL983048:UEL983065 UOH983048:UOH983065 UYD983048:UYD983065 VHZ983048:VHZ983065 VRV983048:VRV983065 WBR983048:WBR983065 WLN983048:WLN983065 B65544:B65561 IX65544:IX65561 ST65544:ST65561 ACP65544:ACP65561 AML65544:AML65561 AWH65544:AWH65561 BGD65544:BGD65561 BPZ65544:BPZ65561 BZV65544:BZV65561 CJR65544:CJR65561 CTN65544:CTN65561 DDJ65544:DDJ65561 DNF65544:DNF65561 DXB65544:DXB65561 EGX65544:EGX65561 EQT65544:EQT65561 FAP65544:FAP65561 FKL65544:FKL65561 FUH65544:FUH65561 GED65544:GED65561 GNZ65544:GNZ65561 GXV65544:GXV65561 HHR65544:HHR65561 HRN65544:HRN65561 IBJ65544:IBJ65561 ILF65544:ILF65561 IVB65544:IVB65561 JEX65544:JEX65561 JOT65544:JOT65561 JYP65544:JYP65561 KIL65544:KIL65561 KSH65544:KSH65561 LCD65544:LCD65561 LLZ65544:LLZ65561 LVV65544:LVV65561 MFR65544:MFR65561 MPN65544:MPN65561 MZJ65544:MZJ65561 NJF65544:NJF65561 NTB65544:NTB65561 OCX65544:OCX65561 OMT65544:OMT65561 OWP65544:OWP65561 PGL65544:PGL65561 PQH65544:PQH65561 QAD65544:QAD65561 QJZ65544:QJZ65561 QTV65544:QTV65561 RDR65544:RDR65561 RNN65544:RNN65561 RXJ65544:RXJ65561 SHF65544:SHF65561 SRB65544:SRB65561 TAX65544:TAX65561 TKT65544:TKT65561 TUP65544:TUP65561 UEL65544:UEL65561 UOH65544:UOH65561 UYD65544:UYD65561 VHZ65544:VHZ65561 VRV65544:VRV65561 WBR65544:WBR65561 WLN65544:WLN65561 WVJ65544:WVJ65561 B131080:B131097 IX131080:IX131097 ST131080:ST131097 ACP131080:ACP131097 AML131080:AML131097 AWH131080:AWH131097 BGD131080:BGD131097 BPZ131080:BPZ131097 BZV131080:BZV131097 CJR131080:CJR131097 CTN131080:CTN131097 DDJ131080:DDJ131097 DNF131080:DNF131097 DXB131080:DXB131097 EGX131080:EGX131097 EQT131080:EQT131097 FAP131080:FAP131097 FKL131080:FKL131097 FUH131080:FUH131097 GED131080:GED131097 GNZ131080:GNZ131097 GXV131080:GXV131097 HHR131080:HHR131097 HRN131080:HRN131097 IBJ131080:IBJ131097 ILF131080:ILF131097 IVB131080:IVB131097 JEX131080:JEX131097 JOT131080:JOT131097 JYP131080:JYP131097 KIL131080:KIL131097 KSH131080:KSH131097 LCD131080:LCD131097 LLZ131080:LLZ131097 LVV131080:LVV131097 MFR131080:MFR131097 MPN131080:MPN131097 MZJ131080:MZJ131097 NJF131080:NJF131097 NTB131080:NTB131097 OCX131080:OCX131097 OMT131080:OMT131097 OWP131080:OWP131097 PGL131080:PGL131097 PQH131080:PQH131097 QAD131080:QAD131097 QJZ131080:QJZ131097 QTV131080:QTV131097 RDR131080:RDR131097 RNN131080:RNN131097 RXJ131080:RXJ131097 SHF131080:SHF131097 SRB131080:SRB131097 TAX131080:TAX131097 TKT131080:TKT131097 TUP131080:TUP131097 UEL131080:UEL131097 UOH131080:UOH131097 UYD131080:UYD131097 VHZ131080:VHZ131097 VRV131080:VRV131097 WBR131080:WBR131097 WLN131080:WLN131097 WVJ131080:WVJ131097 B196616:B196633 IX196616:IX196633 ST196616:ST196633 ACP196616:ACP196633 AML196616:AML196633 AWH196616:AWH196633 BGD196616:BGD196633 BPZ196616:BPZ196633 BZV196616:BZV196633 CJR196616:CJR196633 CTN196616:CTN196633 DDJ196616:DDJ196633 DNF196616:DNF196633 DXB196616:DXB196633 EGX196616:EGX196633 EQT196616:EQT196633 FAP196616:FAP196633 FKL196616:FKL196633 FUH196616:FUH196633 GED196616:GED196633 GNZ196616:GNZ196633 GXV196616:GXV196633 HHR196616:HHR196633 HRN196616:HRN196633 IBJ196616:IBJ196633 ILF196616:ILF196633 IVB196616:IVB196633 JEX196616:JEX196633 JOT196616:JOT196633 JYP196616:JYP196633 KIL196616:KIL196633 KSH196616:KSH196633 LCD196616:LCD196633 LLZ196616:LLZ196633 LVV196616:LVV196633 MFR196616:MFR196633 MPN196616:MPN196633 MZJ196616:MZJ196633 NJF196616:NJF196633 NTB196616:NTB196633 OCX196616:OCX196633 OMT196616:OMT196633 OWP196616:OWP196633 PGL196616:PGL196633 PQH196616:PQH196633 QAD196616:QAD196633 QJZ196616:QJZ196633 QTV196616:QTV196633 RDR196616:RDR196633 RNN196616:RNN196633 RXJ196616:RXJ196633 SHF196616:SHF196633 SRB196616:SRB196633 TAX196616:TAX196633 TKT196616:TKT196633 TUP196616:TUP196633 UEL196616:UEL196633 UOH196616:UOH196633 UYD196616:UYD196633 VHZ196616:VHZ196633 VRV196616:VRV196633 WBR196616:WBR196633 WLN196616:WLN196633 WVJ196616:WVJ196633 B262152:B262169 IX262152:IX262169 ST262152:ST262169 ACP262152:ACP262169 AML262152:AML262169 AWH262152:AWH262169 BGD262152:BGD262169 BPZ262152:BPZ262169 BZV262152:BZV262169 CJR262152:CJR262169 CTN262152:CTN262169 DDJ262152:DDJ262169 DNF262152:DNF262169 DXB262152:DXB262169 EGX262152:EGX262169 EQT262152:EQT262169 FAP262152:FAP262169 FKL262152:FKL262169 FUH262152:FUH262169 GED262152:GED262169 GNZ262152:GNZ262169 GXV262152:GXV262169 HHR262152:HHR262169 HRN262152:HRN262169 IBJ262152:IBJ262169 ILF262152:ILF262169 IVB262152:IVB262169 JEX262152:JEX262169 JOT262152:JOT262169 JYP262152:JYP262169 KIL262152:KIL262169 KSH262152:KSH262169 LCD262152:LCD262169 LLZ262152:LLZ262169 LVV262152:LVV262169 MFR262152:MFR262169 MPN262152:MPN262169 MZJ262152:MZJ262169 NJF262152:NJF262169 NTB262152:NTB262169 OCX262152:OCX262169 OMT262152:OMT262169 OWP262152:OWP262169 PGL262152:PGL262169 PQH262152:PQH262169 QAD262152:QAD262169 QJZ262152:QJZ262169 QTV262152:QTV262169 RDR262152:RDR262169 RNN262152:RNN262169 RXJ262152:RXJ262169 SHF262152:SHF262169 SRB262152:SRB262169 TAX262152:TAX262169 TKT262152:TKT262169 TUP262152:TUP262169 UEL262152:UEL262169 UOH262152:UOH262169 UYD262152:UYD262169 VHZ262152:VHZ262169 VRV262152:VRV262169 WBR262152:WBR262169 WLN262152:WLN262169 WVJ262152:WVJ262169 B327688:B327705 IX327688:IX327705 ST327688:ST327705 ACP327688:ACP327705 AML327688:AML327705 AWH327688:AWH327705 BGD327688:BGD327705 BPZ327688:BPZ327705 BZV327688:BZV327705 CJR327688:CJR327705 CTN327688:CTN327705 DDJ327688:DDJ327705 DNF327688:DNF327705 DXB327688:DXB327705 EGX327688:EGX327705 EQT327688:EQT327705 FAP327688:FAP327705 FKL327688:FKL327705 FUH327688:FUH327705 GED327688:GED327705 GNZ327688:GNZ327705 GXV327688:GXV327705 HHR327688:HHR327705 HRN327688:HRN327705 IBJ327688:IBJ327705 ILF327688:ILF327705 IVB327688:IVB327705 JEX327688:JEX327705 JOT327688:JOT327705 JYP327688:JYP327705 KIL327688:KIL327705 KSH327688:KSH327705 LCD327688:LCD327705 LLZ327688:LLZ327705 LVV327688:LVV327705 MFR327688:MFR327705 MPN327688:MPN327705 MZJ327688:MZJ327705 NJF327688:NJF327705 NTB327688:NTB327705 OCX327688:OCX327705 OMT327688:OMT327705 OWP327688:OWP327705 PGL327688:PGL327705 PQH327688:PQH327705 QAD327688:QAD327705 QJZ327688:QJZ327705 QTV327688:QTV327705 RDR327688:RDR327705 RNN327688:RNN327705 RXJ327688:RXJ327705 SHF327688:SHF327705 SRB327688:SRB327705 TAX327688:TAX327705 TKT327688:TKT327705 TUP327688:TUP327705 UEL327688:UEL327705 UOH327688:UOH327705 UYD327688:UYD327705 VHZ327688:VHZ327705 VRV327688:VRV327705 WBR327688:WBR327705 WLN327688:WLN327705 WVJ327688:WVJ327705 B393224:B393241 IX393224:IX393241 ST393224:ST393241 ACP393224:ACP393241 AML393224:AML393241 AWH393224:AWH393241 BGD393224:BGD393241 BPZ393224:BPZ393241 BZV393224:BZV393241 CJR393224:CJR393241 CTN393224:CTN393241 DDJ393224:DDJ393241 DNF393224:DNF393241 DXB393224:DXB393241 EGX393224:EGX393241 EQT393224:EQT393241 FAP393224:FAP393241 FKL393224:FKL393241 FUH393224:FUH393241 GED393224:GED393241 GNZ393224:GNZ393241 GXV393224:GXV393241 HHR393224:HHR393241 HRN393224:HRN393241 IBJ393224:IBJ393241 ILF393224:ILF393241 IVB393224:IVB393241 JEX393224:JEX393241 JOT393224:JOT393241 JYP393224:JYP393241 KIL393224:KIL393241 KSH393224:KSH393241 LCD393224:LCD393241 LLZ393224:LLZ393241 LVV393224:LVV393241 MFR393224:MFR393241 MPN393224:MPN393241 MZJ393224:MZJ393241 NJF393224:NJF393241 NTB393224:NTB393241 OCX393224:OCX393241 OMT393224:OMT393241 OWP393224:OWP393241 PGL393224:PGL393241 PQH393224:PQH393241 QAD393224:QAD393241 QJZ393224:QJZ393241 QTV393224:QTV393241 RDR393224:RDR393241 RNN393224:RNN393241 RXJ393224:RXJ393241 SHF393224:SHF393241 SRB393224:SRB393241 TAX393224:TAX393241 TKT393224:TKT393241 TUP393224:TUP393241 UEL393224:UEL393241 UOH393224:UOH393241 UYD393224:UYD393241 VHZ393224:VHZ393241 VRV393224:VRV393241 WBR393224:WBR393241 WLN393224:WLN393241 WVJ393224:WVJ393241 B458760:B458777 IX458760:IX458777 ST458760:ST458777 ACP458760:ACP458777 AML458760:AML458777 AWH458760:AWH458777 BGD458760:BGD458777 BPZ458760:BPZ458777 BZV458760:BZV458777 CJR458760:CJR458777 CTN458760:CTN458777 DDJ458760:DDJ458777 DNF458760:DNF458777 DXB458760:DXB458777 EGX458760:EGX458777 EQT458760:EQT458777 FAP458760:FAP458777 FKL458760:FKL458777 FUH458760:FUH458777 GED458760:GED458777 GNZ458760:GNZ458777 GXV458760:GXV458777 HHR458760:HHR458777 HRN458760:HRN458777 IBJ458760:IBJ458777 ILF458760:ILF458777 IVB458760:IVB458777 JEX458760:JEX458777 JOT458760:JOT458777 JYP458760:JYP458777 KIL458760:KIL458777 KSH458760:KSH458777 LCD458760:LCD458777 LLZ458760:LLZ458777 LVV458760:LVV458777 MFR458760:MFR458777 MPN458760:MPN458777 MZJ458760:MZJ458777 NJF458760:NJF458777 NTB458760:NTB458777 OCX458760:OCX458777 OMT458760:OMT458777 OWP458760:OWP458777 PGL458760:PGL458777 PQH458760:PQH458777 QAD458760:QAD458777 QJZ458760:QJZ458777 QTV458760:QTV458777 RDR458760:RDR458777 RNN458760:RNN458777 RXJ458760:RXJ458777 SHF458760:SHF458777 SRB458760:SRB458777 TAX458760:TAX458777 TKT458760:TKT458777 TUP458760:TUP458777 UEL458760:UEL458777 UOH458760:UOH458777 UYD458760:UYD458777 VHZ458760:VHZ458777 VRV458760:VRV458777 WBR458760:WBR458777 WLN458760:WLN458777 WVJ458760:WVJ458777 B524296:B524313 IX524296:IX524313 ST524296:ST524313 ACP524296:ACP524313 AML524296:AML524313 AWH524296:AWH524313 BGD524296:BGD524313 BPZ524296:BPZ524313 BZV524296:BZV524313 CJR524296:CJR524313 CTN524296:CTN524313 DDJ524296:DDJ524313 DNF524296:DNF524313 DXB524296:DXB524313 EGX524296:EGX524313 EQT524296:EQT524313 FAP524296:FAP524313 FKL524296:FKL524313 FUH524296:FUH524313 GED524296:GED524313 GNZ524296:GNZ524313 GXV524296:GXV524313 HHR524296:HHR524313 HRN524296:HRN524313 IBJ524296:IBJ524313 ILF524296:ILF524313 IVB524296:IVB524313 JEX524296:JEX524313 JOT524296:JOT524313 JYP524296:JYP524313 KIL524296:KIL524313 KSH524296:KSH524313 LCD524296:LCD524313 LLZ524296:LLZ524313 LVV524296:LVV524313 MFR524296:MFR524313 MPN524296:MPN524313 MZJ524296:MZJ524313 NJF524296:NJF524313 NTB524296:NTB524313 OCX524296:OCX524313 OMT524296:OMT524313 OWP524296:OWP524313 PGL524296:PGL524313 PQH524296:PQH524313 QAD524296:QAD524313 QJZ524296:QJZ524313 QTV524296:QTV524313 RDR524296:RDR524313 RNN524296:RNN524313 RXJ524296:RXJ524313 SHF524296:SHF524313 SRB524296:SRB524313 TAX524296:TAX524313 TKT524296:TKT524313 TUP524296:TUP524313 UEL524296:UEL524313 UOH524296:UOH524313 UYD524296:UYD524313 VHZ524296:VHZ524313 VRV524296:VRV524313 WBR524296:WBR524313 WLN524296:WLN524313 WVJ524296:WVJ524313 B589832:B589849 IX589832:IX589849 ST589832:ST589849 ACP589832:ACP589849 AML589832:AML589849 AWH589832:AWH589849 BGD589832:BGD589849 BPZ589832:BPZ589849 BZV589832:BZV589849 CJR589832:CJR589849 CTN589832:CTN589849 DDJ589832:DDJ589849 DNF589832:DNF589849 DXB589832:DXB589849 EGX589832:EGX589849 EQT589832:EQT589849 FAP589832:FAP589849 FKL589832:FKL589849 FUH589832:FUH589849 GED589832:GED589849 GNZ589832:GNZ589849 GXV589832:GXV589849 HHR589832:HHR589849 HRN589832:HRN589849 IBJ589832:IBJ589849 ILF589832:ILF589849 IVB589832:IVB589849 JEX589832:JEX589849 JOT589832:JOT589849 JYP589832:JYP589849 KIL589832:KIL589849 KSH589832:KSH589849 LCD589832:LCD589849 LLZ589832:LLZ589849 LVV589832:LVV589849 MFR589832:MFR589849 MPN589832:MPN589849 MZJ589832:MZJ589849 NJF589832:NJF589849 NTB589832:NTB589849 OCX589832:OCX589849 OMT589832:OMT589849 OWP589832:OWP589849 PGL589832:PGL589849 PQH589832:PQH589849 QAD589832:QAD589849 QJZ589832:QJZ589849 QTV589832:QTV589849 RDR589832:RDR589849 RNN589832:RNN589849 RXJ589832:RXJ589849 SHF589832:SHF589849 SRB589832:SRB589849 TAX589832:TAX589849 TKT589832:TKT589849 TUP589832:TUP589849 UEL589832:UEL589849 UOH589832:UOH589849 UYD589832:UYD589849 VHZ589832:VHZ589849 VRV589832:VRV589849 WBR589832:WBR589849 WLN589832:WLN589849 WVJ589832:WVJ589849 B655368:B655385 IX655368:IX655385 ST655368:ST655385 ACP655368:ACP655385 AML655368:AML655385 AWH655368:AWH655385 BGD655368:BGD655385 BPZ655368:BPZ655385 BZV655368:BZV655385 CJR655368:CJR655385 CTN655368:CTN655385 DDJ655368:DDJ655385 DNF655368:DNF655385 DXB655368:DXB655385 EGX655368:EGX655385 EQT655368:EQT655385 FAP655368:FAP655385 FKL655368:FKL655385 FUH655368:FUH655385 GED655368:GED655385 GNZ655368:GNZ655385 GXV655368:GXV655385 HHR655368:HHR655385 HRN655368:HRN655385 IBJ655368:IBJ655385 ILF655368:ILF655385 IVB655368:IVB655385 JEX655368:JEX655385 JOT655368:JOT655385 JYP655368:JYP655385 KIL655368:KIL655385 KSH655368:KSH655385 LCD655368:LCD655385 LLZ655368:LLZ655385 LVV655368:LVV655385 MFR655368:MFR655385 MPN655368:MPN655385 MZJ655368:MZJ655385 NJF655368:NJF655385 NTB655368:NTB655385 OCX655368:OCX655385 OMT655368:OMT655385 OWP655368:OWP655385 PGL655368:PGL655385 PQH655368:PQH655385 QAD655368:QAD655385 QJZ655368:QJZ655385 QTV655368:QTV655385 RDR655368:RDR655385 RNN655368:RNN655385 RXJ655368:RXJ655385 SHF655368:SHF655385 SRB655368:SRB655385 TAX655368:TAX655385 TKT655368:TKT655385 TUP655368:TUP655385 UEL655368:UEL655385 UOH655368:UOH655385 UYD655368:UYD655385 VHZ655368:VHZ655385 VRV655368:VRV655385 WBR655368:WBR655385 WLN655368:WLN655385 WVJ655368:WVJ655385 B720904:B720921 IX720904:IX720921 ST720904:ST720921 ACP720904:ACP720921 AML720904:AML720921 AWH720904:AWH720921 BGD720904:BGD720921 BPZ720904:BPZ720921 BZV720904:BZV720921 CJR720904:CJR720921 CTN720904:CTN720921 DDJ720904:DDJ720921 DNF720904:DNF720921 DXB720904:DXB720921 EGX720904:EGX720921 EQT720904:EQT720921 FAP720904:FAP720921 FKL720904:FKL720921 FUH720904:FUH720921 GED720904:GED720921 GNZ720904:GNZ720921 GXV720904:GXV720921 HHR720904:HHR720921 HRN720904:HRN720921 IBJ720904:IBJ720921 ILF720904:ILF720921 IVB720904:IVB720921 JEX720904:JEX720921 JOT720904:JOT720921 JYP720904:JYP720921 KIL720904:KIL720921 KSH720904:KSH720921 LCD720904:LCD720921 LLZ720904:LLZ720921 LVV720904:LVV720921 MFR720904:MFR720921 MPN720904:MPN720921 MZJ720904:MZJ720921 NJF720904:NJF720921 NTB720904:NTB720921 OCX720904:OCX720921 OMT720904:OMT720921 OWP720904:OWP720921 PGL720904:PGL720921 PQH720904:PQH720921 QAD720904:QAD720921 QJZ720904:QJZ720921 QTV720904:QTV720921 RDR720904:RDR720921 RNN720904:RNN720921 RXJ720904:RXJ720921 SHF720904:SHF720921 SRB720904:SRB720921 TAX720904:TAX720921 TKT720904:TKT720921 TUP720904:TUP720921 UEL720904:UEL720921 UOH720904:UOH720921 UYD720904:UYD720921 VHZ720904:VHZ720921 VRV720904:VRV720921 WBR720904:WBR720921 WLN720904:WLN720921 WVJ720904:WVJ720921 B786440:B786457 IX786440:IX786457 ST786440:ST786457 ACP786440:ACP786457 AML786440:AML786457 AWH786440:AWH786457 BGD786440:BGD786457 BPZ786440:BPZ786457 BZV786440:BZV786457 CJR786440:CJR786457 CTN786440:CTN786457 DDJ786440:DDJ786457 DNF786440:DNF786457 DXB786440:DXB786457 EGX786440:EGX786457 EQT786440:EQT786457 FAP786440:FAP786457 FKL786440:FKL786457 FUH786440:FUH786457 GED786440:GED786457 GNZ786440:GNZ786457 GXV786440:GXV786457 HHR786440:HHR786457 HRN786440:HRN786457 IBJ786440:IBJ786457 ILF786440:ILF786457 IVB786440:IVB786457 JEX786440:JEX786457 JOT786440:JOT786457 JYP786440:JYP786457 KIL786440:KIL786457 KSH786440:KSH786457 LCD786440:LCD786457 LLZ786440:LLZ786457 LVV786440:LVV786457 MFR786440:MFR786457 MPN786440:MPN786457 MZJ786440:MZJ786457 NJF786440:NJF786457 NTB786440:NTB786457 OCX786440:OCX786457 OMT786440:OMT786457 OWP786440:OWP786457 PGL786440:PGL786457 PQH786440:PQH786457 QAD786440:QAD786457 QJZ786440:QJZ786457 QTV786440:QTV786457 RDR786440:RDR786457 RNN786440:RNN786457 RXJ786440:RXJ786457 SHF786440:SHF786457 SRB786440:SRB786457 TAX786440:TAX786457 TKT786440:TKT786457 TUP786440:TUP786457 UEL786440:UEL786457 UOH786440:UOH786457 UYD786440:UYD786457 VHZ786440:VHZ786457 VRV786440:VRV786457 WBR786440:WBR786457 WLN786440:WLN786457 WVJ786440:WVJ786457 B851976:B851993 IX851976:IX851993 ST851976:ST851993 ACP851976:ACP851993 AML851976:AML851993 AWH851976:AWH851993 BGD851976:BGD851993 BPZ851976:BPZ851993 BZV851976:BZV851993 CJR851976:CJR851993 CTN851976:CTN851993 DDJ851976:DDJ851993 DNF851976:DNF851993 DXB851976:DXB851993 EGX851976:EGX851993 EQT851976:EQT851993 FAP851976:FAP851993 FKL851976:FKL851993 FUH851976:FUH851993 GED851976:GED851993 GNZ851976:GNZ851993 GXV851976:GXV851993 HHR851976:HHR851993 HRN851976:HRN851993 IBJ851976:IBJ851993 ILF851976:ILF851993 IVB851976:IVB851993 JEX851976:JEX851993 JOT851976:JOT851993 JYP851976:JYP851993 KIL851976:KIL851993 KSH851976:KSH851993 LCD851976:LCD851993 LLZ851976:LLZ851993 LVV851976:LVV851993 MFR851976:MFR851993 MPN851976:MPN851993 MZJ851976:MZJ851993 NJF851976:NJF851993 NTB851976:NTB851993 OCX851976:OCX851993 OMT851976:OMT851993 OWP851976:OWP851993 PGL851976:PGL851993 PQH851976:PQH851993 QAD851976:QAD851993 QJZ851976:QJZ851993 QTV851976:QTV851993 RDR851976:RDR851993 RNN851976:RNN851993 RXJ851976:RXJ851993 SHF851976:SHF851993 SRB851976:SRB851993 TAX851976:TAX851993 TKT851976:TKT851993 TUP851976:TUP851993 UEL851976:UEL851993 UOH851976:UOH851993 UYD851976:UYD851993 VHZ851976:VHZ851993 VRV851976:VRV851993 WBR851976:WBR851993 WLN851976:WLN851993 WVJ851976:WVJ851993 B917512:B917529 IX917512:IX917529 ST917512:ST917529 ACP917512:ACP917529 AML917512:AML917529 AWH917512:AWH917529 BGD917512:BGD917529 BPZ917512:BPZ917529 BZV917512:BZV917529 CJR917512:CJR917529 CTN917512:CTN917529 DDJ917512:DDJ917529 DNF917512:DNF917529 DXB917512:DXB917529 EGX917512:EGX917529 EQT917512:EQT917529 FAP917512:FAP917529 FKL917512:FKL917529 FUH917512:FUH917529 GED917512:GED917529 GNZ917512:GNZ917529 GXV917512:GXV917529 HHR917512:HHR917529 HRN917512:HRN917529 IBJ917512:IBJ917529 ILF917512:ILF917529 IVB917512:IVB917529 JEX917512:JEX917529 JOT917512:JOT917529 JYP917512:JYP917529 KIL917512:KIL917529 KSH917512:KSH917529 LCD917512:LCD917529 LLZ917512:LLZ917529 LVV917512:LVV917529 MFR917512:MFR917529 MPN917512:MPN917529 MZJ917512:MZJ917529 NJF917512:NJF917529 NTB917512:NTB917529 OCX917512:OCX917529 OMT917512:OMT917529 OWP917512:OWP917529 PGL917512:PGL917529 PQH917512:PQH917529 QAD917512:QAD917529 QJZ917512:QJZ917529 QTV917512:QTV917529 RDR917512:RDR917529 RNN917512:RNN917529 RXJ917512:RXJ917529 SHF917512:SHF917529 SRB917512:SRB917529 TAX917512:TAX917529 TKT917512:TKT917529 TUP917512:TUP917529 UEL917512:UEL917529 UOH917512:UOH917529 UYD917512:UYD917529 VHZ917512:VHZ917529 VRV917512:VRV917529 WBR917512:WBR917529 WLN917512:WLN917529 WVJ917512:WVJ917529" xr:uid="{00000000-0002-0000-4700-000000000000}">
      <formula1>trung</formula1>
    </dataValidation>
    <dataValidation type="list" allowBlank="1" showInputMessage="1" showErrorMessage="1" sqref="B19" xr:uid="{00000000-0002-0000-4700-000001000000}">
      <formula1>bichphuong</formula1>
    </dataValidation>
  </dataValidations>
  <pageMargins left="0.7" right="0.7" top="0.75" bottom="0.75" header="0.3" footer="0.3"/>
  <pageSetup paperSize="9" orientation="portrait"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H414"/>
  <sheetViews>
    <sheetView topLeftCell="A18" workbookViewId="0">
      <selection activeCell="E25" sqref="E25"/>
    </sheetView>
  </sheetViews>
  <sheetFormatPr defaultColWidth="36.09765625" defaultRowHeight="15" customHeight="1" zeroHeight="1"/>
  <cols>
    <col min="1" max="1" width="5.69921875" style="16" customWidth="1"/>
    <col min="2" max="2" width="20.8984375" style="16" customWidth="1"/>
    <col min="3" max="3" width="7.5" style="87" customWidth="1"/>
    <col min="4" max="4" width="8.09765625" style="88" customWidth="1"/>
    <col min="5" max="5" width="9.5" style="89" customWidth="1"/>
    <col min="6" max="6" width="5.19921875" style="87" customWidth="1"/>
    <col min="7" max="7" width="10.59765625" style="89" customWidth="1"/>
    <col min="8" max="8" width="7.59765625" style="16" customWidth="1"/>
    <col min="9" max="248" width="0" style="16" hidden="1" customWidth="1"/>
    <col min="249" max="249" width="8.09765625" style="16" customWidth="1"/>
    <col min="250" max="250" width="3" style="16" customWidth="1"/>
    <col min="251" max="251" width="5.5" style="16" customWidth="1"/>
    <col min="252" max="252" width="3.5" style="16" customWidth="1"/>
    <col min="253" max="253" width="7.5" style="16" customWidth="1"/>
    <col min="254" max="254" width="9.765625E-2" style="16" customWidth="1"/>
    <col min="255" max="255" width="0.5" style="16" customWidth="1"/>
    <col min="256" max="256" width="36.09765625" style="16"/>
    <col min="257" max="257" width="3.59765625" style="16" customWidth="1"/>
    <col min="258" max="258" width="22.8984375" style="16" customWidth="1"/>
    <col min="259" max="259" width="4.5" style="16" customWidth="1"/>
    <col min="260" max="260" width="5.5" style="16" customWidth="1"/>
    <col min="261" max="261" width="9.5" style="16" customWidth="1"/>
    <col min="262" max="262" width="5.19921875" style="16" customWidth="1"/>
    <col min="263" max="263" width="10.59765625" style="16" customWidth="1"/>
    <col min="264" max="264" width="7.59765625" style="16" customWidth="1"/>
    <col min="265" max="504" width="0" style="16" hidden="1" customWidth="1"/>
    <col min="505" max="505" width="8.09765625" style="16" customWidth="1"/>
    <col min="506" max="506" width="3" style="16" customWidth="1"/>
    <col min="507" max="507" width="5.5" style="16" customWidth="1"/>
    <col min="508" max="508" width="3.5" style="16" customWidth="1"/>
    <col min="509" max="509" width="7.5" style="16" customWidth="1"/>
    <col min="510" max="510" width="9.765625E-2" style="16" customWidth="1"/>
    <col min="511" max="511" width="0.5" style="16" customWidth="1"/>
    <col min="512" max="512" width="36.09765625" style="16"/>
    <col min="513" max="513" width="3.59765625" style="16" customWidth="1"/>
    <col min="514" max="514" width="22.8984375" style="16" customWidth="1"/>
    <col min="515" max="515" width="4.5" style="16" customWidth="1"/>
    <col min="516" max="516" width="5.5" style="16" customWidth="1"/>
    <col min="517" max="517" width="9.5" style="16" customWidth="1"/>
    <col min="518" max="518" width="5.19921875" style="16" customWidth="1"/>
    <col min="519" max="519" width="10.59765625" style="16" customWidth="1"/>
    <col min="520" max="520" width="7.59765625" style="16" customWidth="1"/>
    <col min="521" max="760" width="0" style="16" hidden="1" customWidth="1"/>
    <col min="761" max="761" width="8.09765625" style="16" customWidth="1"/>
    <col min="762" max="762" width="3" style="16" customWidth="1"/>
    <col min="763" max="763" width="5.5" style="16" customWidth="1"/>
    <col min="764" max="764" width="3.5" style="16" customWidth="1"/>
    <col min="765" max="765" width="7.5" style="16" customWidth="1"/>
    <col min="766" max="766" width="9.765625E-2" style="16" customWidth="1"/>
    <col min="767" max="767" width="0.5" style="16" customWidth="1"/>
    <col min="768" max="768" width="36.09765625" style="16"/>
    <col min="769" max="769" width="3.59765625" style="16" customWidth="1"/>
    <col min="770" max="770" width="22.8984375" style="16" customWidth="1"/>
    <col min="771" max="771" width="4.5" style="16" customWidth="1"/>
    <col min="772" max="772" width="5.5" style="16" customWidth="1"/>
    <col min="773" max="773" width="9.5" style="16" customWidth="1"/>
    <col min="774" max="774" width="5.19921875" style="16" customWidth="1"/>
    <col min="775" max="775" width="10.59765625" style="16" customWidth="1"/>
    <col min="776" max="776" width="7.59765625" style="16" customWidth="1"/>
    <col min="777" max="1016" width="0" style="16" hidden="1" customWidth="1"/>
    <col min="1017" max="1017" width="8.09765625" style="16" customWidth="1"/>
    <col min="1018" max="1018" width="3" style="16" customWidth="1"/>
    <col min="1019" max="1019" width="5.5" style="16" customWidth="1"/>
    <col min="1020" max="1020" width="3.5" style="16" customWidth="1"/>
    <col min="1021" max="1021" width="7.5" style="16" customWidth="1"/>
    <col min="1022" max="1022" width="9.765625E-2" style="16" customWidth="1"/>
    <col min="1023" max="1023" width="0.5" style="16" customWidth="1"/>
    <col min="1024" max="1024" width="36.09765625" style="16"/>
    <col min="1025" max="1025" width="3.59765625" style="16" customWidth="1"/>
    <col min="1026" max="1026" width="22.8984375" style="16" customWidth="1"/>
    <col min="1027" max="1027" width="4.5" style="16" customWidth="1"/>
    <col min="1028" max="1028" width="5.5" style="16" customWidth="1"/>
    <col min="1029" max="1029" width="9.5" style="16" customWidth="1"/>
    <col min="1030" max="1030" width="5.19921875" style="16" customWidth="1"/>
    <col min="1031" max="1031" width="10.59765625" style="16" customWidth="1"/>
    <col min="1032" max="1032" width="7.59765625" style="16" customWidth="1"/>
    <col min="1033" max="1272" width="0" style="16" hidden="1" customWidth="1"/>
    <col min="1273" max="1273" width="8.09765625" style="16" customWidth="1"/>
    <col min="1274" max="1274" width="3" style="16" customWidth="1"/>
    <col min="1275" max="1275" width="5.5" style="16" customWidth="1"/>
    <col min="1276" max="1276" width="3.5" style="16" customWidth="1"/>
    <col min="1277" max="1277" width="7.5" style="16" customWidth="1"/>
    <col min="1278" max="1278" width="9.765625E-2" style="16" customWidth="1"/>
    <col min="1279" max="1279" width="0.5" style="16" customWidth="1"/>
    <col min="1280" max="1280" width="36.09765625" style="16"/>
    <col min="1281" max="1281" width="3.59765625" style="16" customWidth="1"/>
    <col min="1282" max="1282" width="22.8984375" style="16" customWidth="1"/>
    <col min="1283" max="1283" width="4.5" style="16" customWidth="1"/>
    <col min="1284" max="1284" width="5.5" style="16" customWidth="1"/>
    <col min="1285" max="1285" width="9.5" style="16" customWidth="1"/>
    <col min="1286" max="1286" width="5.19921875" style="16" customWidth="1"/>
    <col min="1287" max="1287" width="10.59765625" style="16" customWidth="1"/>
    <col min="1288" max="1288" width="7.59765625" style="16" customWidth="1"/>
    <col min="1289" max="1528" width="0" style="16" hidden="1" customWidth="1"/>
    <col min="1529" max="1529" width="8.09765625" style="16" customWidth="1"/>
    <col min="1530" max="1530" width="3" style="16" customWidth="1"/>
    <col min="1531" max="1531" width="5.5" style="16" customWidth="1"/>
    <col min="1532" max="1532" width="3.5" style="16" customWidth="1"/>
    <col min="1533" max="1533" width="7.5" style="16" customWidth="1"/>
    <col min="1534" max="1534" width="9.765625E-2" style="16" customWidth="1"/>
    <col min="1535" max="1535" width="0.5" style="16" customWidth="1"/>
    <col min="1536" max="1536" width="36.09765625" style="16"/>
    <col min="1537" max="1537" width="3.59765625" style="16" customWidth="1"/>
    <col min="1538" max="1538" width="22.8984375" style="16" customWidth="1"/>
    <col min="1539" max="1539" width="4.5" style="16" customWidth="1"/>
    <col min="1540" max="1540" width="5.5" style="16" customWidth="1"/>
    <col min="1541" max="1541" width="9.5" style="16" customWidth="1"/>
    <col min="1542" max="1542" width="5.19921875" style="16" customWidth="1"/>
    <col min="1543" max="1543" width="10.59765625" style="16" customWidth="1"/>
    <col min="1544" max="1544" width="7.59765625" style="16" customWidth="1"/>
    <col min="1545" max="1784" width="0" style="16" hidden="1" customWidth="1"/>
    <col min="1785" max="1785" width="8.09765625" style="16" customWidth="1"/>
    <col min="1786" max="1786" width="3" style="16" customWidth="1"/>
    <col min="1787" max="1787" width="5.5" style="16" customWidth="1"/>
    <col min="1788" max="1788" width="3.5" style="16" customWidth="1"/>
    <col min="1789" max="1789" width="7.5" style="16" customWidth="1"/>
    <col min="1790" max="1790" width="9.765625E-2" style="16" customWidth="1"/>
    <col min="1791" max="1791" width="0.5" style="16" customWidth="1"/>
    <col min="1792" max="1792" width="36.09765625" style="16"/>
    <col min="1793" max="1793" width="3.59765625" style="16" customWidth="1"/>
    <col min="1794" max="1794" width="22.8984375" style="16" customWidth="1"/>
    <col min="1795" max="1795" width="4.5" style="16" customWidth="1"/>
    <col min="1796" max="1796" width="5.5" style="16" customWidth="1"/>
    <col min="1797" max="1797" width="9.5" style="16" customWidth="1"/>
    <col min="1798" max="1798" width="5.19921875" style="16" customWidth="1"/>
    <col min="1799" max="1799" width="10.59765625" style="16" customWidth="1"/>
    <col min="1800" max="1800" width="7.59765625" style="16" customWidth="1"/>
    <col min="1801" max="2040" width="0" style="16" hidden="1" customWidth="1"/>
    <col min="2041" max="2041" width="8.09765625" style="16" customWidth="1"/>
    <col min="2042" max="2042" width="3" style="16" customWidth="1"/>
    <col min="2043" max="2043" width="5.5" style="16" customWidth="1"/>
    <col min="2044" max="2044" width="3.5" style="16" customWidth="1"/>
    <col min="2045" max="2045" width="7.5" style="16" customWidth="1"/>
    <col min="2046" max="2046" width="9.765625E-2" style="16" customWidth="1"/>
    <col min="2047" max="2047" width="0.5" style="16" customWidth="1"/>
    <col min="2048" max="2048" width="36.09765625" style="16"/>
    <col min="2049" max="2049" width="3.59765625" style="16" customWidth="1"/>
    <col min="2050" max="2050" width="22.8984375" style="16" customWidth="1"/>
    <col min="2051" max="2051" width="4.5" style="16" customWidth="1"/>
    <col min="2052" max="2052" width="5.5" style="16" customWidth="1"/>
    <col min="2053" max="2053" width="9.5" style="16" customWidth="1"/>
    <col min="2054" max="2054" width="5.19921875" style="16" customWidth="1"/>
    <col min="2055" max="2055" width="10.59765625" style="16" customWidth="1"/>
    <col min="2056" max="2056" width="7.59765625" style="16" customWidth="1"/>
    <col min="2057" max="2296" width="0" style="16" hidden="1" customWidth="1"/>
    <col min="2297" max="2297" width="8.09765625" style="16" customWidth="1"/>
    <col min="2298" max="2298" width="3" style="16" customWidth="1"/>
    <col min="2299" max="2299" width="5.5" style="16" customWidth="1"/>
    <col min="2300" max="2300" width="3.5" style="16" customWidth="1"/>
    <col min="2301" max="2301" width="7.5" style="16" customWidth="1"/>
    <col min="2302" max="2302" width="9.765625E-2" style="16" customWidth="1"/>
    <col min="2303" max="2303" width="0.5" style="16" customWidth="1"/>
    <col min="2304" max="2304" width="36.09765625" style="16"/>
    <col min="2305" max="2305" width="3.59765625" style="16" customWidth="1"/>
    <col min="2306" max="2306" width="22.8984375" style="16" customWidth="1"/>
    <col min="2307" max="2307" width="4.5" style="16" customWidth="1"/>
    <col min="2308" max="2308" width="5.5" style="16" customWidth="1"/>
    <col min="2309" max="2309" width="9.5" style="16" customWidth="1"/>
    <col min="2310" max="2310" width="5.19921875" style="16" customWidth="1"/>
    <col min="2311" max="2311" width="10.59765625" style="16" customWidth="1"/>
    <col min="2312" max="2312" width="7.59765625" style="16" customWidth="1"/>
    <col min="2313" max="2552" width="0" style="16" hidden="1" customWidth="1"/>
    <col min="2553" max="2553" width="8.09765625" style="16" customWidth="1"/>
    <col min="2554" max="2554" width="3" style="16" customWidth="1"/>
    <col min="2555" max="2555" width="5.5" style="16" customWidth="1"/>
    <col min="2556" max="2556" width="3.5" style="16" customWidth="1"/>
    <col min="2557" max="2557" width="7.5" style="16" customWidth="1"/>
    <col min="2558" max="2558" width="9.765625E-2" style="16" customWidth="1"/>
    <col min="2559" max="2559" width="0.5" style="16" customWidth="1"/>
    <col min="2560" max="2560" width="36.09765625" style="16"/>
    <col min="2561" max="2561" width="3.59765625" style="16" customWidth="1"/>
    <col min="2562" max="2562" width="22.8984375" style="16" customWidth="1"/>
    <col min="2563" max="2563" width="4.5" style="16" customWidth="1"/>
    <col min="2564" max="2564" width="5.5" style="16" customWidth="1"/>
    <col min="2565" max="2565" width="9.5" style="16" customWidth="1"/>
    <col min="2566" max="2566" width="5.19921875" style="16" customWidth="1"/>
    <col min="2567" max="2567" width="10.59765625" style="16" customWidth="1"/>
    <col min="2568" max="2568" width="7.59765625" style="16" customWidth="1"/>
    <col min="2569" max="2808" width="0" style="16" hidden="1" customWidth="1"/>
    <col min="2809" max="2809" width="8.09765625" style="16" customWidth="1"/>
    <col min="2810" max="2810" width="3" style="16" customWidth="1"/>
    <col min="2811" max="2811" width="5.5" style="16" customWidth="1"/>
    <col min="2812" max="2812" width="3.5" style="16" customWidth="1"/>
    <col min="2813" max="2813" width="7.5" style="16" customWidth="1"/>
    <col min="2814" max="2814" width="9.765625E-2" style="16" customWidth="1"/>
    <col min="2815" max="2815" width="0.5" style="16" customWidth="1"/>
    <col min="2816" max="2816" width="36.09765625" style="16"/>
    <col min="2817" max="2817" width="3.59765625" style="16" customWidth="1"/>
    <col min="2818" max="2818" width="22.8984375" style="16" customWidth="1"/>
    <col min="2819" max="2819" width="4.5" style="16" customWidth="1"/>
    <col min="2820" max="2820" width="5.5" style="16" customWidth="1"/>
    <col min="2821" max="2821" width="9.5" style="16" customWidth="1"/>
    <col min="2822" max="2822" width="5.19921875" style="16" customWidth="1"/>
    <col min="2823" max="2823" width="10.59765625" style="16" customWidth="1"/>
    <col min="2824" max="2824" width="7.59765625" style="16" customWidth="1"/>
    <col min="2825" max="3064" width="0" style="16" hidden="1" customWidth="1"/>
    <col min="3065" max="3065" width="8.09765625" style="16" customWidth="1"/>
    <col min="3066" max="3066" width="3" style="16" customWidth="1"/>
    <col min="3067" max="3067" width="5.5" style="16" customWidth="1"/>
    <col min="3068" max="3068" width="3.5" style="16" customWidth="1"/>
    <col min="3069" max="3069" width="7.5" style="16" customWidth="1"/>
    <col min="3070" max="3070" width="9.765625E-2" style="16" customWidth="1"/>
    <col min="3071" max="3071" width="0.5" style="16" customWidth="1"/>
    <col min="3072" max="3072" width="36.09765625" style="16"/>
    <col min="3073" max="3073" width="3.59765625" style="16" customWidth="1"/>
    <col min="3074" max="3074" width="22.8984375" style="16" customWidth="1"/>
    <col min="3075" max="3075" width="4.5" style="16" customWidth="1"/>
    <col min="3076" max="3076" width="5.5" style="16" customWidth="1"/>
    <col min="3077" max="3077" width="9.5" style="16" customWidth="1"/>
    <col min="3078" max="3078" width="5.19921875" style="16" customWidth="1"/>
    <col min="3079" max="3079" width="10.59765625" style="16" customWidth="1"/>
    <col min="3080" max="3080" width="7.59765625" style="16" customWidth="1"/>
    <col min="3081" max="3320" width="0" style="16" hidden="1" customWidth="1"/>
    <col min="3321" max="3321" width="8.09765625" style="16" customWidth="1"/>
    <col min="3322" max="3322" width="3" style="16" customWidth="1"/>
    <col min="3323" max="3323" width="5.5" style="16" customWidth="1"/>
    <col min="3324" max="3324" width="3.5" style="16" customWidth="1"/>
    <col min="3325" max="3325" width="7.5" style="16" customWidth="1"/>
    <col min="3326" max="3326" width="9.765625E-2" style="16" customWidth="1"/>
    <col min="3327" max="3327" width="0.5" style="16" customWidth="1"/>
    <col min="3328" max="3328" width="36.09765625" style="16"/>
    <col min="3329" max="3329" width="3.59765625" style="16" customWidth="1"/>
    <col min="3330" max="3330" width="22.8984375" style="16" customWidth="1"/>
    <col min="3331" max="3331" width="4.5" style="16" customWidth="1"/>
    <col min="3332" max="3332" width="5.5" style="16" customWidth="1"/>
    <col min="3333" max="3333" width="9.5" style="16" customWidth="1"/>
    <col min="3334" max="3334" width="5.19921875" style="16" customWidth="1"/>
    <col min="3335" max="3335" width="10.59765625" style="16" customWidth="1"/>
    <col min="3336" max="3336" width="7.59765625" style="16" customWidth="1"/>
    <col min="3337" max="3576" width="0" style="16" hidden="1" customWidth="1"/>
    <col min="3577" max="3577" width="8.09765625" style="16" customWidth="1"/>
    <col min="3578" max="3578" width="3" style="16" customWidth="1"/>
    <col min="3579" max="3579" width="5.5" style="16" customWidth="1"/>
    <col min="3580" max="3580" width="3.5" style="16" customWidth="1"/>
    <col min="3581" max="3581" width="7.5" style="16" customWidth="1"/>
    <col min="3582" max="3582" width="9.765625E-2" style="16" customWidth="1"/>
    <col min="3583" max="3583" width="0.5" style="16" customWidth="1"/>
    <col min="3584" max="3584" width="36.09765625" style="16"/>
    <col min="3585" max="3585" width="3.59765625" style="16" customWidth="1"/>
    <col min="3586" max="3586" width="22.8984375" style="16" customWidth="1"/>
    <col min="3587" max="3587" width="4.5" style="16" customWidth="1"/>
    <col min="3588" max="3588" width="5.5" style="16" customWidth="1"/>
    <col min="3589" max="3589" width="9.5" style="16" customWidth="1"/>
    <col min="3590" max="3590" width="5.19921875" style="16" customWidth="1"/>
    <col min="3591" max="3591" width="10.59765625" style="16" customWidth="1"/>
    <col min="3592" max="3592" width="7.59765625" style="16" customWidth="1"/>
    <col min="3593" max="3832" width="0" style="16" hidden="1" customWidth="1"/>
    <col min="3833" max="3833" width="8.09765625" style="16" customWidth="1"/>
    <col min="3834" max="3834" width="3" style="16" customWidth="1"/>
    <col min="3835" max="3835" width="5.5" style="16" customWidth="1"/>
    <col min="3836" max="3836" width="3.5" style="16" customWidth="1"/>
    <col min="3837" max="3837" width="7.5" style="16" customWidth="1"/>
    <col min="3838" max="3838" width="9.765625E-2" style="16" customWidth="1"/>
    <col min="3839" max="3839" width="0.5" style="16" customWidth="1"/>
    <col min="3840" max="3840" width="36.09765625" style="16"/>
    <col min="3841" max="3841" width="3.59765625" style="16" customWidth="1"/>
    <col min="3842" max="3842" width="22.8984375" style="16" customWidth="1"/>
    <col min="3843" max="3843" width="4.5" style="16" customWidth="1"/>
    <col min="3844" max="3844" width="5.5" style="16" customWidth="1"/>
    <col min="3845" max="3845" width="9.5" style="16" customWidth="1"/>
    <col min="3846" max="3846" width="5.19921875" style="16" customWidth="1"/>
    <col min="3847" max="3847" width="10.59765625" style="16" customWidth="1"/>
    <col min="3848" max="3848" width="7.59765625" style="16" customWidth="1"/>
    <col min="3849" max="4088" width="0" style="16" hidden="1" customWidth="1"/>
    <col min="4089" max="4089" width="8.09765625" style="16" customWidth="1"/>
    <col min="4090" max="4090" width="3" style="16" customWidth="1"/>
    <col min="4091" max="4091" width="5.5" style="16" customWidth="1"/>
    <col min="4092" max="4092" width="3.5" style="16" customWidth="1"/>
    <col min="4093" max="4093" width="7.5" style="16" customWidth="1"/>
    <col min="4094" max="4094" width="9.765625E-2" style="16" customWidth="1"/>
    <col min="4095" max="4095" width="0.5" style="16" customWidth="1"/>
    <col min="4096" max="4096" width="36.09765625" style="16"/>
    <col min="4097" max="4097" width="3.59765625" style="16" customWidth="1"/>
    <col min="4098" max="4098" width="22.8984375" style="16" customWidth="1"/>
    <col min="4099" max="4099" width="4.5" style="16" customWidth="1"/>
    <col min="4100" max="4100" width="5.5" style="16" customWidth="1"/>
    <col min="4101" max="4101" width="9.5" style="16" customWidth="1"/>
    <col min="4102" max="4102" width="5.19921875" style="16" customWidth="1"/>
    <col min="4103" max="4103" width="10.59765625" style="16" customWidth="1"/>
    <col min="4104" max="4104" width="7.59765625" style="16" customWidth="1"/>
    <col min="4105" max="4344" width="0" style="16" hidden="1" customWidth="1"/>
    <col min="4345" max="4345" width="8.09765625" style="16" customWidth="1"/>
    <col min="4346" max="4346" width="3" style="16" customWidth="1"/>
    <col min="4347" max="4347" width="5.5" style="16" customWidth="1"/>
    <col min="4348" max="4348" width="3.5" style="16" customWidth="1"/>
    <col min="4349" max="4349" width="7.5" style="16" customWidth="1"/>
    <col min="4350" max="4350" width="9.765625E-2" style="16" customWidth="1"/>
    <col min="4351" max="4351" width="0.5" style="16" customWidth="1"/>
    <col min="4352" max="4352" width="36.09765625" style="16"/>
    <col min="4353" max="4353" width="3.59765625" style="16" customWidth="1"/>
    <col min="4354" max="4354" width="22.8984375" style="16" customWidth="1"/>
    <col min="4355" max="4355" width="4.5" style="16" customWidth="1"/>
    <col min="4356" max="4356" width="5.5" style="16" customWidth="1"/>
    <col min="4357" max="4357" width="9.5" style="16" customWidth="1"/>
    <col min="4358" max="4358" width="5.19921875" style="16" customWidth="1"/>
    <col min="4359" max="4359" width="10.59765625" style="16" customWidth="1"/>
    <col min="4360" max="4360" width="7.59765625" style="16" customWidth="1"/>
    <col min="4361" max="4600" width="0" style="16" hidden="1" customWidth="1"/>
    <col min="4601" max="4601" width="8.09765625" style="16" customWidth="1"/>
    <col min="4602" max="4602" width="3" style="16" customWidth="1"/>
    <col min="4603" max="4603" width="5.5" style="16" customWidth="1"/>
    <col min="4604" max="4604" width="3.5" style="16" customWidth="1"/>
    <col min="4605" max="4605" width="7.5" style="16" customWidth="1"/>
    <col min="4606" max="4606" width="9.765625E-2" style="16" customWidth="1"/>
    <col min="4607" max="4607" width="0.5" style="16" customWidth="1"/>
    <col min="4608" max="4608" width="36.09765625" style="16"/>
    <col min="4609" max="4609" width="3.59765625" style="16" customWidth="1"/>
    <col min="4610" max="4610" width="22.8984375" style="16" customWidth="1"/>
    <col min="4611" max="4611" width="4.5" style="16" customWidth="1"/>
    <col min="4612" max="4612" width="5.5" style="16" customWidth="1"/>
    <col min="4613" max="4613" width="9.5" style="16" customWidth="1"/>
    <col min="4614" max="4614" width="5.19921875" style="16" customWidth="1"/>
    <col min="4615" max="4615" width="10.59765625" style="16" customWidth="1"/>
    <col min="4616" max="4616" width="7.59765625" style="16" customWidth="1"/>
    <col min="4617" max="4856" width="0" style="16" hidden="1" customWidth="1"/>
    <col min="4857" max="4857" width="8.09765625" style="16" customWidth="1"/>
    <col min="4858" max="4858" width="3" style="16" customWidth="1"/>
    <col min="4859" max="4859" width="5.5" style="16" customWidth="1"/>
    <col min="4860" max="4860" width="3.5" style="16" customWidth="1"/>
    <col min="4861" max="4861" width="7.5" style="16" customWidth="1"/>
    <col min="4862" max="4862" width="9.765625E-2" style="16" customWidth="1"/>
    <col min="4863" max="4863" width="0.5" style="16" customWidth="1"/>
    <col min="4864" max="4864" width="36.09765625" style="16"/>
    <col min="4865" max="4865" width="3.59765625" style="16" customWidth="1"/>
    <col min="4866" max="4866" width="22.8984375" style="16" customWidth="1"/>
    <col min="4867" max="4867" width="4.5" style="16" customWidth="1"/>
    <col min="4868" max="4868" width="5.5" style="16" customWidth="1"/>
    <col min="4869" max="4869" width="9.5" style="16" customWidth="1"/>
    <col min="4870" max="4870" width="5.19921875" style="16" customWidth="1"/>
    <col min="4871" max="4871" width="10.59765625" style="16" customWidth="1"/>
    <col min="4872" max="4872" width="7.59765625" style="16" customWidth="1"/>
    <col min="4873" max="5112" width="0" style="16" hidden="1" customWidth="1"/>
    <col min="5113" max="5113" width="8.09765625" style="16" customWidth="1"/>
    <col min="5114" max="5114" width="3" style="16" customWidth="1"/>
    <col min="5115" max="5115" width="5.5" style="16" customWidth="1"/>
    <col min="5116" max="5116" width="3.5" style="16" customWidth="1"/>
    <col min="5117" max="5117" width="7.5" style="16" customWidth="1"/>
    <col min="5118" max="5118" width="9.765625E-2" style="16" customWidth="1"/>
    <col min="5119" max="5119" width="0.5" style="16" customWidth="1"/>
    <col min="5120" max="5120" width="36.09765625" style="16"/>
    <col min="5121" max="5121" width="3.59765625" style="16" customWidth="1"/>
    <col min="5122" max="5122" width="22.8984375" style="16" customWidth="1"/>
    <col min="5123" max="5123" width="4.5" style="16" customWidth="1"/>
    <col min="5124" max="5124" width="5.5" style="16" customWidth="1"/>
    <col min="5125" max="5125" width="9.5" style="16" customWidth="1"/>
    <col min="5126" max="5126" width="5.19921875" style="16" customWidth="1"/>
    <col min="5127" max="5127" width="10.59765625" style="16" customWidth="1"/>
    <col min="5128" max="5128" width="7.59765625" style="16" customWidth="1"/>
    <col min="5129" max="5368" width="0" style="16" hidden="1" customWidth="1"/>
    <col min="5369" max="5369" width="8.09765625" style="16" customWidth="1"/>
    <col min="5370" max="5370" width="3" style="16" customWidth="1"/>
    <col min="5371" max="5371" width="5.5" style="16" customWidth="1"/>
    <col min="5372" max="5372" width="3.5" style="16" customWidth="1"/>
    <col min="5373" max="5373" width="7.5" style="16" customWidth="1"/>
    <col min="5374" max="5374" width="9.765625E-2" style="16" customWidth="1"/>
    <col min="5375" max="5375" width="0.5" style="16" customWidth="1"/>
    <col min="5376" max="5376" width="36.09765625" style="16"/>
    <col min="5377" max="5377" width="3.59765625" style="16" customWidth="1"/>
    <col min="5378" max="5378" width="22.8984375" style="16" customWidth="1"/>
    <col min="5379" max="5379" width="4.5" style="16" customWidth="1"/>
    <col min="5380" max="5380" width="5.5" style="16" customWidth="1"/>
    <col min="5381" max="5381" width="9.5" style="16" customWidth="1"/>
    <col min="5382" max="5382" width="5.19921875" style="16" customWidth="1"/>
    <col min="5383" max="5383" width="10.59765625" style="16" customWidth="1"/>
    <col min="5384" max="5384" width="7.59765625" style="16" customWidth="1"/>
    <col min="5385" max="5624" width="0" style="16" hidden="1" customWidth="1"/>
    <col min="5625" max="5625" width="8.09765625" style="16" customWidth="1"/>
    <col min="5626" max="5626" width="3" style="16" customWidth="1"/>
    <col min="5627" max="5627" width="5.5" style="16" customWidth="1"/>
    <col min="5628" max="5628" width="3.5" style="16" customWidth="1"/>
    <col min="5629" max="5629" width="7.5" style="16" customWidth="1"/>
    <col min="5630" max="5630" width="9.765625E-2" style="16" customWidth="1"/>
    <col min="5631" max="5631" width="0.5" style="16" customWidth="1"/>
    <col min="5632" max="5632" width="36.09765625" style="16"/>
    <col min="5633" max="5633" width="3.59765625" style="16" customWidth="1"/>
    <col min="5634" max="5634" width="22.8984375" style="16" customWidth="1"/>
    <col min="5635" max="5635" width="4.5" style="16" customWidth="1"/>
    <col min="5636" max="5636" width="5.5" style="16" customWidth="1"/>
    <col min="5637" max="5637" width="9.5" style="16" customWidth="1"/>
    <col min="5638" max="5638" width="5.19921875" style="16" customWidth="1"/>
    <col min="5639" max="5639" width="10.59765625" style="16" customWidth="1"/>
    <col min="5640" max="5640" width="7.59765625" style="16" customWidth="1"/>
    <col min="5641" max="5880" width="0" style="16" hidden="1" customWidth="1"/>
    <col min="5881" max="5881" width="8.09765625" style="16" customWidth="1"/>
    <col min="5882" max="5882" width="3" style="16" customWidth="1"/>
    <col min="5883" max="5883" width="5.5" style="16" customWidth="1"/>
    <col min="5884" max="5884" width="3.5" style="16" customWidth="1"/>
    <col min="5885" max="5885" width="7.5" style="16" customWidth="1"/>
    <col min="5886" max="5886" width="9.765625E-2" style="16" customWidth="1"/>
    <col min="5887" max="5887" width="0.5" style="16" customWidth="1"/>
    <col min="5888" max="5888" width="36.09765625" style="16"/>
    <col min="5889" max="5889" width="3.59765625" style="16" customWidth="1"/>
    <col min="5890" max="5890" width="22.8984375" style="16" customWidth="1"/>
    <col min="5891" max="5891" width="4.5" style="16" customWidth="1"/>
    <col min="5892" max="5892" width="5.5" style="16" customWidth="1"/>
    <col min="5893" max="5893" width="9.5" style="16" customWidth="1"/>
    <col min="5894" max="5894" width="5.19921875" style="16" customWidth="1"/>
    <col min="5895" max="5895" width="10.59765625" style="16" customWidth="1"/>
    <col min="5896" max="5896" width="7.59765625" style="16" customWidth="1"/>
    <col min="5897" max="6136" width="0" style="16" hidden="1" customWidth="1"/>
    <col min="6137" max="6137" width="8.09765625" style="16" customWidth="1"/>
    <col min="6138" max="6138" width="3" style="16" customWidth="1"/>
    <col min="6139" max="6139" width="5.5" style="16" customWidth="1"/>
    <col min="6140" max="6140" width="3.5" style="16" customWidth="1"/>
    <col min="6141" max="6141" width="7.5" style="16" customWidth="1"/>
    <col min="6142" max="6142" width="9.765625E-2" style="16" customWidth="1"/>
    <col min="6143" max="6143" width="0.5" style="16" customWidth="1"/>
    <col min="6144" max="6144" width="36.09765625" style="16"/>
    <col min="6145" max="6145" width="3.59765625" style="16" customWidth="1"/>
    <col min="6146" max="6146" width="22.8984375" style="16" customWidth="1"/>
    <col min="6147" max="6147" width="4.5" style="16" customWidth="1"/>
    <col min="6148" max="6148" width="5.5" style="16" customWidth="1"/>
    <col min="6149" max="6149" width="9.5" style="16" customWidth="1"/>
    <col min="6150" max="6150" width="5.19921875" style="16" customWidth="1"/>
    <col min="6151" max="6151" width="10.59765625" style="16" customWidth="1"/>
    <col min="6152" max="6152" width="7.59765625" style="16" customWidth="1"/>
    <col min="6153" max="6392" width="0" style="16" hidden="1" customWidth="1"/>
    <col min="6393" max="6393" width="8.09765625" style="16" customWidth="1"/>
    <col min="6394" max="6394" width="3" style="16" customWidth="1"/>
    <col min="6395" max="6395" width="5.5" style="16" customWidth="1"/>
    <col min="6396" max="6396" width="3.5" style="16" customWidth="1"/>
    <col min="6397" max="6397" width="7.5" style="16" customWidth="1"/>
    <col min="6398" max="6398" width="9.765625E-2" style="16" customWidth="1"/>
    <col min="6399" max="6399" width="0.5" style="16" customWidth="1"/>
    <col min="6400" max="6400" width="36.09765625" style="16"/>
    <col min="6401" max="6401" width="3.59765625" style="16" customWidth="1"/>
    <col min="6402" max="6402" width="22.8984375" style="16" customWidth="1"/>
    <col min="6403" max="6403" width="4.5" style="16" customWidth="1"/>
    <col min="6404" max="6404" width="5.5" style="16" customWidth="1"/>
    <col min="6405" max="6405" width="9.5" style="16" customWidth="1"/>
    <col min="6406" max="6406" width="5.19921875" style="16" customWidth="1"/>
    <col min="6407" max="6407" width="10.59765625" style="16" customWidth="1"/>
    <col min="6408" max="6408" width="7.59765625" style="16" customWidth="1"/>
    <col min="6409" max="6648" width="0" style="16" hidden="1" customWidth="1"/>
    <col min="6649" max="6649" width="8.09765625" style="16" customWidth="1"/>
    <col min="6650" max="6650" width="3" style="16" customWidth="1"/>
    <col min="6651" max="6651" width="5.5" style="16" customWidth="1"/>
    <col min="6652" max="6652" width="3.5" style="16" customWidth="1"/>
    <col min="6653" max="6653" width="7.5" style="16" customWidth="1"/>
    <col min="6654" max="6654" width="9.765625E-2" style="16" customWidth="1"/>
    <col min="6655" max="6655" width="0.5" style="16" customWidth="1"/>
    <col min="6656" max="6656" width="36.09765625" style="16"/>
    <col min="6657" max="6657" width="3.59765625" style="16" customWidth="1"/>
    <col min="6658" max="6658" width="22.8984375" style="16" customWidth="1"/>
    <col min="6659" max="6659" width="4.5" style="16" customWidth="1"/>
    <col min="6660" max="6660" width="5.5" style="16" customWidth="1"/>
    <col min="6661" max="6661" width="9.5" style="16" customWidth="1"/>
    <col min="6662" max="6662" width="5.19921875" style="16" customWidth="1"/>
    <col min="6663" max="6663" width="10.59765625" style="16" customWidth="1"/>
    <col min="6664" max="6664" width="7.59765625" style="16" customWidth="1"/>
    <col min="6665" max="6904" width="0" style="16" hidden="1" customWidth="1"/>
    <col min="6905" max="6905" width="8.09765625" style="16" customWidth="1"/>
    <col min="6906" max="6906" width="3" style="16" customWidth="1"/>
    <col min="6907" max="6907" width="5.5" style="16" customWidth="1"/>
    <col min="6908" max="6908" width="3.5" style="16" customWidth="1"/>
    <col min="6909" max="6909" width="7.5" style="16" customWidth="1"/>
    <col min="6910" max="6910" width="9.765625E-2" style="16" customWidth="1"/>
    <col min="6911" max="6911" width="0.5" style="16" customWidth="1"/>
    <col min="6912" max="6912" width="36.09765625" style="16"/>
    <col min="6913" max="6913" width="3.59765625" style="16" customWidth="1"/>
    <col min="6914" max="6914" width="22.8984375" style="16" customWidth="1"/>
    <col min="6915" max="6915" width="4.5" style="16" customWidth="1"/>
    <col min="6916" max="6916" width="5.5" style="16" customWidth="1"/>
    <col min="6917" max="6917" width="9.5" style="16" customWidth="1"/>
    <col min="6918" max="6918" width="5.19921875" style="16" customWidth="1"/>
    <col min="6919" max="6919" width="10.59765625" style="16" customWidth="1"/>
    <col min="6920" max="6920" width="7.59765625" style="16" customWidth="1"/>
    <col min="6921" max="7160" width="0" style="16" hidden="1" customWidth="1"/>
    <col min="7161" max="7161" width="8.09765625" style="16" customWidth="1"/>
    <col min="7162" max="7162" width="3" style="16" customWidth="1"/>
    <col min="7163" max="7163" width="5.5" style="16" customWidth="1"/>
    <col min="7164" max="7164" width="3.5" style="16" customWidth="1"/>
    <col min="7165" max="7165" width="7.5" style="16" customWidth="1"/>
    <col min="7166" max="7166" width="9.765625E-2" style="16" customWidth="1"/>
    <col min="7167" max="7167" width="0.5" style="16" customWidth="1"/>
    <col min="7168" max="7168" width="36.09765625" style="16"/>
    <col min="7169" max="7169" width="3.59765625" style="16" customWidth="1"/>
    <col min="7170" max="7170" width="22.8984375" style="16" customWidth="1"/>
    <col min="7171" max="7171" width="4.5" style="16" customWidth="1"/>
    <col min="7172" max="7172" width="5.5" style="16" customWidth="1"/>
    <col min="7173" max="7173" width="9.5" style="16" customWidth="1"/>
    <col min="7174" max="7174" width="5.19921875" style="16" customWidth="1"/>
    <col min="7175" max="7175" width="10.59765625" style="16" customWidth="1"/>
    <col min="7176" max="7176" width="7.59765625" style="16" customWidth="1"/>
    <col min="7177" max="7416" width="0" style="16" hidden="1" customWidth="1"/>
    <col min="7417" max="7417" width="8.09765625" style="16" customWidth="1"/>
    <col min="7418" max="7418" width="3" style="16" customWidth="1"/>
    <col min="7419" max="7419" width="5.5" style="16" customWidth="1"/>
    <col min="7420" max="7420" width="3.5" style="16" customWidth="1"/>
    <col min="7421" max="7421" width="7.5" style="16" customWidth="1"/>
    <col min="7422" max="7422" width="9.765625E-2" style="16" customWidth="1"/>
    <col min="7423" max="7423" width="0.5" style="16" customWidth="1"/>
    <col min="7424" max="7424" width="36.09765625" style="16"/>
    <col min="7425" max="7425" width="3.59765625" style="16" customWidth="1"/>
    <col min="7426" max="7426" width="22.8984375" style="16" customWidth="1"/>
    <col min="7427" max="7427" width="4.5" style="16" customWidth="1"/>
    <col min="7428" max="7428" width="5.5" style="16" customWidth="1"/>
    <col min="7429" max="7429" width="9.5" style="16" customWidth="1"/>
    <col min="7430" max="7430" width="5.19921875" style="16" customWidth="1"/>
    <col min="7431" max="7431" width="10.59765625" style="16" customWidth="1"/>
    <col min="7432" max="7432" width="7.59765625" style="16" customWidth="1"/>
    <col min="7433" max="7672" width="0" style="16" hidden="1" customWidth="1"/>
    <col min="7673" max="7673" width="8.09765625" style="16" customWidth="1"/>
    <col min="7674" max="7674" width="3" style="16" customWidth="1"/>
    <col min="7675" max="7675" width="5.5" style="16" customWidth="1"/>
    <col min="7676" max="7676" width="3.5" style="16" customWidth="1"/>
    <col min="7677" max="7677" width="7.5" style="16" customWidth="1"/>
    <col min="7678" max="7678" width="9.765625E-2" style="16" customWidth="1"/>
    <col min="7679" max="7679" width="0.5" style="16" customWidth="1"/>
    <col min="7680" max="7680" width="36.09765625" style="16"/>
    <col min="7681" max="7681" width="3.59765625" style="16" customWidth="1"/>
    <col min="7682" max="7682" width="22.8984375" style="16" customWidth="1"/>
    <col min="7683" max="7683" width="4.5" style="16" customWidth="1"/>
    <col min="7684" max="7684" width="5.5" style="16" customWidth="1"/>
    <col min="7685" max="7685" width="9.5" style="16" customWidth="1"/>
    <col min="7686" max="7686" width="5.19921875" style="16" customWidth="1"/>
    <col min="7687" max="7687" width="10.59765625" style="16" customWidth="1"/>
    <col min="7688" max="7688" width="7.59765625" style="16" customWidth="1"/>
    <col min="7689" max="7928" width="0" style="16" hidden="1" customWidth="1"/>
    <col min="7929" max="7929" width="8.09765625" style="16" customWidth="1"/>
    <col min="7930" max="7930" width="3" style="16" customWidth="1"/>
    <col min="7931" max="7931" width="5.5" style="16" customWidth="1"/>
    <col min="7932" max="7932" width="3.5" style="16" customWidth="1"/>
    <col min="7933" max="7933" width="7.5" style="16" customWidth="1"/>
    <col min="7934" max="7934" width="9.765625E-2" style="16" customWidth="1"/>
    <col min="7935" max="7935" width="0.5" style="16" customWidth="1"/>
    <col min="7936" max="7936" width="36.09765625" style="16"/>
    <col min="7937" max="7937" width="3.59765625" style="16" customWidth="1"/>
    <col min="7938" max="7938" width="22.8984375" style="16" customWidth="1"/>
    <col min="7939" max="7939" width="4.5" style="16" customWidth="1"/>
    <col min="7940" max="7940" width="5.5" style="16" customWidth="1"/>
    <col min="7941" max="7941" width="9.5" style="16" customWidth="1"/>
    <col min="7942" max="7942" width="5.19921875" style="16" customWidth="1"/>
    <col min="7943" max="7943" width="10.59765625" style="16" customWidth="1"/>
    <col min="7944" max="7944" width="7.59765625" style="16" customWidth="1"/>
    <col min="7945" max="8184" width="0" style="16" hidden="1" customWidth="1"/>
    <col min="8185" max="8185" width="8.09765625" style="16" customWidth="1"/>
    <col min="8186" max="8186" width="3" style="16" customWidth="1"/>
    <col min="8187" max="8187" width="5.5" style="16" customWidth="1"/>
    <col min="8188" max="8188" width="3.5" style="16" customWidth="1"/>
    <col min="8189" max="8189" width="7.5" style="16" customWidth="1"/>
    <col min="8190" max="8190" width="9.765625E-2" style="16" customWidth="1"/>
    <col min="8191" max="8191" width="0.5" style="16" customWidth="1"/>
    <col min="8192" max="8192" width="36.09765625" style="16"/>
    <col min="8193" max="8193" width="3.59765625" style="16" customWidth="1"/>
    <col min="8194" max="8194" width="22.8984375" style="16" customWidth="1"/>
    <col min="8195" max="8195" width="4.5" style="16" customWidth="1"/>
    <col min="8196" max="8196" width="5.5" style="16" customWidth="1"/>
    <col min="8197" max="8197" width="9.5" style="16" customWidth="1"/>
    <col min="8198" max="8198" width="5.19921875" style="16" customWidth="1"/>
    <col min="8199" max="8199" width="10.59765625" style="16" customWidth="1"/>
    <col min="8200" max="8200" width="7.59765625" style="16" customWidth="1"/>
    <col min="8201" max="8440" width="0" style="16" hidden="1" customWidth="1"/>
    <col min="8441" max="8441" width="8.09765625" style="16" customWidth="1"/>
    <col min="8442" max="8442" width="3" style="16" customWidth="1"/>
    <col min="8443" max="8443" width="5.5" style="16" customWidth="1"/>
    <col min="8444" max="8444" width="3.5" style="16" customWidth="1"/>
    <col min="8445" max="8445" width="7.5" style="16" customWidth="1"/>
    <col min="8446" max="8446" width="9.765625E-2" style="16" customWidth="1"/>
    <col min="8447" max="8447" width="0.5" style="16" customWidth="1"/>
    <col min="8448" max="8448" width="36.09765625" style="16"/>
    <col min="8449" max="8449" width="3.59765625" style="16" customWidth="1"/>
    <col min="8450" max="8450" width="22.8984375" style="16" customWidth="1"/>
    <col min="8451" max="8451" width="4.5" style="16" customWidth="1"/>
    <col min="8452" max="8452" width="5.5" style="16" customWidth="1"/>
    <col min="8453" max="8453" width="9.5" style="16" customWidth="1"/>
    <col min="8454" max="8454" width="5.19921875" style="16" customWidth="1"/>
    <col min="8455" max="8455" width="10.59765625" style="16" customWidth="1"/>
    <col min="8456" max="8456" width="7.59765625" style="16" customWidth="1"/>
    <col min="8457" max="8696" width="0" style="16" hidden="1" customWidth="1"/>
    <col min="8697" max="8697" width="8.09765625" style="16" customWidth="1"/>
    <col min="8698" max="8698" width="3" style="16" customWidth="1"/>
    <col min="8699" max="8699" width="5.5" style="16" customWidth="1"/>
    <col min="8700" max="8700" width="3.5" style="16" customWidth="1"/>
    <col min="8701" max="8701" width="7.5" style="16" customWidth="1"/>
    <col min="8702" max="8702" width="9.765625E-2" style="16" customWidth="1"/>
    <col min="8703" max="8703" width="0.5" style="16" customWidth="1"/>
    <col min="8704" max="8704" width="36.09765625" style="16"/>
    <col min="8705" max="8705" width="3.59765625" style="16" customWidth="1"/>
    <col min="8706" max="8706" width="22.8984375" style="16" customWidth="1"/>
    <col min="8707" max="8707" width="4.5" style="16" customWidth="1"/>
    <col min="8708" max="8708" width="5.5" style="16" customWidth="1"/>
    <col min="8709" max="8709" width="9.5" style="16" customWidth="1"/>
    <col min="8710" max="8710" width="5.19921875" style="16" customWidth="1"/>
    <col min="8711" max="8711" width="10.59765625" style="16" customWidth="1"/>
    <col min="8712" max="8712" width="7.59765625" style="16" customWidth="1"/>
    <col min="8713" max="8952" width="0" style="16" hidden="1" customWidth="1"/>
    <col min="8953" max="8953" width="8.09765625" style="16" customWidth="1"/>
    <col min="8954" max="8954" width="3" style="16" customWidth="1"/>
    <col min="8955" max="8955" width="5.5" style="16" customWidth="1"/>
    <col min="8956" max="8956" width="3.5" style="16" customWidth="1"/>
    <col min="8957" max="8957" width="7.5" style="16" customWidth="1"/>
    <col min="8958" max="8958" width="9.765625E-2" style="16" customWidth="1"/>
    <col min="8959" max="8959" width="0.5" style="16" customWidth="1"/>
    <col min="8960" max="8960" width="36.09765625" style="16"/>
    <col min="8961" max="8961" width="3.59765625" style="16" customWidth="1"/>
    <col min="8962" max="8962" width="22.8984375" style="16" customWidth="1"/>
    <col min="8963" max="8963" width="4.5" style="16" customWidth="1"/>
    <col min="8964" max="8964" width="5.5" style="16" customWidth="1"/>
    <col min="8965" max="8965" width="9.5" style="16" customWidth="1"/>
    <col min="8966" max="8966" width="5.19921875" style="16" customWidth="1"/>
    <col min="8967" max="8967" width="10.59765625" style="16" customWidth="1"/>
    <col min="8968" max="8968" width="7.59765625" style="16" customWidth="1"/>
    <col min="8969" max="9208" width="0" style="16" hidden="1" customWidth="1"/>
    <col min="9209" max="9209" width="8.09765625" style="16" customWidth="1"/>
    <col min="9210" max="9210" width="3" style="16" customWidth="1"/>
    <col min="9211" max="9211" width="5.5" style="16" customWidth="1"/>
    <col min="9212" max="9212" width="3.5" style="16" customWidth="1"/>
    <col min="9213" max="9213" width="7.5" style="16" customWidth="1"/>
    <col min="9214" max="9214" width="9.765625E-2" style="16" customWidth="1"/>
    <col min="9215" max="9215" width="0.5" style="16" customWidth="1"/>
    <col min="9216" max="9216" width="36.09765625" style="16"/>
    <col min="9217" max="9217" width="3.59765625" style="16" customWidth="1"/>
    <col min="9218" max="9218" width="22.8984375" style="16" customWidth="1"/>
    <col min="9219" max="9219" width="4.5" style="16" customWidth="1"/>
    <col min="9220" max="9220" width="5.5" style="16" customWidth="1"/>
    <col min="9221" max="9221" width="9.5" style="16" customWidth="1"/>
    <col min="9222" max="9222" width="5.19921875" style="16" customWidth="1"/>
    <col min="9223" max="9223" width="10.59765625" style="16" customWidth="1"/>
    <col min="9224" max="9224" width="7.59765625" style="16" customWidth="1"/>
    <col min="9225" max="9464" width="0" style="16" hidden="1" customWidth="1"/>
    <col min="9465" max="9465" width="8.09765625" style="16" customWidth="1"/>
    <col min="9466" max="9466" width="3" style="16" customWidth="1"/>
    <col min="9467" max="9467" width="5.5" style="16" customWidth="1"/>
    <col min="9468" max="9468" width="3.5" style="16" customWidth="1"/>
    <col min="9469" max="9469" width="7.5" style="16" customWidth="1"/>
    <col min="9470" max="9470" width="9.765625E-2" style="16" customWidth="1"/>
    <col min="9471" max="9471" width="0.5" style="16" customWidth="1"/>
    <col min="9472" max="9472" width="36.09765625" style="16"/>
    <col min="9473" max="9473" width="3.59765625" style="16" customWidth="1"/>
    <col min="9474" max="9474" width="22.8984375" style="16" customWidth="1"/>
    <col min="9475" max="9475" width="4.5" style="16" customWidth="1"/>
    <col min="9476" max="9476" width="5.5" style="16" customWidth="1"/>
    <col min="9477" max="9477" width="9.5" style="16" customWidth="1"/>
    <col min="9478" max="9478" width="5.19921875" style="16" customWidth="1"/>
    <col min="9479" max="9479" width="10.59765625" style="16" customWidth="1"/>
    <col min="9480" max="9480" width="7.59765625" style="16" customWidth="1"/>
    <col min="9481" max="9720" width="0" style="16" hidden="1" customWidth="1"/>
    <col min="9721" max="9721" width="8.09765625" style="16" customWidth="1"/>
    <col min="9722" max="9722" width="3" style="16" customWidth="1"/>
    <col min="9723" max="9723" width="5.5" style="16" customWidth="1"/>
    <col min="9724" max="9724" width="3.5" style="16" customWidth="1"/>
    <col min="9725" max="9725" width="7.5" style="16" customWidth="1"/>
    <col min="9726" max="9726" width="9.765625E-2" style="16" customWidth="1"/>
    <col min="9727" max="9727" width="0.5" style="16" customWidth="1"/>
    <col min="9728" max="9728" width="36.09765625" style="16"/>
    <col min="9729" max="9729" width="3.59765625" style="16" customWidth="1"/>
    <col min="9730" max="9730" width="22.8984375" style="16" customWidth="1"/>
    <col min="9731" max="9731" width="4.5" style="16" customWidth="1"/>
    <col min="9732" max="9732" width="5.5" style="16" customWidth="1"/>
    <col min="9733" max="9733" width="9.5" style="16" customWidth="1"/>
    <col min="9734" max="9734" width="5.19921875" style="16" customWidth="1"/>
    <col min="9735" max="9735" width="10.59765625" style="16" customWidth="1"/>
    <col min="9736" max="9736" width="7.59765625" style="16" customWidth="1"/>
    <col min="9737" max="9976" width="0" style="16" hidden="1" customWidth="1"/>
    <col min="9977" max="9977" width="8.09765625" style="16" customWidth="1"/>
    <col min="9978" max="9978" width="3" style="16" customWidth="1"/>
    <col min="9979" max="9979" width="5.5" style="16" customWidth="1"/>
    <col min="9980" max="9980" width="3.5" style="16" customWidth="1"/>
    <col min="9981" max="9981" width="7.5" style="16" customWidth="1"/>
    <col min="9982" max="9982" width="9.765625E-2" style="16" customWidth="1"/>
    <col min="9983" max="9983" width="0.5" style="16" customWidth="1"/>
    <col min="9984" max="9984" width="36.09765625" style="16"/>
    <col min="9985" max="9985" width="3.59765625" style="16" customWidth="1"/>
    <col min="9986" max="9986" width="22.8984375" style="16" customWidth="1"/>
    <col min="9987" max="9987" width="4.5" style="16" customWidth="1"/>
    <col min="9988" max="9988" width="5.5" style="16" customWidth="1"/>
    <col min="9989" max="9989" width="9.5" style="16" customWidth="1"/>
    <col min="9990" max="9990" width="5.19921875" style="16" customWidth="1"/>
    <col min="9991" max="9991" width="10.59765625" style="16" customWidth="1"/>
    <col min="9992" max="9992" width="7.59765625" style="16" customWidth="1"/>
    <col min="9993" max="10232" width="0" style="16" hidden="1" customWidth="1"/>
    <col min="10233" max="10233" width="8.09765625" style="16" customWidth="1"/>
    <col min="10234" max="10234" width="3" style="16" customWidth="1"/>
    <col min="10235" max="10235" width="5.5" style="16" customWidth="1"/>
    <col min="10236" max="10236" width="3.5" style="16" customWidth="1"/>
    <col min="10237" max="10237" width="7.5" style="16" customWidth="1"/>
    <col min="10238" max="10238" width="9.765625E-2" style="16" customWidth="1"/>
    <col min="10239" max="10239" width="0.5" style="16" customWidth="1"/>
    <col min="10240" max="10240" width="36.09765625" style="16"/>
    <col min="10241" max="10241" width="3.59765625" style="16" customWidth="1"/>
    <col min="10242" max="10242" width="22.8984375" style="16" customWidth="1"/>
    <col min="10243" max="10243" width="4.5" style="16" customWidth="1"/>
    <col min="10244" max="10244" width="5.5" style="16" customWidth="1"/>
    <col min="10245" max="10245" width="9.5" style="16" customWidth="1"/>
    <col min="10246" max="10246" width="5.19921875" style="16" customWidth="1"/>
    <col min="10247" max="10247" width="10.59765625" style="16" customWidth="1"/>
    <col min="10248" max="10248" width="7.59765625" style="16" customWidth="1"/>
    <col min="10249" max="10488" width="0" style="16" hidden="1" customWidth="1"/>
    <col min="10489" max="10489" width="8.09765625" style="16" customWidth="1"/>
    <col min="10490" max="10490" width="3" style="16" customWidth="1"/>
    <col min="10491" max="10491" width="5.5" style="16" customWidth="1"/>
    <col min="10492" max="10492" width="3.5" style="16" customWidth="1"/>
    <col min="10493" max="10493" width="7.5" style="16" customWidth="1"/>
    <col min="10494" max="10494" width="9.765625E-2" style="16" customWidth="1"/>
    <col min="10495" max="10495" width="0.5" style="16" customWidth="1"/>
    <col min="10496" max="10496" width="36.09765625" style="16"/>
    <col min="10497" max="10497" width="3.59765625" style="16" customWidth="1"/>
    <col min="10498" max="10498" width="22.8984375" style="16" customWidth="1"/>
    <col min="10499" max="10499" width="4.5" style="16" customWidth="1"/>
    <col min="10500" max="10500" width="5.5" style="16" customWidth="1"/>
    <col min="10501" max="10501" width="9.5" style="16" customWidth="1"/>
    <col min="10502" max="10502" width="5.19921875" style="16" customWidth="1"/>
    <col min="10503" max="10503" width="10.59765625" style="16" customWidth="1"/>
    <col min="10504" max="10504" width="7.59765625" style="16" customWidth="1"/>
    <col min="10505" max="10744" width="0" style="16" hidden="1" customWidth="1"/>
    <col min="10745" max="10745" width="8.09765625" style="16" customWidth="1"/>
    <col min="10746" max="10746" width="3" style="16" customWidth="1"/>
    <col min="10747" max="10747" width="5.5" style="16" customWidth="1"/>
    <col min="10748" max="10748" width="3.5" style="16" customWidth="1"/>
    <col min="10749" max="10749" width="7.5" style="16" customWidth="1"/>
    <col min="10750" max="10750" width="9.765625E-2" style="16" customWidth="1"/>
    <col min="10751" max="10751" width="0.5" style="16" customWidth="1"/>
    <col min="10752" max="10752" width="36.09765625" style="16"/>
    <col min="10753" max="10753" width="3.59765625" style="16" customWidth="1"/>
    <col min="10754" max="10754" width="22.8984375" style="16" customWidth="1"/>
    <col min="10755" max="10755" width="4.5" style="16" customWidth="1"/>
    <col min="10756" max="10756" width="5.5" style="16" customWidth="1"/>
    <col min="10757" max="10757" width="9.5" style="16" customWidth="1"/>
    <col min="10758" max="10758" width="5.19921875" style="16" customWidth="1"/>
    <col min="10759" max="10759" width="10.59765625" style="16" customWidth="1"/>
    <col min="10760" max="10760" width="7.59765625" style="16" customWidth="1"/>
    <col min="10761" max="11000" width="0" style="16" hidden="1" customWidth="1"/>
    <col min="11001" max="11001" width="8.09765625" style="16" customWidth="1"/>
    <col min="11002" max="11002" width="3" style="16" customWidth="1"/>
    <col min="11003" max="11003" width="5.5" style="16" customWidth="1"/>
    <col min="11004" max="11004" width="3.5" style="16" customWidth="1"/>
    <col min="11005" max="11005" width="7.5" style="16" customWidth="1"/>
    <col min="11006" max="11006" width="9.765625E-2" style="16" customWidth="1"/>
    <col min="11007" max="11007" width="0.5" style="16" customWidth="1"/>
    <col min="11008" max="11008" width="36.09765625" style="16"/>
    <col min="11009" max="11009" width="3.59765625" style="16" customWidth="1"/>
    <col min="11010" max="11010" width="22.8984375" style="16" customWidth="1"/>
    <col min="11011" max="11011" width="4.5" style="16" customWidth="1"/>
    <col min="11012" max="11012" width="5.5" style="16" customWidth="1"/>
    <col min="11013" max="11013" width="9.5" style="16" customWidth="1"/>
    <col min="11014" max="11014" width="5.19921875" style="16" customWidth="1"/>
    <col min="11015" max="11015" width="10.59765625" style="16" customWidth="1"/>
    <col min="11016" max="11016" width="7.59765625" style="16" customWidth="1"/>
    <col min="11017" max="11256" width="0" style="16" hidden="1" customWidth="1"/>
    <col min="11257" max="11257" width="8.09765625" style="16" customWidth="1"/>
    <col min="11258" max="11258" width="3" style="16" customWidth="1"/>
    <col min="11259" max="11259" width="5.5" style="16" customWidth="1"/>
    <col min="11260" max="11260" width="3.5" style="16" customWidth="1"/>
    <col min="11261" max="11261" width="7.5" style="16" customWidth="1"/>
    <col min="11262" max="11262" width="9.765625E-2" style="16" customWidth="1"/>
    <col min="11263" max="11263" width="0.5" style="16" customWidth="1"/>
    <col min="11264" max="11264" width="36.09765625" style="16"/>
    <col min="11265" max="11265" width="3.59765625" style="16" customWidth="1"/>
    <col min="11266" max="11266" width="22.8984375" style="16" customWidth="1"/>
    <col min="11267" max="11267" width="4.5" style="16" customWidth="1"/>
    <col min="11268" max="11268" width="5.5" style="16" customWidth="1"/>
    <col min="11269" max="11269" width="9.5" style="16" customWidth="1"/>
    <col min="11270" max="11270" width="5.19921875" style="16" customWidth="1"/>
    <col min="11271" max="11271" width="10.59765625" style="16" customWidth="1"/>
    <col min="11272" max="11272" width="7.59765625" style="16" customWidth="1"/>
    <col min="11273" max="11512" width="0" style="16" hidden="1" customWidth="1"/>
    <col min="11513" max="11513" width="8.09765625" style="16" customWidth="1"/>
    <col min="11514" max="11514" width="3" style="16" customWidth="1"/>
    <col min="11515" max="11515" width="5.5" style="16" customWidth="1"/>
    <col min="11516" max="11516" width="3.5" style="16" customWidth="1"/>
    <col min="11517" max="11517" width="7.5" style="16" customWidth="1"/>
    <col min="11518" max="11518" width="9.765625E-2" style="16" customWidth="1"/>
    <col min="11519" max="11519" width="0.5" style="16" customWidth="1"/>
    <col min="11520" max="11520" width="36.09765625" style="16"/>
    <col min="11521" max="11521" width="3.59765625" style="16" customWidth="1"/>
    <col min="11522" max="11522" width="22.8984375" style="16" customWidth="1"/>
    <col min="11523" max="11523" width="4.5" style="16" customWidth="1"/>
    <col min="11524" max="11524" width="5.5" style="16" customWidth="1"/>
    <col min="11525" max="11525" width="9.5" style="16" customWidth="1"/>
    <col min="11526" max="11526" width="5.19921875" style="16" customWidth="1"/>
    <col min="11527" max="11527" width="10.59765625" style="16" customWidth="1"/>
    <col min="11528" max="11528" width="7.59765625" style="16" customWidth="1"/>
    <col min="11529" max="11768" width="0" style="16" hidden="1" customWidth="1"/>
    <col min="11769" max="11769" width="8.09765625" style="16" customWidth="1"/>
    <col min="11770" max="11770" width="3" style="16" customWidth="1"/>
    <col min="11771" max="11771" width="5.5" style="16" customWidth="1"/>
    <col min="11772" max="11772" width="3.5" style="16" customWidth="1"/>
    <col min="11773" max="11773" width="7.5" style="16" customWidth="1"/>
    <col min="11774" max="11774" width="9.765625E-2" style="16" customWidth="1"/>
    <col min="11775" max="11775" width="0.5" style="16" customWidth="1"/>
    <col min="11776" max="11776" width="36.09765625" style="16"/>
    <col min="11777" max="11777" width="3.59765625" style="16" customWidth="1"/>
    <col min="11778" max="11778" width="22.8984375" style="16" customWidth="1"/>
    <col min="11779" max="11779" width="4.5" style="16" customWidth="1"/>
    <col min="11780" max="11780" width="5.5" style="16" customWidth="1"/>
    <col min="11781" max="11781" width="9.5" style="16" customWidth="1"/>
    <col min="11782" max="11782" width="5.19921875" style="16" customWidth="1"/>
    <col min="11783" max="11783" width="10.59765625" style="16" customWidth="1"/>
    <col min="11784" max="11784" width="7.59765625" style="16" customWidth="1"/>
    <col min="11785" max="12024" width="0" style="16" hidden="1" customWidth="1"/>
    <col min="12025" max="12025" width="8.09765625" style="16" customWidth="1"/>
    <col min="12026" max="12026" width="3" style="16" customWidth="1"/>
    <col min="12027" max="12027" width="5.5" style="16" customWidth="1"/>
    <col min="12028" max="12028" width="3.5" style="16" customWidth="1"/>
    <col min="12029" max="12029" width="7.5" style="16" customWidth="1"/>
    <col min="12030" max="12030" width="9.765625E-2" style="16" customWidth="1"/>
    <col min="12031" max="12031" width="0.5" style="16" customWidth="1"/>
    <col min="12032" max="12032" width="36.09765625" style="16"/>
    <col min="12033" max="12033" width="3.59765625" style="16" customWidth="1"/>
    <col min="12034" max="12034" width="22.8984375" style="16" customWidth="1"/>
    <col min="12035" max="12035" width="4.5" style="16" customWidth="1"/>
    <col min="12036" max="12036" width="5.5" style="16" customWidth="1"/>
    <col min="12037" max="12037" width="9.5" style="16" customWidth="1"/>
    <col min="12038" max="12038" width="5.19921875" style="16" customWidth="1"/>
    <col min="12039" max="12039" width="10.59765625" style="16" customWidth="1"/>
    <col min="12040" max="12040" width="7.59765625" style="16" customWidth="1"/>
    <col min="12041" max="12280" width="0" style="16" hidden="1" customWidth="1"/>
    <col min="12281" max="12281" width="8.09765625" style="16" customWidth="1"/>
    <col min="12282" max="12282" width="3" style="16" customWidth="1"/>
    <col min="12283" max="12283" width="5.5" style="16" customWidth="1"/>
    <col min="12284" max="12284" width="3.5" style="16" customWidth="1"/>
    <col min="12285" max="12285" width="7.5" style="16" customWidth="1"/>
    <col min="12286" max="12286" width="9.765625E-2" style="16" customWidth="1"/>
    <col min="12287" max="12287" width="0.5" style="16" customWidth="1"/>
    <col min="12288" max="12288" width="36.09765625" style="16"/>
    <col min="12289" max="12289" width="3.59765625" style="16" customWidth="1"/>
    <col min="12290" max="12290" width="22.8984375" style="16" customWidth="1"/>
    <col min="12291" max="12291" width="4.5" style="16" customWidth="1"/>
    <col min="12292" max="12292" width="5.5" style="16" customWidth="1"/>
    <col min="12293" max="12293" width="9.5" style="16" customWidth="1"/>
    <col min="12294" max="12294" width="5.19921875" style="16" customWidth="1"/>
    <col min="12295" max="12295" width="10.59765625" style="16" customWidth="1"/>
    <col min="12296" max="12296" width="7.59765625" style="16" customWidth="1"/>
    <col min="12297" max="12536" width="0" style="16" hidden="1" customWidth="1"/>
    <col min="12537" max="12537" width="8.09765625" style="16" customWidth="1"/>
    <col min="12538" max="12538" width="3" style="16" customWidth="1"/>
    <col min="12539" max="12539" width="5.5" style="16" customWidth="1"/>
    <col min="12540" max="12540" width="3.5" style="16" customWidth="1"/>
    <col min="12541" max="12541" width="7.5" style="16" customWidth="1"/>
    <col min="12542" max="12542" width="9.765625E-2" style="16" customWidth="1"/>
    <col min="12543" max="12543" width="0.5" style="16" customWidth="1"/>
    <col min="12544" max="12544" width="36.09765625" style="16"/>
    <col min="12545" max="12545" width="3.59765625" style="16" customWidth="1"/>
    <col min="12546" max="12546" width="22.8984375" style="16" customWidth="1"/>
    <col min="12547" max="12547" width="4.5" style="16" customWidth="1"/>
    <col min="12548" max="12548" width="5.5" style="16" customWidth="1"/>
    <col min="12549" max="12549" width="9.5" style="16" customWidth="1"/>
    <col min="12550" max="12550" width="5.19921875" style="16" customWidth="1"/>
    <col min="12551" max="12551" width="10.59765625" style="16" customWidth="1"/>
    <col min="12552" max="12552" width="7.59765625" style="16" customWidth="1"/>
    <col min="12553" max="12792" width="0" style="16" hidden="1" customWidth="1"/>
    <col min="12793" max="12793" width="8.09765625" style="16" customWidth="1"/>
    <col min="12794" max="12794" width="3" style="16" customWidth="1"/>
    <col min="12795" max="12795" width="5.5" style="16" customWidth="1"/>
    <col min="12796" max="12796" width="3.5" style="16" customWidth="1"/>
    <col min="12797" max="12797" width="7.5" style="16" customWidth="1"/>
    <col min="12798" max="12798" width="9.765625E-2" style="16" customWidth="1"/>
    <col min="12799" max="12799" width="0.5" style="16" customWidth="1"/>
    <col min="12800" max="12800" width="36.09765625" style="16"/>
    <col min="12801" max="12801" width="3.59765625" style="16" customWidth="1"/>
    <col min="12802" max="12802" width="22.8984375" style="16" customWidth="1"/>
    <col min="12803" max="12803" width="4.5" style="16" customWidth="1"/>
    <col min="12804" max="12804" width="5.5" style="16" customWidth="1"/>
    <col min="12805" max="12805" width="9.5" style="16" customWidth="1"/>
    <col min="12806" max="12806" width="5.19921875" style="16" customWidth="1"/>
    <col min="12807" max="12807" width="10.59765625" style="16" customWidth="1"/>
    <col min="12808" max="12808" width="7.59765625" style="16" customWidth="1"/>
    <col min="12809" max="13048" width="0" style="16" hidden="1" customWidth="1"/>
    <col min="13049" max="13049" width="8.09765625" style="16" customWidth="1"/>
    <col min="13050" max="13050" width="3" style="16" customWidth="1"/>
    <col min="13051" max="13051" width="5.5" style="16" customWidth="1"/>
    <col min="13052" max="13052" width="3.5" style="16" customWidth="1"/>
    <col min="13053" max="13053" width="7.5" style="16" customWidth="1"/>
    <col min="13054" max="13054" width="9.765625E-2" style="16" customWidth="1"/>
    <col min="13055" max="13055" width="0.5" style="16" customWidth="1"/>
    <col min="13056" max="13056" width="36.09765625" style="16"/>
    <col min="13057" max="13057" width="3.59765625" style="16" customWidth="1"/>
    <col min="13058" max="13058" width="22.8984375" style="16" customWidth="1"/>
    <col min="13059" max="13059" width="4.5" style="16" customWidth="1"/>
    <col min="13060" max="13060" width="5.5" style="16" customWidth="1"/>
    <col min="13061" max="13061" width="9.5" style="16" customWidth="1"/>
    <col min="13062" max="13062" width="5.19921875" style="16" customWidth="1"/>
    <col min="13063" max="13063" width="10.59765625" style="16" customWidth="1"/>
    <col min="13064" max="13064" width="7.59765625" style="16" customWidth="1"/>
    <col min="13065" max="13304" width="0" style="16" hidden="1" customWidth="1"/>
    <col min="13305" max="13305" width="8.09765625" style="16" customWidth="1"/>
    <col min="13306" max="13306" width="3" style="16" customWidth="1"/>
    <col min="13307" max="13307" width="5.5" style="16" customWidth="1"/>
    <col min="13308" max="13308" width="3.5" style="16" customWidth="1"/>
    <col min="13309" max="13309" width="7.5" style="16" customWidth="1"/>
    <col min="13310" max="13310" width="9.765625E-2" style="16" customWidth="1"/>
    <col min="13311" max="13311" width="0.5" style="16" customWidth="1"/>
    <col min="13312" max="13312" width="36.09765625" style="16"/>
    <col min="13313" max="13313" width="3.59765625" style="16" customWidth="1"/>
    <col min="13314" max="13314" width="22.8984375" style="16" customWidth="1"/>
    <col min="13315" max="13315" width="4.5" style="16" customWidth="1"/>
    <col min="13316" max="13316" width="5.5" style="16" customWidth="1"/>
    <col min="13317" max="13317" width="9.5" style="16" customWidth="1"/>
    <col min="13318" max="13318" width="5.19921875" style="16" customWidth="1"/>
    <col min="13319" max="13319" width="10.59765625" style="16" customWidth="1"/>
    <col min="13320" max="13320" width="7.59765625" style="16" customWidth="1"/>
    <col min="13321" max="13560" width="0" style="16" hidden="1" customWidth="1"/>
    <col min="13561" max="13561" width="8.09765625" style="16" customWidth="1"/>
    <col min="13562" max="13562" width="3" style="16" customWidth="1"/>
    <col min="13563" max="13563" width="5.5" style="16" customWidth="1"/>
    <col min="13564" max="13564" width="3.5" style="16" customWidth="1"/>
    <col min="13565" max="13565" width="7.5" style="16" customWidth="1"/>
    <col min="13566" max="13566" width="9.765625E-2" style="16" customWidth="1"/>
    <col min="13567" max="13567" width="0.5" style="16" customWidth="1"/>
    <col min="13568" max="13568" width="36.09765625" style="16"/>
    <col min="13569" max="13569" width="3.59765625" style="16" customWidth="1"/>
    <col min="13570" max="13570" width="22.8984375" style="16" customWidth="1"/>
    <col min="13571" max="13571" width="4.5" style="16" customWidth="1"/>
    <col min="13572" max="13572" width="5.5" style="16" customWidth="1"/>
    <col min="13573" max="13573" width="9.5" style="16" customWidth="1"/>
    <col min="13574" max="13574" width="5.19921875" style="16" customWidth="1"/>
    <col min="13575" max="13575" width="10.59765625" style="16" customWidth="1"/>
    <col min="13576" max="13576" width="7.59765625" style="16" customWidth="1"/>
    <col min="13577" max="13816" width="0" style="16" hidden="1" customWidth="1"/>
    <col min="13817" max="13817" width="8.09765625" style="16" customWidth="1"/>
    <col min="13818" max="13818" width="3" style="16" customWidth="1"/>
    <col min="13819" max="13819" width="5.5" style="16" customWidth="1"/>
    <col min="13820" max="13820" width="3.5" style="16" customWidth="1"/>
    <col min="13821" max="13821" width="7.5" style="16" customWidth="1"/>
    <col min="13822" max="13822" width="9.765625E-2" style="16" customWidth="1"/>
    <col min="13823" max="13823" width="0.5" style="16" customWidth="1"/>
    <col min="13824" max="13824" width="36.09765625" style="16"/>
    <col min="13825" max="13825" width="3.59765625" style="16" customWidth="1"/>
    <col min="13826" max="13826" width="22.8984375" style="16" customWidth="1"/>
    <col min="13827" max="13827" width="4.5" style="16" customWidth="1"/>
    <col min="13828" max="13828" width="5.5" style="16" customWidth="1"/>
    <col min="13829" max="13829" width="9.5" style="16" customWidth="1"/>
    <col min="13830" max="13830" width="5.19921875" style="16" customWidth="1"/>
    <col min="13831" max="13831" width="10.59765625" style="16" customWidth="1"/>
    <col min="13832" max="13832" width="7.59765625" style="16" customWidth="1"/>
    <col min="13833" max="14072" width="0" style="16" hidden="1" customWidth="1"/>
    <col min="14073" max="14073" width="8.09765625" style="16" customWidth="1"/>
    <col min="14074" max="14074" width="3" style="16" customWidth="1"/>
    <col min="14075" max="14075" width="5.5" style="16" customWidth="1"/>
    <col min="14076" max="14076" width="3.5" style="16" customWidth="1"/>
    <col min="14077" max="14077" width="7.5" style="16" customWidth="1"/>
    <col min="14078" max="14078" width="9.765625E-2" style="16" customWidth="1"/>
    <col min="14079" max="14079" width="0.5" style="16" customWidth="1"/>
    <col min="14080" max="14080" width="36.09765625" style="16"/>
    <col min="14081" max="14081" width="3.59765625" style="16" customWidth="1"/>
    <col min="14082" max="14082" width="22.8984375" style="16" customWidth="1"/>
    <col min="14083" max="14083" width="4.5" style="16" customWidth="1"/>
    <col min="14084" max="14084" width="5.5" style="16" customWidth="1"/>
    <col min="14085" max="14085" width="9.5" style="16" customWidth="1"/>
    <col min="14086" max="14086" width="5.19921875" style="16" customWidth="1"/>
    <col min="14087" max="14087" width="10.59765625" style="16" customWidth="1"/>
    <col min="14088" max="14088" width="7.59765625" style="16" customWidth="1"/>
    <col min="14089" max="14328" width="0" style="16" hidden="1" customWidth="1"/>
    <col min="14329" max="14329" width="8.09765625" style="16" customWidth="1"/>
    <col min="14330" max="14330" width="3" style="16" customWidth="1"/>
    <col min="14331" max="14331" width="5.5" style="16" customWidth="1"/>
    <col min="14332" max="14332" width="3.5" style="16" customWidth="1"/>
    <col min="14333" max="14333" width="7.5" style="16" customWidth="1"/>
    <col min="14334" max="14334" width="9.765625E-2" style="16" customWidth="1"/>
    <col min="14335" max="14335" width="0.5" style="16" customWidth="1"/>
    <col min="14336" max="14336" width="36.09765625" style="16"/>
    <col min="14337" max="14337" width="3.59765625" style="16" customWidth="1"/>
    <col min="14338" max="14338" width="22.8984375" style="16" customWidth="1"/>
    <col min="14339" max="14339" width="4.5" style="16" customWidth="1"/>
    <col min="14340" max="14340" width="5.5" style="16" customWidth="1"/>
    <col min="14341" max="14341" width="9.5" style="16" customWidth="1"/>
    <col min="14342" max="14342" width="5.19921875" style="16" customWidth="1"/>
    <col min="14343" max="14343" width="10.59765625" style="16" customWidth="1"/>
    <col min="14344" max="14344" width="7.59765625" style="16" customWidth="1"/>
    <col min="14345" max="14584" width="0" style="16" hidden="1" customWidth="1"/>
    <col min="14585" max="14585" width="8.09765625" style="16" customWidth="1"/>
    <col min="14586" max="14586" width="3" style="16" customWidth="1"/>
    <col min="14587" max="14587" width="5.5" style="16" customWidth="1"/>
    <col min="14588" max="14588" width="3.5" style="16" customWidth="1"/>
    <col min="14589" max="14589" width="7.5" style="16" customWidth="1"/>
    <col min="14590" max="14590" width="9.765625E-2" style="16" customWidth="1"/>
    <col min="14591" max="14591" width="0.5" style="16" customWidth="1"/>
    <col min="14592" max="14592" width="36.09765625" style="16"/>
    <col min="14593" max="14593" width="3.59765625" style="16" customWidth="1"/>
    <col min="14594" max="14594" width="22.8984375" style="16" customWidth="1"/>
    <col min="14595" max="14595" width="4.5" style="16" customWidth="1"/>
    <col min="14596" max="14596" width="5.5" style="16" customWidth="1"/>
    <col min="14597" max="14597" width="9.5" style="16" customWidth="1"/>
    <col min="14598" max="14598" width="5.19921875" style="16" customWidth="1"/>
    <col min="14599" max="14599" width="10.59765625" style="16" customWidth="1"/>
    <col min="14600" max="14600" width="7.59765625" style="16" customWidth="1"/>
    <col min="14601" max="14840" width="0" style="16" hidden="1" customWidth="1"/>
    <col min="14841" max="14841" width="8.09765625" style="16" customWidth="1"/>
    <col min="14842" max="14842" width="3" style="16" customWidth="1"/>
    <col min="14843" max="14843" width="5.5" style="16" customWidth="1"/>
    <col min="14844" max="14844" width="3.5" style="16" customWidth="1"/>
    <col min="14845" max="14845" width="7.5" style="16" customWidth="1"/>
    <col min="14846" max="14846" width="9.765625E-2" style="16" customWidth="1"/>
    <col min="14847" max="14847" width="0.5" style="16" customWidth="1"/>
    <col min="14848" max="14848" width="36.09765625" style="16"/>
    <col min="14849" max="14849" width="3.59765625" style="16" customWidth="1"/>
    <col min="14850" max="14850" width="22.8984375" style="16" customWidth="1"/>
    <col min="14851" max="14851" width="4.5" style="16" customWidth="1"/>
    <col min="14852" max="14852" width="5.5" style="16" customWidth="1"/>
    <col min="14853" max="14853" width="9.5" style="16" customWidth="1"/>
    <col min="14854" max="14854" width="5.19921875" style="16" customWidth="1"/>
    <col min="14855" max="14855" width="10.59765625" style="16" customWidth="1"/>
    <col min="14856" max="14856" width="7.59765625" style="16" customWidth="1"/>
    <col min="14857" max="15096" width="0" style="16" hidden="1" customWidth="1"/>
    <col min="15097" max="15097" width="8.09765625" style="16" customWidth="1"/>
    <col min="15098" max="15098" width="3" style="16" customWidth="1"/>
    <col min="15099" max="15099" width="5.5" style="16" customWidth="1"/>
    <col min="15100" max="15100" width="3.5" style="16" customWidth="1"/>
    <col min="15101" max="15101" width="7.5" style="16" customWidth="1"/>
    <col min="15102" max="15102" width="9.765625E-2" style="16" customWidth="1"/>
    <col min="15103" max="15103" width="0.5" style="16" customWidth="1"/>
    <col min="15104" max="15104" width="36.09765625" style="16"/>
    <col min="15105" max="15105" width="3.59765625" style="16" customWidth="1"/>
    <col min="15106" max="15106" width="22.8984375" style="16" customWidth="1"/>
    <col min="15107" max="15107" width="4.5" style="16" customWidth="1"/>
    <col min="15108" max="15108" width="5.5" style="16" customWidth="1"/>
    <col min="15109" max="15109" width="9.5" style="16" customWidth="1"/>
    <col min="15110" max="15110" width="5.19921875" style="16" customWidth="1"/>
    <col min="15111" max="15111" width="10.59765625" style="16" customWidth="1"/>
    <col min="15112" max="15112" width="7.59765625" style="16" customWidth="1"/>
    <col min="15113" max="15352" width="0" style="16" hidden="1" customWidth="1"/>
    <col min="15353" max="15353" width="8.09765625" style="16" customWidth="1"/>
    <col min="15354" max="15354" width="3" style="16" customWidth="1"/>
    <col min="15355" max="15355" width="5.5" style="16" customWidth="1"/>
    <col min="15356" max="15356" width="3.5" style="16" customWidth="1"/>
    <col min="15357" max="15357" width="7.5" style="16" customWidth="1"/>
    <col min="15358" max="15358" width="9.765625E-2" style="16" customWidth="1"/>
    <col min="15359" max="15359" width="0.5" style="16" customWidth="1"/>
    <col min="15360" max="15360" width="36.09765625" style="16"/>
    <col min="15361" max="15361" width="3.59765625" style="16" customWidth="1"/>
    <col min="15362" max="15362" width="22.8984375" style="16" customWidth="1"/>
    <col min="15363" max="15363" width="4.5" style="16" customWidth="1"/>
    <col min="15364" max="15364" width="5.5" style="16" customWidth="1"/>
    <col min="15365" max="15365" width="9.5" style="16" customWidth="1"/>
    <col min="15366" max="15366" width="5.19921875" style="16" customWidth="1"/>
    <col min="15367" max="15367" width="10.59765625" style="16" customWidth="1"/>
    <col min="15368" max="15368" width="7.59765625" style="16" customWidth="1"/>
    <col min="15369" max="15608" width="0" style="16" hidden="1" customWidth="1"/>
    <col min="15609" max="15609" width="8.09765625" style="16" customWidth="1"/>
    <col min="15610" max="15610" width="3" style="16" customWidth="1"/>
    <col min="15611" max="15611" width="5.5" style="16" customWidth="1"/>
    <col min="15612" max="15612" width="3.5" style="16" customWidth="1"/>
    <col min="15613" max="15613" width="7.5" style="16" customWidth="1"/>
    <col min="15614" max="15614" width="9.765625E-2" style="16" customWidth="1"/>
    <col min="15615" max="15615" width="0.5" style="16" customWidth="1"/>
    <col min="15616" max="15616" width="36.09765625" style="16"/>
    <col min="15617" max="15617" width="3.59765625" style="16" customWidth="1"/>
    <col min="15618" max="15618" width="22.8984375" style="16" customWidth="1"/>
    <col min="15619" max="15619" width="4.5" style="16" customWidth="1"/>
    <col min="15620" max="15620" width="5.5" style="16" customWidth="1"/>
    <col min="15621" max="15621" width="9.5" style="16" customWidth="1"/>
    <col min="15622" max="15622" width="5.19921875" style="16" customWidth="1"/>
    <col min="15623" max="15623" width="10.59765625" style="16" customWidth="1"/>
    <col min="15624" max="15624" width="7.59765625" style="16" customWidth="1"/>
    <col min="15625" max="15864" width="0" style="16" hidden="1" customWidth="1"/>
    <col min="15865" max="15865" width="8.09765625" style="16" customWidth="1"/>
    <col min="15866" max="15866" width="3" style="16" customWidth="1"/>
    <col min="15867" max="15867" width="5.5" style="16" customWidth="1"/>
    <col min="15868" max="15868" width="3.5" style="16" customWidth="1"/>
    <col min="15869" max="15869" width="7.5" style="16" customWidth="1"/>
    <col min="15870" max="15870" width="9.765625E-2" style="16" customWidth="1"/>
    <col min="15871" max="15871" width="0.5" style="16" customWidth="1"/>
    <col min="15872" max="15872" width="36.09765625" style="16"/>
    <col min="15873" max="15873" width="3.59765625" style="16" customWidth="1"/>
    <col min="15874" max="15874" width="22.8984375" style="16" customWidth="1"/>
    <col min="15875" max="15875" width="4.5" style="16" customWidth="1"/>
    <col min="15876" max="15876" width="5.5" style="16" customWidth="1"/>
    <col min="15877" max="15877" width="9.5" style="16" customWidth="1"/>
    <col min="15878" max="15878" width="5.19921875" style="16" customWidth="1"/>
    <col min="15879" max="15879" width="10.59765625" style="16" customWidth="1"/>
    <col min="15880" max="15880" width="7.59765625" style="16" customWidth="1"/>
    <col min="15881" max="16120" width="0" style="16" hidden="1" customWidth="1"/>
    <col min="16121" max="16121" width="8.09765625" style="16" customWidth="1"/>
    <col min="16122" max="16122" width="3" style="16" customWidth="1"/>
    <col min="16123" max="16123" width="5.5" style="16" customWidth="1"/>
    <col min="16124" max="16124" width="3.5" style="16" customWidth="1"/>
    <col min="16125" max="16125" width="7.5" style="16" customWidth="1"/>
    <col min="16126" max="16126" width="9.765625E-2" style="16" customWidth="1"/>
    <col min="16127" max="16127" width="0.5" style="16" customWidth="1"/>
    <col min="16128" max="16128" width="36.09765625" style="16"/>
    <col min="16129" max="16129" width="3.59765625" style="16" customWidth="1"/>
    <col min="16130" max="16130" width="22.8984375" style="16" customWidth="1"/>
    <col min="16131" max="16131" width="4.5" style="16" customWidth="1"/>
    <col min="16132" max="16132" width="5.5" style="16" customWidth="1"/>
    <col min="16133" max="16133" width="9.5" style="16" customWidth="1"/>
    <col min="16134" max="16134" width="5.19921875" style="16" customWidth="1"/>
    <col min="16135" max="16135" width="10.59765625" style="16" customWidth="1"/>
    <col min="16136" max="16136" width="7.59765625" style="16" customWidth="1"/>
    <col min="16137" max="16376" width="0" style="16" hidden="1" customWidth="1"/>
    <col min="16377" max="16377" width="8.09765625" style="16" customWidth="1"/>
    <col min="16378" max="16378" width="3" style="16" customWidth="1"/>
    <col min="16379" max="16379" width="5.5" style="16" customWidth="1"/>
    <col min="16380" max="16380" width="3.5" style="16" customWidth="1"/>
    <col min="16381" max="16381" width="7.5" style="16" customWidth="1"/>
    <col min="16382" max="16382" width="9.765625E-2" style="16" customWidth="1"/>
    <col min="16383" max="16383" width="0.5" style="16" customWidth="1"/>
    <col min="16384" max="16384" width="36.0976562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2337</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61.5" customHeight="1">
      <c r="A13" s="96" t="s">
        <v>17</v>
      </c>
      <c r="B13" s="425" t="s">
        <v>2338</v>
      </c>
      <c r="C13" s="425"/>
      <c r="D13" s="425"/>
      <c r="E13" s="425"/>
      <c r="F13" s="425"/>
      <c r="G13" s="73">
        <f>G15</f>
        <v>10384000.000000002</v>
      </c>
      <c r="H13" s="74"/>
    </row>
    <row r="14" spans="1:8" s="17" customFormat="1" ht="15.6">
      <c r="A14" s="96"/>
      <c r="B14" s="200" t="s">
        <v>2339</v>
      </c>
      <c r="C14" s="200"/>
      <c r="D14" s="200"/>
      <c r="E14" s="200"/>
      <c r="F14" s="200"/>
      <c r="G14" s="73"/>
      <c r="H14" s="74"/>
    </row>
    <row r="15" spans="1:8" s="131" customFormat="1" ht="171.6">
      <c r="A15" s="123"/>
      <c r="B15" s="124" t="s">
        <v>2059</v>
      </c>
      <c r="C15" s="125" t="s">
        <v>1753</v>
      </c>
      <c r="D15" s="126">
        <v>4.4000000000000004</v>
      </c>
      <c r="E15" s="275">
        <v>11800000</v>
      </c>
      <c r="F15" s="188">
        <v>0.2</v>
      </c>
      <c r="G15" s="129">
        <f>D15*E15*F15</f>
        <v>10384000.000000002</v>
      </c>
      <c r="H15" s="130"/>
    </row>
    <row r="16" spans="1:8" s="131" customFormat="1" ht="15.6">
      <c r="A16" s="123"/>
      <c r="B16" s="276" t="s">
        <v>2340</v>
      </c>
      <c r="C16" s="125"/>
      <c r="D16" s="126"/>
      <c r="E16" s="275"/>
      <c r="F16" s="188"/>
      <c r="G16" s="129"/>
      <c r="H16" s="130"/>
    </row>
    <row r="17" spans="1:8" s="131" customFormat="1" ht="57" customHeight="1">
      <c r="A17" s="123"/>
      <c r="B17" s="277" t="s">
        <v>2033</v>
      </c>
      <c r="C17" s="125" t="s">
        <v>1753</v>
      </c>
      <c r="D17" s="126">
        <v>13.2</v>
      </c>
      <c r="E17" s="275"/>
      <c r="F17" s="188"/>
      <c r="G17" s="129"/>
      <c r="H17" s="130"/>
    </row>
    <row r="18" spans="1:8" ht="27" customHeight="1">
      <c r="A18" s="75" t="s">
        <v>18</v>
      </c>
      <c r="B18" s="426" t="s">
        <v>1725</v>
      </c>
      <c r="C18" s="426"/>
      <c r="D18" s="426"/>
      <c r="E18" s="426"/>
      <c r="F18" s="426"/>
      <c r="G18" s="76">
        <f>SUM(G20:G26)</f>
        <v>2764988.7075999998</v>
      </c>
      <c r="H18" s="11"/>
    </row>
    <row r="19" spans="1:8" ht="27" customHeight="1">
      <c r="A19" s="75"/>
      <c r="B19" s="201" t="s">
        <v>2341</v>
      </c>
      <c r="C19" s="201"/>
      <c r="D19" s="201"/>
      <c r="E19" s="201"/>
      <c r="F19" s="201"/>
      <c r="G19" s="76"/>
      <c r="H19" s="11"/>
    </row>
    <row r="20" spans="1:8" ht="31.2">
      <c r="A20" s="77">
        <v>1</v>
      </c>
      <c r="B20" s="78" t="s">
        <v>2342</v>
      </c>
      <c r="C20" s="14" t="s">
        <v>1754</v>
      </c>
      <c r="D20" s="132">
        <f>4.5*3.3*0.15</f>
        <v>2.2275</v>
      </c>
      <c r="E20" s="15">
        <v>1629758</v>
      </c>
      <c r="F20" s="187">
        <v>0.2</v>
      </c>
      <c r="G20" s="79">
        <f>D20*E20*F20</f>
        <v>726057.18900000001</v>
      </c>
      <c r="H20" s="15"/>
    </row>
    <row r="21" spans="1:8" ht="16.8">
      <c r="A21" s="77"/>
      <c r="B21" s="201" t="s">
        <v>2343</v>
      </c>
      <c r="C21" s="14"/>
      <c r="D21" s="132"/>
      <c r="E21" s="15"/>
      <c r="F21" s="187"/>
      <c r="G21" s="79"/>
      <c r="H21" s="15"/>
    </row>
    <row r="22" spans="1:8" ht="23.25" customHeight="1">
      <c r="A22" s="77">
        <v>1</v>
      </c>
      <c r="B22" s="78" t="s">
        <v>2344</v>
      </c>
      <c r="C22" s="14" t="s">
        <v>66</v>
      </c>
      <c r="D22" s="132">
        <f>2.8*0.6*2</f>
        <v>3.36</v>
      </c>
      <c r="E22" s="15">
        <v>550000</v>
      </c>
      <c r="F22" s="187">
        <v>0.2</v>
      </c>
      <c r="G22" s="79">
        <f>D22*E22*F22</f>
        <v>369600</v>
      </c>
      <c r="H22" s="15"/>
    </row>
    <row r="23" spans="1:8" ht="46.8">
      <c r="A23" s="77">
        <v>2</v>
      </c>
      <c r="B23" s="78" t="s">
        <v>2345</v>
      </c>
      <c r="C23" s="14" t="s">
        <v>1754</v>
      </c>
      <c r="D23" s="132">
        <f>2.8*1*2*0.11</f>
        <v>0.61599999999999999</v>
      </c>
      <c r="E23" s="15">
        <v>2126713</v>
      </c>
      <c r="F23" s="187">
        <v>0.2</v>
      </c>
      <c r="G23" s="79">
        <f t="shared" ref="G23:G26" si="0">D23*E23*F23</f>
        <v>262011.0416</v>
      </c>
      <c r="H23" s="15"/>
    </row>
    <row r="24" spans="1:8" ht="15.6">
      <c r="A24" s="77"/>
      <c r="B24" s="78" t="s">
        <v>2346</v>
      </c>
      <c r="C24" s="14" t="s">
        <v>66</v>
      </c>
      <c r="D24" s="132">
        <f>2.8*1*2*2</f>
        <v>11.2</v>
      </c>
      <c r="E24" s="15">
        <v>141099</v>
      </c>
      <c r="F24" s="187">
        <v>0.2</v>
      </c>
      <c r="G24" s="79">
        <f t="shared" si="0"/>
        <v>316061.76</v>
      </c>
      <c r="H24" s="15"/>
    </row>
    <row r="25" spans="1:8" ht="31.2">
      <c r="A25" s="77">
        <v>3</v>
      </c>
      <c r="B25" s="78" t="s">
        <v>2347</v>
      </c>
      <c r="C25" s="14" t="s">
        <v>1754</v>
      </c>
      <c r="D25" s="132">
        <f>6.3*3.5*0.15</f>
        <v>3.3075000000000001</v>
      </c>
      <c r="E25" s="15">
        <v>1629758</v>
      </c>
      <c r="F25" s="187">
        <v>0.2</v>
      </c>
      <c r="G25" s="79">
        <f t="shared" si="0"/>
        <v>1078084.9170000001</v>
      </c>
      <c r="H25" s="15"/>
    </row>
    <row r="26" spans="1:8" ht="15.6">
      <c r="A26" s="77">
        <v>4</v>
      </c>
      <c r="B26" s="78" t="s">
        <v>2348</v>
      </c>
      <c r="C26" s="14" t="s">
        <v>1755</v>
      </c>
      <c r="D26" s="132">
        <f>6.62/6*3</f>
        <v>3.3099999999999996</v>
      </c>
      <c r="E26" s="15">
        <v>19900</v>
      </c>
      <c r="F26" s="187">
        <v>0.2</v>
      </c>
      <c r="G26" s="79">
        <f t="shared" si="0"/>
        <v>13173.799999999997</v>
      </c>
      <c r="H26" s="15"/>
    </row>
    <row r="27" spans="1:8" ht="24" customHeight="1">
      <c r="A27" s="75" t="s">
        <v>19</v>
      </c>
      <c r="B27" s="426" t="s">
        <v>1727</v>
      </c>
      <c r="C27" s="426"/>
      <c r="D27" s="426"/>
      <c r="E27" s="426"/>
      <c r="F27" s="426"/>
      <c r="G27" s="76">
        <f>SUM(G29:G30)</f>
        <v>385750</v>
      </c>
      <c r="H27" s="11"/>
    </row>
    <row r="28" spans="1:8" ht="24" customHeight="1">
      <c r="A28" s="75"/>
      <c r="B28" s="201" t="s">
        <v>2349</v>
      </c>
      <c r="C28" s="201"/>
      <c r="D28" s="201"/>
      <c r="E28" s="201"/>
      <c r="F28" s="201"/>
      <c r="G28" s="76"/>
      <c r="H28" s="11"/>
    </row>
    <row r="29" spans="1:8" s="12" customFormat="1" ht="46.8">
      <c r="A29" s="94">
        <v>1</v>
      </c>
      <c r="B29" s="271" t="s">
        <v>382</v>
      </c>
      <c r="C29" s="14" t="s">
        <v>1724</v>
      </c>
      <c r="D29" s="14">
        <v>1</v>
      </c>
      <c r="E29" s="79" t="str">
        <f>VLOOKUP(B29,'[20]Đơn giá cây cối'!$A$2:$C$1361,3,0)</f>
        <v>1.493.000</v>
      </c>
      <c r="F29" s="132">
        <v>0.25</v>
      </c>
      <c r="G29" s="79">
        <f>D29*E29*F29</f>
        <v>373250</v>
      </c>
      <c r="H29" s="95"/>
    </row>
    <row r="30" spans="1:8" s="12" customFormat="1" ht="46.8">
      <c r="A30" s="94">
        <v>2</v>
      </c>
      <c r="B30" s="271" t="s">
        <v>1149</v>
      </c>
      <c r="C30" s="14" t="s">
        <v>1724</v>
      </c>
      <c r="D30" s="14">
        <v>1</v>
      </c>
      <c r="E30" s="79" t="str">
        <f>VLOOKUP(B30,'[20]Đơn giá cây cối'!$A$2:$C$1361,3,0)</f>
        <v>50.000</v>
      </c>
      <c r="F30" s="132">
        <v>0.25</v>
      </c>
      <c r="G30" s="79">
        <f>D30*E30*F30</f>
        <v>12500</v>
      </c>
      <c r="H30" s="95"/>
    </row>
    <row r="31" spans="1:8" ht="15.6">
      <c r="A31" s="80"/>
      <c r="B31" s="427" t="s">
        <v>62</v>
      </c>
      <c r="C31" s="428"/>
      <c r="D31" s="428"/>
      <c r="E31" s="428"/>
      <c r="F31" s="429"/>
      <c r="G31" s="81">
        <f>G13+G18+G27</f>
        <v>13534738.707600001</v>
      </c>
      <c r="H31" s="82"/>
    </row>
    <row r="32" spans="1:8" ht="15.6">
      <c r="A32" s="80"/>
      <c r="B32" s="427" t="s">
        <v>1726</v>
      </c>
      <c r="C32" s="428"/>
      <c r="D32" s="428"/>
      <c r="E32" s="428"/>
      <c r="F32" s="429"/>
      <c r="G32" s="81">
        <f>ROUND(G31,-3)</f>
        <v>13535000</v>
      </c>
      <c r="H32" s="82"/>
    </row>
    <row r="33" spans="1:8" ht="15.6">
      <c r="A33" s="430" t="e" cm="1">
        <f t="array" aca="1" ref="A33" ca="1">[22]!vnd(G32)</f>
        <v>#NAME?</v>
      </c>
      <c r="B33" s="431"/>
      <c r="C33" s="431"/>
      <c r="D33" s="431"/>
      <c r="E33" s="431"/>
      <c r="F33" s="431"/>
      <c r="G33" s="431"/>
      <c r="H33" s="432"/>
    </row>
    <row r="34" spans="1:8" ht="15.6">
      <c r="A34" s="252"/>
      <c r="B34" s="253"/>
      <c r="C34" s="253"/>
      <c r="D34" s="253"/>
      <c r="E34" s="253"/>
      <c r="F34" s="253"/>
      <c r="G34" s="253"/>
      <c r="H34" s="253"/>
    </row>
    <row r="35" spans="1:8" ht="15.6">
      <c r="A35" s="252"/>
      <c r="B35" s="253"/>
      <c r="C35" s="253"/>
      <c r="D35" s="253"/>
      <c r="E35" s="253"/>
      <c r="F35" s="253"/>
      <c r="G35" s="253"/>
      <c r="H35" s="253"/>
    </row>
    <row r="36" spans="1:8" ht="15.6">
      <c r="A36" s="252"/>
      <c r="B36" s="253"/>
      <c r="C36" s="253"/>
      <c r="D36" s="253"/>
      <c r="E36" s="253"/>
      <c r="F36" s="253"/>
      <c r="G36" s="253"/>
      <c r="H36" s="253"/>
    </row>
    <row r="37" spans="1:8">
      <c r="A37" s="17"/>
      <c r="B37" s="17"/>
      <c r="C37" s="97"/>
      <c r="D37" s="20"/>
      <c r="E37" s="19"/>
      <c r="F37" s="97"/>
      <c r="G37" s="19"/>
      <c r="H37" s="17"/>
    </row>
    <row r="38" spans="1:8" s="109" customFormat="1" ht="16.5" customHeight="1">
      <c r="A38" s="108"/>
      <c r="B38" s="108"/>
      <c r="C38" s="424" t="s">
        <v>1742</v>
      </c>
      <c r="D38" s="424"/>
      <c r="E38" s="424"/>
      <c r="F38" s="424"/>
      <c r="G38" s="424"/>
      <c r="H38" s="424"/>
    </row>
    <row r="39" spans="1:8" s="109" customFormat="1" ht="16.5" customHeight="1">
      <c r="A39" s="423" t="s">
        <v>63</v>
      </c>
      <c r="B39" s="423"/>
      <c r="C39" s="424" t="s">
        <v>1743</v>
      </c>
      <c r="D39" s="424"/>
      <c r="E39" s="424"/>
      <c r="F39" s="424" t="s">
        <v>1744</v>
      </c>
      <c r="G39" s="424"/>
      <c r="H39" s="424"/>
    </row>
    <row r="40" spans="1:8" s="109" customFormat="1" ht="15.6">
      <c r="A40" s="108"/>
      <c r="B40" s="108"/>
      <c r="C40" s="108"/>
      <c r="D40" s="110"/>
      <c r="E40" s="111"/>
      <c r="F40" s="112"/>
      <c r="G40" s="111"/>
      <c r="H40" s="113"/>
    </row>
    <row r="41" spans="1:8" s="109" customFormat="1" ht="15.6">
      <c r="A41" s="108"/>
      <c r="B41" s="108"/>
      <c r="C41" s="108"/>
      <c r="D41" s="110"/>
      <c r="E41" s="111"/>
      <c r="F41" s="112"/>
      <c r="G41" s="114"/>
      <c r="H41" s="113"/>
    </row>
    <row r="42" spans="1:8" s="109" customFormat="1" ht="15.6">
      <c r="A42" s="108"/>
      <c r="B42" s="108"/>
      <c r="C42" s="108"/>
      <c r="D42" s="110"/>
      <c r="E42" s="111"/>
      <c r="F42" s="112"/>
      <c r="G42" s="111"/>
      <c r="H42" s="113"/>
    </row>
    <row r="43" spans="1:8" s="109" customFormat="1" ht="15.6">
      <c r="A43" s="108"/>
      <c r="B43" s="108"/>
      <c r="C43" s="108"/>
      <c r="D43" s="110"/>
      <c r="E43" s="111"/>
      <c r="F43" s="112"/>
      <c r="G43" s="111"/>
      <c r="H43" s="113"/>
    </row>
    <row r="44" spans="1:8" s="109" customFormat="1" ht="15.6">
      <c r="A44" s="108"/>
      <c r="B44" s="108"/>
      <c r="C44" s="108"/>
      <c r="D44" s="110"/>
      <c r="E44" s="111"/>
      <c r="F44" s="112"/>
      <c r="G44" s="111"/>
      <c r="H44" s="113"/>
    </row>
    <row r="45" spans="1:8" s="109" customFormat="1" ht="16.5" customHeight="1">
      <c r="A45" s="108"/>
      <c r="B45" s="198" t="s">
        <v>64</v>
      </c>
      <c r="C45" s="424"/>
      <c r="D45" s="424"/>
      <c r="E45" s="424"/>
      <c r="F45" s="424" t="s">
        <v>1745</v>
      </c>
      <c r="G45" s="424"/>
      <c r="H45" s="424"/>
    </row>
    <row r="46" spans="1:8" s="109" customFormat="1" ht="15.6">
      <c r="A46" s="108"/>
      <c r="B46" s="198"/>
      <c r="C46" s="199"/>
      <c r="D46" s="199"/>
      <c r="E46" s="199"/>
      <c r="F46" s="199"/>
      <c r="G46" s="199"/>
      <c r="H46" s="199"/>
    </row>
    <row r="47" spans="1:8" s="109" customFormat="1" ht="15" customHeight="1">
      <c r="A47" s="424" t="s">
        <v>1746</v>
      </c>
      <c r="B47" s="424"/>
      <c r="C47" s="424"/>
      <c r="D47" s="424"/>
      <c r="E47" s="424" t="s">
        <v>1747</v>
      </c>
      <c r="F47" s="424"/>
      <c r="G47" s="424"/>
      <c r="H47" s="424"/>
    </row>
    <row r="48" spans="1:8" s="109" customFormat="1" ht="33.6" customHeight="1">
      <c r="A48" s="424" t="s">
        <v>1748</v>
      </c>
      <c r="B48" s="424"/>
      <c r="C48" s="424"/>
      <c r="D48" s="424"/>
      <c r="E48" s="424" t="s">
        <v>65</v>
      </c>
      <c r="F48" s="424"/>
      <c r="G48" s="424"/>
      <c r="H48" s="424"/>
    </row>
    <row r="49" spans="1:8" s="109" customFormat="1" ht="15.6">
      <c r="A49" s="108"/>
      <c r="B49" s="108"/>
      <c r="C49" s="108"/>
      <c r="D49" s="110"/>
      <c r="E49" s="111"/>
      <c r="F49" s="112"/>
      <c r="G49" s="111"/>
      <c r="H49" s="113"/>
    </row>
    <row r="50" spans="1:8" s="109" customFormat="1" ht="15.6">
      <c r="A50" s="108"/>
      <c r="B50" s="108"/>
      <c r="C50" s="108"/>
      <c r="D50" s="110"/>
      <c r="E50" s="111"/>
      <c r="F50" s="112"/>
      <c r="G50" s="111"/>
      <c r="H50" s="113"/>
    </row>
    <row r="51" spans="1:8" s="109" customFormat="1" ht="15.6">
      <c r="A51" s="108"/>
      <c r="B51" s="108"/>
      <c r="C51" s="108"/>
      <c r="D51" s="110"/>
      <c r="E51" s="111"/>
      <c r="F51" s="112"/>
      <c r="G51" s="111"/>
      <c r="H51" s="113"/>
    </row>
    <row r="52" spans="1:8" s="109" customFormat="1" ht="15.6">
      <c r="A52" s="108"/>
      <c r="B52" s="108"/>
      <c r="C52" s="108"/>
      <c r="D52" s="110"/>
      <c r="E52" s="111"/>
      <c r="F52" s="112"/>
      <c r="G52" s="111"/>
      <c r="H52" s="113"/>
    </row>
    <row r="53" spans="1:8" s="109" customFormat="1" ht="15.6">
      <c r="A53" s="108"/>
      <c r="B53" s="108"/>
      <c r="C53" s="108"/>
      <c r="D53" s="110"/>
      <c r="E53" s="111"/>
      <c r="F53" s="112"/>
      <c r="G53" s="111"/>
      <c r="H53" s="113"/>
    </row>
    <row r="54" spans="1:8" s="109" customFormat="1" ht="15.6" customHeight="1">
      <c r="A54" s="108"/>
      <c r="B54" s="108"/>
      <c r="C54" s="108"/>
      <c r="D54" s="115"/>
      <c r="E54" s="439" t="s">
        <v>1749</v>
      </c>
      <c r="F54" s="439"/>
      <c r="G54" s="439"/>
      <c r="H54" s="439"/>
    </row>
    <row r="55" spans="1:8" s="109" customFormat="1" ht="16.5" customHeight="1">
      <c r="A55" s="424" t="s">
        <v>1751</v>
      </c>
      <c r="B55" s="424"/>
      <c r="C55" s="424"/>
      <c r="D55" s="424"/>
      <c r="E55" s="424" t="s">
        <v>1750</v>
      </c>
      <c r="F55" s="424"/>
      <c r="G55" s="424"/>
      <c r="H55" s="424"/>
    </row>
    <row r="56" spans="1:8" s="118" customFormat="1" ht="16.2" customHeight="1">
      <c r="A56" s="436"/>
      <c r="B56" s="436"/>
      <c r="C56" s="273"/>
      <c r="D56" s="274"/>
      <c r="E56" s="436"/>
      <c r="F56" s="436"/>
      <c r="G56" s="436"/>
      <c r="H56" s="436"/>
    </row>
    <row r="57" spans="1:8" s="118" customFormat="1" ht="15.75" customHeight="1">
      <c r="A57" s="436"/>
      <c r="B57" s="436"/>
      <c r="C57" s="436"/>
      <c r="D57" s="436"/>
      <c r="E57" s="436"/>
      <c r="F57" s="436"/>
      <c r="G57" s="436"/>
      <c r="H57" s="436"/>
    </row>
    <row r="58" spans="1:8" s="98" customFormat="1" ht="16.2" customHeight="1">
      <c r="A58" s="436"/>
      <c r="B58" s="436"/>
      <c r="C58" s="436"/>
      <c r="D58" s="436"/>
      <c r="E58" s="119"/>
      <c r="F58" s="120"/>
      <c r="G58" s="119"/>
      <c r="H58" s="121"/>
    </row>
    <row r="59" spans="1:8" s="98" customFormat="1" ht="16.2" customHeight="1">
      <c r="A59" s="436"/>
      <c r="B59" s="436"/>
      <c r="C59" s="436"/>
      <c r="D59" s="436"/>
      <c r="E59" s="119"/>
      <c r="F59" s="120"/>
      <c r="G59" s="119"/>
      <c r="H59" s="121"/>
    </row>
    <row r="60" spans="1:8" s="98" customFormat="1" ht="16.2" customHeight="1">
      <c r="A60" s="121"/>
      <c r="B60" s="121"/>
      <c r="C60" s="121"/>
      <c r="D60" s="122"/>
      <c r="E60" s="119"/>
      <c r="F60" s="120"/>
      <c r="G60" s="119"/>
      <c r="H60" s="121"/>
    </row>
    <row r="61" spans="1:8" ht="16.2" customHeight="1">
      <c r="A61" s="83"/>
      <c r="B61" s="83"/>
      <c r="C61" s="83"/>
      <c r="D61" s="84"/>
      <c r="E61" s="85"/>
      <c r="F61" s="86"/>
      <c r="G61" s="85"/>
      <c r="H61" s="83"/>
    </row>
    <row r="62" spans="1:8" ht="16.2" customHeight="1">
      <c r="A62" s="83"/>
      <c r="B62" s="83"/>
      <c r="C62" s="83"/>
      <c r="D62" s="84"/>
      <c r="E62" s="85"/>
      <c r="F62" s="86"/>
      <c r="G62" s="85"/>
      <c r="H62" s="83"/>
    </row>
    <row r="63" spans="1:8" ht="16.2" customHeight="1">
      <c r="A63" s="83"/>
      <c r="B63" s="83"/>
      <c r="C63" s="83"/>
      <c r="D63" s="84"/>
      <c r="E63" s="85"/>
      <c r="F63" s="86"/>
      <c r="G63" s="85"/>
      <c r="H63" s="83"/>
    </row>
    <row r="64" spans="1:8" ht="16.2" customHeight="1">
      <c r="A64" s="83"/>
      <c r="B64" s="83"/>
      <c r="C64" s="83"/>
      <c r="D64" s="84"/>
      <c r="E64" s="437"/>
      <c r="F64" s="437"/>
      <c r="G64" s="437"/>
      <c r="H64" s="437"/>
    </row>
    <row r="65" spans="1:8" ht="20.25" customHeight="1">
      <c r="A65" s="438"/>
      <c r="B65" s="438"/>
      <c r="C65" s="438"/>
      <c r="D65" s="438"/>
      <c r="E65" s="438"/>
      <c r="F65" s="438"/>
      <c r="G65" s="438"/>
      <c r="H65" s="438"/>
    </row>
    <row r="66" spans="1:8" s="17" customFormat="1" ht="16.2" customHeight="1">
      <c r="D66" s="18"/>
      <c r="E66" s="19"/>
      <c r="F66" s="97"/>
      <c r="G66" s="19"/>
    </row>
    <row r="67" spans="1:8" s="17" customFormat="1" ht="16.2" customHeight="1">
      <c r="D67" s="18"/>
      <c r="E67" s="19"/>
      <c r="F67" s="97"/>
      <c r="G67" s="19"/>
    </row>
    <row r="68" spans="1:8" s="17" customFormat="1" ht="16.2" customHeight="1">
      <c r="D68" s="18"/>
      <c r="E68" s="19"/>
      <c r="F68" s="97"/>
      <c r="G68" s="19"/>
    </row>
    <row r="69" spans="1:8" s="17" customFormat="1" ht="16.2" customHeight="1">
      <c r="D69" s="18"/>
      <c r="E69" s="19"/>
      <c r="F69" s="97"/>
      <c r="G69" s="19"/>
    </row>
    <row r="70" spans="1:8" s="17" customFormat="1" ht="16.2" customHeight="1">
      <c r="D70" s="18"/>
      <c r="E70" s="19"/>
      <c r="F70" s="97"/>
      <c r="G70" s="19"/>
    </row>
    <row r="71" spans="1:8" s="17" customFormat="1" ht="16.2" customHeight="1">
      <c r="D71" s="18"/>
      <c r="E71" s="19"/>
      <c r="F71" s="97"/>
      <c r="G71" s="19"/>
    </row>
    <row r="72" spans="1:8" s="17" customFormat="1" ht="16.2" customHeight="1">
      <c r="D72" s="18"/>
      <c r="E72" s="19"/>
      <c r="F72" s="97"/>
      <c r="G72" s="19"/>
    </row>
    <row r="73" spans="1:8" s="17" customFormat="1" ht="16.2" customHeight="1">
      <c r="D73" s="18"/>
      <c r="E73" s="19"/>
      <c r="F73" s="97"/>
      <c r="G73" s="19"/>
    </row>
    <row r="74" spans="1:8" s="17" customFormat="1" ht="16.2" customHeight="1">
      <c r="D74" s="18"/>
      <c r="E74" s="19"/>
      <c r="F74" s="97"/>
      <c r="G74" s="19"/>
    </row>
    <row r="75" spans="1:8" s="17" customFormat="1" ht="16.2" customHeight="1">
      <c r="D75" s="18"/>
      <c r="E75" s="19"/>
      <c r="F75" s="97"/>
      <c r="G75" s="19"/>
    </row>
    <row r="76" spans="1:8" s="17" customFormat="1" ht="16.2" customHeight="1">
      <c r="D76" s="18"/>
      <c r="E76" s="19"/>
      <c r="F76" s="97"/>
      <c r="G76" s="19"/>
    </row>
    <row r="77" spans="1:8" s="17" customFormat="1" ht="16.2" customHeight="1">
      <c r="D77" s="18"/>
      <c r="E77" s="19"/>
      <c r="F77" s="97"/>
      <c r="G77" s="19"/>
    </row>
    <row r="78" spans="1:8" s="17" customFormat="1" ht="16.2" customHeight="1">
      <c r="D78" s="18"/>
      <c r="E78" s="19"/>
      <c r="F78" s="97"/>
      <c r="G78" s="19"/>
    </row>
    <row r="79" spans="1:8" s="17" customFormat="1" ht="16.2" customHeight="1">
      <c r="D79" s="18"/>
      <c r="E79" s="19"/>
      <c r="F79" s="97"/>
      <c r="G79" s="19"/>
    </row>
    <row r="80" spans="1:8" s="17" customFormat="1" ht="16.2" customHeight="1">
      <c r="D80" s="18"/>
      <c r="E80" s="19"/>
      <c r="F80" s="97"/>
      <c r="G80" s="19"/>
    </row>
    <row r="81" spans="3:7" s="17" customFormat="1" ht="16.2" customHeight="1">
      <c r="D81" s="18"/>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s="17" customFormat="1" ht="16.2" customHeight="1">
      <c r="C87" s="97"/>
      <c r="D87" s="20"/>
      <c r="E87" s="19"/>
      <c r="F87" s="97"/>
      <c r="G87" s="19"/>
    </row>
    <row r="88" spans="3:7" s="17" customFormat="1" ht="16.2" customHeight="1">
      <c r="C88" s="97"/>
      <c r="D88" s="20"/>
      <c r="E88" s="19"/>
      <c r="F88" s="97"/>
      <c r="G88" s="19"/>
    </row>
    <row r="89" spans="3:7" s="17" customFormat="1" ht="16.2" customHeight="1">
      <c r="C89" s="97"/>
      <c r="D89" s="20"/>
      <c r="E89" s="19"/>
      <c r="F89" s="97"/>
      <c r="G89" s="19"/>
    </row>
    <row r="90" spans="3:7" s="17" customFormat="1" ht="16.2" customHeight="1">
      <c r="C90" s="97"/>
      <c r="D90" s="20"/>
      <c r="E90" s="19"/>
      <c r="F90" s="97"/>
      <c r="G90" s="19"/>
    </row>
    <row r="91" spans="3:7" s="17" customFormat="1" ht="16.2" customHeight="1">
      <c r="C91" s="97"/>
      <c r="D91" s="20"/>
      <c r="E91" s="19"/>
      <c r="F91" s="97"/>
      <c r="G91" s="19"/>
    </row>
    <row r="92" spans="3:7" s="17" customFormat="1" ht="16.2" customHeight="1">
      <c r="C92" s="97"/>
      <c r="D92" s="20"/>
      <c r="E92" s="19"/>
      <c r="F92" s="97"/>
      <c r="G92" s="19"/>
    </row>
    <row r="93" spans="3:7" s="17" customFormat="1" ht="16.2" customHeight="1">
      <c r="C93" s="97"/>
      <c r="D93" s="20"/>
      <c r="E93" s="19"/>
      <c r="F93" s="97"/>
      <c r="G93" s="19"/>
    </row>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ht="16.2" customHeight="1"/>
    <row r="235" ht="16.2" customHeight="1"/>
    <row r="236" ht="16.2" customHeight="1"/>
    <row r="237" ht="16.2" customHeight="1"/>
    <row r="238" ht="16.2" customHeight="1"/>
    <row r="239" ht="16.2" customHeight="1"/>
    <row r="240"/>
    <row r="241"/>
    <row r="242"/>
    <row r="243"/>
    <row r="244"/>
    <row r="245"/>
    <row r="246"/>
    <row r="247"/>
    <row r="248"/>
    <row r="249"/>
    <row r="250"/>
    <row r="251"/>
    <row r="252"/>
    <row r="253"/>
    <row r="254"/>
    <row r="255"/>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sheetData>
  <mergeCells count="40">
    <mergeCell ref="A4:B4"/>
    <mergeCell ref="C4:H4"/>
    <mergeCell ref="A1:B1"/>
    <mergeCell ref="C1:H1"/>
    <mergeCell ref="A2:B2"/>
    <mergeCell ref="C2:H2"/>
    <mergeCell ref="A3:B3"/>
    <mergeCell ref="A33:H33"/>
    <mergeCell ref="A6:H6"/>
    <mergeCell ref="A7:H7"/>
    <mergeCell ref="A8:H8"/>
    <mergeCell ref="A9:H9"/>
    <mergeCell ref="A10:H10"/>
    <mergeCell ref="A11:H11"/>
    <mergeCell ref="B13:F13"/>
    <mergeCell ref="B18:F18"/>
    <mergeCell ref="B27:F27"/>
    <mergeCell ref="B31:F31"/>
    <mergeCell ref="B32:F32"/>
    <mergeCell ref="A55:D55"/>
    <mergeCell ref="E55:H55"/>
    <mergeCell ref="C38:H38"/>
    <mergeCell ref="A39:B39"/>
    <mergeCell ref="C39:E39"/>
    <mergeCell ref="F39:H39"/>
    <mergeCell ref="C45:E45"/>
    <mergeCell ref="F45:H45"/>
    <mergeCell ref="A47:D47"/>
    <mergeCell ref="E47:H47"/>
    <mergeCell ref="A48:D48"/>
    <mergeCell ref="E48:H48"/>
    <mergeCell ref="E54:H54"/>
    <mergeCell ref="E64:H64"/>
    <mergeCell ref="A65:H65"/>
    <mergeCell ref="A56:B56"/>
    <mergeCell ref="E56:H56"/>
    <mergeCell ref="A57:D57"/>
    <mergeCell ref="E57:H57"/>
    <mergeCell ref="A58:D58"/>
    <mergeCell ref="A59:D59"/>
  </mergeCells>
  <dataValidations count="2">
    <dataValidation type="list" allowBlank="1" showInputMessage="1" showErrorMessage="1" sqref="B29:B30" xr:uid="{00000000-0002-0000-4800-000000000000}">
      <formula1>bichphuong</formula1>
    </dataValidation>
    <dataValidation type="list" allowBlank="1" showInputMessage="1" showErrorMessage="1" sqref="WVJ983057:WVJ983074 B983057:B983074 IX983057:IX983074 ST983057:ST983074 ACP983057:ACP983074 AML983057:AML983074 AWH983057:AWH983074 BGD983057:BGD983074 BPZ983057:BPZ983074 BZV983057:BZV983074 CJR983057:CJR983074 CTN983057:CTN983074 DDJ983057:DDJ983074 DNF983057:DNF983074 DXB983057:DXB983074 EGX983057:EGX983074 EQT983057:EQT983074 FAP983057:FAP983074 FKL983057:FKL983074 FUH983057:FUH983074 GED983057:GED983074 GNZ983057:GNZ983074 GXV983057:GXV983074 HHR983057:HHR983074 HRN983057:HRN983074 IBJ983057:IBJ983074 ILF983057:ILF983074 IVB983057:IVB983074 JEX983057:JEX983074 JOT983057:JOT983074 JYP983057:JYP983074 KIL983057:KIL983074 KSH983057:KSH983074 LCD983057:LCD983074 LLZ983057:LLZ983074 LVV983057:LVV983074 MFR983057:MFR983074 MPN983057:MPN983074 MZJ983057:MZJ983074 NJF983057:NJF983074 NTB983057:NTB983074 OCX983057:OCX983074 OMT983057:OMT983074 OWP983057:OWP983074 PGL983057:PGL983074 PQH983057:PQH983074 QAD983057:QAD983074 QJZ983057:QJZ983074 QTV983057:QTV983074 RDR983057:RDR983074 RNN983057:RNN983074 RXJ983057:RXJ983074 SHF983057:SHF983074 SRB983057:SRB983074 TAX983057:TAX983074 TKT983057:TKT983074 TUP983057:TUP983074 UEL983057:UEL983074 UOH983057:UOH983074 UYD983057:UYD983074 VHZ983057:VHZ983074 VRV983057:VRV983074 WBR983057:WBR983074 WLN983057:WLN983074 B65553:B65570 IX65553:IX65570 ST65553:ST65570 ACP65553:ACP65570 AML65553:AML65570 AWH65553:AWH65570 BGD65553:BGD65570 BPZ65553:BPZ65570 BZV65553:BZV65570 CJR65553:CJR65570 CTN65553:CTN65570 DDJ65553:DDJ65570 DNF65553:DNF65570 DXB65553:DXB65570 EGX65553:EGX65570 EQT65553:EQT65570 FAP65553:FAP65570 FKL65553:FKL65570 FUH65553:FUH65570 GED65553:GED65570 GNZ65553:GNZ65570 GXV65553:GXV65570 HHR65553:HHR65570 HRN65553:HRN65570 IBJ65553:IBJ65570 ILF65553:ILF65570 IVB65553:IVB65570 JEX65553:JEX65570 JOT65553:JOT65570 JYP65553:JYP65570 KIL65553:KIL65570 KSH65553:KSH65570 LCD65553:LCD65570 LLZ65553:LLZ65570 LVV65553:LVV65570 MFR65553:MFR65570 MPN65553:MPN65570 MZJ65553:MZJ65570 NJF65553:NJF65570 NTB65553:NTB65570 OCX65553:OCX65570 OMT65553:OMT65570 OWP65553:OWP65570 PGL65553:PGL65570 PQH65553:PQH65570 QAD65553:QAD65570 QJZ65553:QJZ65570 QTV65553:QTV65570 RDR65553:RDR65570 RNN65553:RNN65570 RXJ65553:RXJ65570 SHF65553:SHF65570 SRB65553:SRB65570 TAX65553:TAX65570 TKT65553:TKT65570 TUP65553:TUP65570 UEL65553:UEL65570 UOH65553:UOH65570 UYD65553:UYD65570 VHZ65553:VHZ65570 VRV65553:VRV65570 WBR65553:WBR65570 WLN65553:WLN65570 WVJ65553:WVJ65570 B131089:B131106 IX131089:IX131106 ST131089:ST131106 ACP131089:ACP131106 AML131089:AML131106 AWH131089:AWH131106 BGD131089:BGD131106 BPZ131089:BPZ131106 BZV131089:BZV131106 CJR131089:CJR131106 CTN131089:CTN131106 DDJ131089:DDJ131106 DNF131089:DNF131106 DXB131089:DXB131106 EGX131089:EGX131106 EQT131089:EQT131106 FAP131089:FAP131106 FKL131089:FKL131106 FUH131089:FUH131106 GED131089:GED131106 GNZ131089:GNZ131106 GXV131089:GXV131106 HHR131089:HHR131106 HRN131089:HRN131106 IBJ131089:IBJ131106 ILF131089:ILF131106 IVB131089:IVB131106 JEX131089:JEX131106 JOT131089:JOT131106 JYP131089:JYP131106 KIL131089:KIL131106 KSH131089:KSH131106 LCD131089:LCD131106 LLZ131089:LLZ131106 LVV131089:LVV131106 MFR131089:MFR131106 MPN131089:MPN131106 MZJ131089:MZJ131106 NJF131089:NJF131106 NTB131089:NTB131106 OCX131089:OCX131106 OMT131089:OMT131106 OWP131089:OWP131106 PGL131089:PGL131106 PQH131089:PQH131106 QAD131089:QAD131106 QJZ131089:QJZ131106 QTV131089:QTV131106 RDR131089:RDR131106 RNN131089:RNN131106 RXJ131089:RXJ131106 SHF131089:SHF131106 SRB131089:SRB131106 TAX131089:TAX131106 TKT131089:TKT131106 TUP131089:TUP131106 UEL131089:UEL131106 UOH131089:UOH131106 UYD131089:UYD131106 VHZ131089:VHZ131106 VRV131089:VRV131106 WBR131089:WBR131106 WLN131089:WLN131106 WVJ131089:WVJ131106 B196625:B196642 IX196625:IX196642 ST196625:ST196642 ACP196625:ACP196642 AML196625:AML196642 AWH196625:AWH196642 BGD196625:BGD196642 BPZ196625:BPZ196642 BZV196625:BZV196642 CJR196625:CJR196642 CTN196625:CTN196642 DDJ196625:DDJ196642 DNF196625:DNF196642 DXB196625:DXB196642 EGX196625:EGX196642 EQT196625:EQT196642 FAP196625:FAP196642 FKL196625:FKL196642 FUH196625:FUH196642 GED196625:GED196642 GNZ196625:GNZ196642 GXV196625:GXV196642 HHR196625:HHR196642 HRN196625:HRN196642 IBJ196625:IBJ196642 ILF196625:ILF196642 IVB196625:IVB196642 JEX196625:JEX196642 JOT196625:JOT196642 JYP196625:JYP196642 KIL196625:KIL196642 KSH196625:KSH196642 LCD196625:LCD196642 LLZ196625:LLZ196642 LVV196625:LVV196642 MFR196625:MFR196642 MPN196625:MPN196642 MZJ196625:MZJ196642 NJF196625:NJF196642 NTB196625:NTB196642 OCX196625:OCX196642 OMT196625:OMT196642 OWP196625:OWP196642 PGL196625:PGL196642 PQH196625:PQH196642 QAD196625:QAD196642 QJZ196625:QJZ196642 QTV196625:QTV196642 RDR196625:RDR196642 RNN196625:RNN196642 RXJ196625:RXJ196642 SHF196625:SHF196642 SRB196625:SRB196642 TAX196625:TAX196642 TKT196625:TKT196642 TUP196625:TUP196642 UEL196625:UEL196642 UOH196625:UOH196642 UYD196625:UYD196642 VHZ196625:VHZ196642 VRV196625:VRV196642 WBR196625:WBR196642 WLN196625:WLN196642 WVJ196625:WVJ196642 B262161:B262178 IX262161:IX262178 ST262161:ST262178 ACP262161:ACP262178 AML262161:AML262178 AWH262161:AWH262178 BGD262161:BGD262178 BPZ262161:BPZ262178 BZV262161:BZV262178 CJR262161:CJR262178 CTN262161:CTN262178 DDJ262161:DDJ262178 DNF262161:DNF262178 DXB262161:DXB262178 EGX262161:EGX262178 EQT262161:EQT262178 FAP262161:FAP262178 FKL262161:FKL262178 FUH262161:FUH262178 GED262161:GED262178 GNZ262161:GNZ262178 GXV262161:GXV262178 HHR262161:HHR262178 HRN262161:HRN262178 IBJ262161:IBJ262178 ILF262161:ILF262178 IVB262161:IVB262178 JEX262161:JEX262178 JOT262161:JOT262178 JYP262161:JYP262178 KIL262161:KIL262178 KSH262161:KSH262178 LCD262161:LCD262178 LLZ262161:LLZ262178 LVV262161:LVV262178 MFR262161:MFR262178 MPN262161:MPN262178 MZJ262161:MZJ262178 NJF262161:NJF262178 NTB262161:NTB262178 OCX262161:OCX262178 OMT262161:OMT262178 OWP262161:OWP262178 PGL262161:PGL262178 PQH262161:PQH262178 QAD262161:QAD262178 QJZ262161:QJZ262178 QTV262161:QTV262178 RDR262161:RDR262178 RNN262161:RNN262178 RXJ262161:RXJ262178 SHF262161:SHF262178 SRB262161:SRB262178 TAX262161:TAX262178 TKT262161:TKT262178 TUP262161:TUP262178 UEL262161:UEL262178 UOH262161:UOH262178 UYD262161:UYD262178 VHZ262161:VHZ262178 VRV262161:VRV262178 WBR262161:WBR262178 WLN262161:WLN262178 WVJ262161:WVJ262178 B327697:B327714 IX327697:IX327714 ST327697:ST327714 ACP327697:ACP327714 AML327697:AML327714 AWH327697:AWH327714 BGD327697:BGD327714 BPZ327697:BPZ327714 BZV327697:BZV327714 CJR327697:CJR327714 CTN327697:CTN327714 DDJ327697:DDJ327714 DNF327697:DNF327714 DXB327697:DXB327714 EGX327697:EGX327714 EQT327697:EQT327714 FAP327697:FAP327714 FKL327697:FKL327714 FUH327697:FUH327714 GED327697:GED327714 GNZ327697:GNZ327714 GXV327697:GXV327714 HHR327697:HHR327714 HRN327697:HRN327714 IBJ327697:IBJ327714 ILF327697:ILF327714 IVB327697:IVB327714 JEX327697:JEX327714 JOT327697:JOT327714 JYP327697:JYP327714 KIL327697:KIL327714 KSH327697:KSH327714 LCD327697:LCD327714 LLZ327697:LLZ327714 LVV327697:LVV327714 MFR327697:MFR327714 MPN327697:MPN327714 MZJ327697:MZJ327714 NJF327697:NJF327714 NTB327697:NTB327714 OCX327697:OCX327714 OMT327697:OMT327714 OWP327697:OWP327714 PGL327697:PGL327714 PQH327697:PQH327714 QAD327697:QAD327714 QJZ327697:QJZ327714 QTV327697:QTV327714 RDR327697:RDR327714 RNN327697:RNN327714 RXJ327697:RXJ327714 SHF327697:SHF327714 SRB327697:SRB327714 TAX327697:TAX327714 TKT327697:TKT327714 TUP327697:TUP327714 UEL327697:UEL327714 UOH327697:UOH327714 UYD327697:UYD327714 VHZ327697:VHZ327714 VRV327697:VRV327714 WBR327697:WBR327714 WLN327697:WLN327714 WVJ327697:WVJ327714 B393233:B393250 IX393233:IX393250 ST393233:ST393250 ACP393233:ACP393250 AML393233:AML393250 AWH393233:AWH393250 BGD393233:BGD393250 BPZ393233:BPZ393250 BZV393233:BZV393250 CJR393233:CJR393250 CTN393233:CTN393250 DDJ393233:DDJ393250 DNF393233:DNF393250 DXB393233:DXB393250 EGX393233:EGX393250 EQT393233:EQT393250 FAP393233:FAP393250 FKL393233:FKL393250 FUH393233:FUH393250 GED393233:GED393250 GNZ393233:GNZ393250 GXV393233:GXV393250 HHR393233:HHR393250 HRN393233:HRN393250 IBJ393233:IBJ393250 ILF393233:ILF393250 IVB393233:IVB393250 JEX393233:JEX393250 JOT393233:JOT393250 JYP393233:JYP393250 KIL393233:KIL393250 KSH393233:KSH393250 LCD393233:LCD393250 LLZ393233:LLZ393250 LVV393233:LVV393250 MFR393233:MFR393250 MPN393233:MPN393250 MZJ393233:MZJ393250 NJF393233:NJF393250 NTB393233:NTB393250 OCX393233:OCX393250 OMT393233:OMT393250 OWP393233:OWP393250 PGL393233:PGL393250 PQH393233:PQH393250 QAD393233:QAD393250 QJZ393233:QJZ393250 QTV393233:QTV393250 RDR393233:RDR393250 RNN393233:RNN393250 RXJ393233:RXJ393250 SHF393233:SHF393250 SRB393233:SRB393250 TAX393233:TAX393250 TKT393233:TKT393250 TUP393233:TUP393250 UEL393233:UEL393250 UOH393233:UOH393250 UYD393233:UYD393250 VHZ393233:VHZ393250 VRV393233:VRV393250 WBR393233:WBR393250 WLN393233:WLN393250 WVJ393233:WVJ393250 B458769:B458786 IX458769:IX458786 ST458769:ST458786 ACP458769:ACP458786 AML458769:AML458786 AWH458769:AWH458786 BGD458769:BGD458786 BPZ458769:BPZ458786 BZV458769:BZV458786 CJR458769:CJR458786 CTN458769:CTN458786 DDJ458769:DDJ458786 DNF458769:DNF458786 DXB458769:DXB458786 EGX458769:EGX458786 EQT458769:EQT458786 FAP458769:FAP458786 FKL458769:FKL458786 FUH458769:FUH458786 GED458769:GED458786 GNZ458769:GNZ458786 GXV458769:GXV458786 HHR458769:HHR458786 HRN458769:HRN458786 IBJ458769:IBJ458786 ILF458769:ILF458786 IVB458769:IVB458786 JEX458769:JEX458786 JOT458769:JOT458786 JYP458769:JYP458786 KIL458769:KIL458786 KSH458769:KSH458786 LCD458769:LCD458786 LLZ458769:LLZ458786 LVV458769:LVV458786 MFR458769:MFR458786 MPN458769:MPN458786 MZJ458769:MZJ458786 NJF458769:NJF458786 NTB458769:NTB458786 OCX458769:OCX458786 OMT458769:OMT458786 OWP458769:OWP458786 PGL458769:PGL458786 PQH458769:PQH458786 QAD458769:QAD458786 QJZ458769:QJZ458786 QTV458769:QTV458786 RDR458769:RDR458786 RNN458769:RNN458786 RXJ458769:RXJ458786 SHF458769:SHF458786 SRB458769:SRB458786 TAX458769:TAX458786 TKT458769:TKT458786 TUP458769:TUP458786 UEL458769:UEL458786 UOH458769:UOH458786 UYD458769:UYD458786 VHZ458769:VHZ458786 VRV458769:VRV458786 WBR458769:WBR458786 WLN458769:WLN458786 WVJ458769:WVJ458786 B524305:B524322 IX524305:IX524322 ST524305:ST524322 ACP524305:ACP524322 AML524305:AML524322 AWH524305:AWH524322 BGD524305:BGD524322 BPZ524305:BPZ524322 BZV524305:BZV524322 CJR524305:CJR524322 CTN524305:CTN524322 DDJ524305:DDJ524322 DNF524305:DNF524322 DXB524305:DXB524322 EGX524305:EGX524322 EQT524305:EQT524322 FAP524305:FAP524322 FKL524305:FKL524322 FUH524305:FUH524322 GED524305:GED524322 GNZ524305:GNZ524322 GXV524305:GXV524322 HHR524305:HHR524322 HRN524305:HRN524322 IBJ524305:IBJ524322 ILF524305:ILF524322 IVB524305:IVB524322 JEX524305:JEX524322 JOT524305:JOT524322 JYP524305:JYP524322 KIL524305:KIL524322 KSH524305:KSH524322 LCD524305:LCD524322 LLZ524305:LLZ524322 LVV524305:LVV524322 MFR524305:MFR524322 MPN524305:MPN524322 MZJ524305:MZJ524322 NJF524305:NJF524322 NTB524305:NTB524322 OCX524305:OCX524322 OMT524305:OMT524322 OWP524305:OWP524322 PGL524305:PGL524322 PQH524305:PQH524322 QAD524305:QAD524322 QJZ524305:QJZ524322 QTV524305:QTV524322 RDR524305:RDR524322 RNN524305:RNN524322 RXJ524305:RXJ524322 SHF524305:SHF524322 SRB524305:SRB524322 TAX524305:TAX524322 TKT524305:TKT524322 TUP524305:TUP524322 UEL524305:UEL524322 UOH524305:UOH524322 UYD524305:UYD524322 VHZ524305:VHZ524322 VRV524305:VRV524322 WBR524305:WBR524322 WLN524305:WLN524322 WVJ524305:WVJ524322 B589841:B589858 IX589841:IX589858 ST589841:ST589858 ACP589841:ACP589858 AML589841:AML589858 AWH589841:AWH589858 BGD589841:BGD589858 BPZ589841:BPZ589858 BZV589841:BZV589858 CJR589841:CJR589858 CTN589841:CTN589858 DDJ589841:DDJ589858 DNF589841:DNF589858 DXB589841:DXB589858 EGX589841:EGX589858 EQT589841:EQT589858 FAP589841:FAP589858 FKL589841:FKL589858 FUH589841:FUH589858 GED589841:GED589858 GNZ589841:GNZ589858 GXV589841:GXV589858 HHR589841:HHR589858 HRN589841:HRN589858 IBJ589841:IBJ589858 ILF589841:ILF589858 IVB589841:IVB589858 JEX589841:JEX589858 JOT589841:JOT589858 JYP589841:JYP589858 KIL589841:KIL589858 KSH589841:KSH589858 LCD589841:LCD589858 LLZ589841:LLZ589858 LVV589841:LVV589858 MFR589841:MFR589858 MPN589841:MPN589858 MZJ589841:MZJ589858 NJF589841:NJF589858 NTB589841:NTB589858 OCX589841:OCX589858 OMT589841:OMT589858 OWP589841:OWP589858 PGL589841:PGL589858 PQH589841:PQH589858 QAD589841:QAD589858 QJZ589841:QJZ589858 QTV589841:QTV589858 RDR589841:RDR589858 RNN589841:RNN589858 RXJ589841:RXJ589858 SHF589841:SHF589858 SRB589841:SRB589858 TAX589841:TAX589858 TKT589841:TKT589858 TUP589841:TUP589858 UEL589841:UEL589858 UOH589841:UOH589858 UYD589841:UYD589858 VHZ589841:VHZ589858 VRV589841:VRV589858 WBR589841:WBR589858 WLN589841:WLN589858 WVJ589841:WVJ589858 B655377:B655394 IX655377:IX655394 ST655377:ST655394 ACP655377:ACP655394 AML655377:AML655394 AWH655377:AWH655394 BGD655377:BGD655394 BPZ655377:BPZ655394 BZV655377:BZV655394 CJR655377:CJR655394 CTN655377:CTN655394 DDJ655377:DDJ655394 DNF655377:DNF655394 DXB655377:DXB655394 EGX655377:EGX655394 EQT655377:EQT655394 FAP655377:FAP655394 FKL655377:FKL655394 FUH655377:FUH655394 GED655377:GED655394 GNZ655377:GNZ655394 GXV655377:GXV655394 HHR655377:HHR655394 HRN655377:HRN655394 IBJ655377:IBJ655394 ILF655377:ILF655394 IVB655377:IVB655394 JEX655377:JEX655394 JOT655377:JOT655394 JYP655377:JYP655394 KIL655377:KIL655394 KSH655377:KSH655394 LCD655377:LCD655394 LLZ655377:LLZ655394 LVV655377:LVV655394 MFR655377:MFR655394 MPN655377:MPN655394 MZJ655377:MZJ655394 NJF655377:NJF655394 NTB655377:NTB655394 OCX655377:OCX655394 OMT655377:OMT655394 OWP655377:OWP655394 PGL655377:PGL655394 PQH655377:PQH655394 QAD655377:QAD655394 QJZ655377:QJZ655394 QTV655377:QTV655394 RDR655377:RDR655394 RNN655377:RNN655394 RXJ655377:RXJ655394 SHF655377:SHF655394 SRB655377:SRB655394 TAX655377:TAX655394 TKT655377:TKT655394 TUP655377:TUP655394 UEL655377:UEL655394 UOH655377:UOH655394 UYD655377:UYD655394 VHZ655377:VHZ655394 VRV655377:VRV655394 WBR655377:WBR655394 WLN655377:WLN655394 WVJ655377:WVJ655394 B720913:B720930 IX720913:IX720930 ST720913:ST720930 ACP720913:ACP720930 AML720913:AML720930 AWH720913:AWH720930 BGD720913:BGD720930 BPZ720913:BPZ720930 BZV720913:BZV720930 CJR720913:CJR720930 CTN720913:CTN720930 DDJ720913:DDJ720930 DNF720913:DNF720930 DXB720913:DXB720930 EGX720913:EGX720930 EQT720913:EQT720930 FAP720913:FAP720930 FKL720913:FKL720930 FUH720913:FUH720930 GED720913:GED720930 GNZ720913:GNZ720930 GXV720913:GXV720930 HHR720913:HHR720930 HRN720913:HRN720930 IBJ720913:IBJ720930 ILF720913:ILF720930 IVB720913:IVB720930 JEX720913:JEX720930 JOT720913:JOT720930 JYP720913:JYP720930 KIL720913:KIL720930 KSH720913:KSH720930 LCD720913:LCD720930 LLZ720913:LLZ720930 LVV720913:LVV720930 MFR720913:MFR720930 MPN720913:MPN720930 MZJ720913:MZJ720930 NJF720913:NJF720930 NTB720913:NTB720930 OCX720913:OCX720930 OMT720913:OMT720930 OWP720913:OWP720930 PGL720913:PGL720930 PQH720913:PQH720930 QAD720913:QAD720930 QJZ720913:QJZ720930 QTV720913:QTV720930 RDR720913:RDR720930 RNN720913:RNN720930 RXJ720913:RXJ720930 SHF720913:SHF720930 SRB720913:SRB720930 TAX720913:TAX720930 TKT720913:TKT720930 TUP720913:TUP720930 UEL720913:UEL720930 UOH720913:UOH720930 UYD720913:UYD720930 VHZ720913:VHZ720930 VRV720913:VRV720930 WBR720913:WBR720930 WLN720913:WLN720930 WVJ720913:WVJ720930 B786449:B786466 IX786449:IX786466 ST786449:ST786466 ACP786449:ACP786466 AML786449:AML786466 AWH786449:AWH786466 BGD786449:BGD786466 BPZ786449:BPZ786466 BZV786449:BZV786466 CJR786449:CJR786466 CTN786449:CTN786466 DDJ786449:DDJ786466 DNF786449:DNF786466 DXB786449:DXB786466 EGX786449:EGX786466 EQT786449:EQT786466 FAP786449:FAP786466 FKL786449:FKL786466 FUH786449:FUH786466 GED786449:GED786466 GNZ786449:GNZ786466 GXV786449:GXV786466 HHR786449:HHR786466 HRN786449:HRN786466 IBJ786449:IBJ786466 ILF786449:ILF786466 IVB786449:IVB786466 JEX786449:JEX786466 JOT786449:JOT786466 JYP786449:JYP786466 KIL786449:KIL786466 KSH786449:KSH786466 LCD786449:LCD786466 LLZ786449:LLZ786466 LVV786449:LVV786466 MFR786449:MFR786466 MPN786449:MPN786466 MZJ786449:MZJ786466 NJF786449:NJF786466 NTB786449:NTB786466 OCX786449:OCX786466 OMT786449:OMT786466 OWP786449:OWP786466 PGL786449:PGL786466 PQH786449:PQH786466 QAD786449:QAD786466 QJZ786449:QJZ786466 QTV786449:QTV786466 RDR786449:RDR786466 RNN786449:RNN786466 RXJ786449:RXJ786466 SHF786449:SHF786466 SRB786449:SRB786466 TAX786449:TAX786466 TKT786449:TKT786466 TUP786449:TUP786466 UEL786449:UEL786466 UOH786449:UOH786466 UYD786449:UYD786466 VHZ786449:VHZ786466 VRV786449:VRV786466 WBR786449:WBR786466 WLN786449:WLN786466 WVJ786449:WVJ786466 B851985:B852002 IX851985:IX852002 ST851985:ST852002 ACP851985:ACP852002 AML851985:AML852002 AWH851985:AWH852002 BGD851985:BGD852002 BPZ851985:BPZ852002 BZV851985:BZV852002 CJR851985:CJR852002 CTN851985:CTN852002 DDJ851985:DDJ852002 DNF851985:DNF852002 DXB851985:DXB852002 EGX851985:EGX852002 EQT851985:EQT852002 FAP851985:FAP852002 FKL851985:FKL852002 FUH851985:FUH852002 GED851985:GED852002 GNZ851985:GNZ852002 GXV851985:GXV852002 HHR851985:HHR852002 HRN851985:HRN852002 IBJ851985:IBJ852002 ILF851985:ILF852002 IVB851985:IVB852002 JEX851985:JEX852002 JOT851985:JOT852002 JYP851985:JYP852002 KIL851985:KIL852002 KSH851985:KSH852002 LCD851985:LCD852002 LLZ851985:LLZ852002 LVV851985:LVV852002 MFR851985:MFR852002 MPN851985:MPN852002 MZJ851985:MZJ852002 NJF851985:NJF852002 NTB851985:NTB852002 OCX851985:OCX852002 OMT851985:OMT852002 OWP851985:OWP852002 PGL851985:PGL852002 PQH851985:PQH852002 QAD851985:QAD852002 QJZ851985:QJZ852002 QTV851985:QTV852002 RDR851985:RDR852002 RNN851985:RNN852002 RXJ851985:RXJ852002 SHF851985:SHF852002 SRB851985:SRB852002 TAX851985:TAX852002 TKT851985:TKT852002 TUP851985:TUP852002 UEL851985:UEL852002 UOH851985:UOH852002 UYD851985:UYD852002 VHZ851985:VHZ852002 VRV851985:VRV852002 WBR851985:WBR852002 WLN851985:WLN852002 WVJ851985:WVJ852002 B917521:B917538 IX917521:IX917538 ST917521:ST917538 ACP917521:ACP917538 AML917521:AML917538 AWH917521:AWH917538 BGD917521:BGD917538 BPZ917521:BPZ917538 BZV917521:BZV917538 CJR917521:CJR917538 CTN917521:CTN917538 DDJ917521:DDJ917538 DNF917521:DNF917538 DXB917521:DXB917538 EGX917521:EGX917538 EQT917521:EQT917538 FAP917521:FAP917538 FKL917521:FKL917538 FUH917521:FUH917538 GED917521:GED917538 GNZ917521:GNZ917538 GXV917521:GXV917538 HHR917521:HHR917538 HRN917521:HRN917538 IBJ917521:IBJ917538 ILF917521:ILF917538 IVB917521:IVB917538 JEX917521:JEX917538 JOT917521:JOT917538 JYP917521:JYP917538 KIL917521:KIL917538 KSH917521:KSH917538 LCD917521:LCD917538 LLZ917521:LLZ917538 LVV917521:LVV917538 MFR917521:MFR917538 MPN917521:MPN917538 MZJ917521:MZJ917538 NJF917521:NJF917538 NTB917521:NTB917538 OCX917521:OCX917538 OMT917521:OMT917538 OWP917521:OWP917538 PGL917521:PGL917538 PQH917521:PQH917538 QAD917521:QAD917538 QJZ917521:QJZ917538 QTV917521:QTV917538 RDR917521:RDR917538 RNN917521:RNN917538 RXJ917521:RXJ917538 SHF917521:SHF917538 SRB917521:SRB917538 TAX917521:TAX917538 TKT917521:TKT917538 TUP917521:TUP917538 UEL917521:UEL917538 UOH917521:UOH917538 UYD917521:UYD917538 VHZ917521:VHZ917538 VRV917521:VRV917538 WBR917521:WBR917538 WLN917521:WLN917538 WVJ917521:WVJ917538" xr:uid="{00000000-0002-0000-4800-000001000000}">
      <formula1>trung</formula1>
    </dataValidation>
  </dataValidations>
  <pageMargins left="0.7" right="0.3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H334"/>
  <sheetViews>
    <sheetView topLeftCell="A8" workbookViewId="0">
      <selection activeCell="C35" sqref="C35"/>
    </sheetView>
  </sheetViews>
  <sheetFormatPr defaultColWidth="40.5" defaultRowHeight="15" customHeight="1" zeroHeight="1"/>
  <cols>
    <col min="1" max="1" width="4.19921875" style="16" customWidth="1"/>
    <col min="2" max="2" width="23.09765625" style="16" customWidth="1"/>
    <col min="3" max="3" width="5" style="87" customWidth="1"/>
    <col min="4" max="4" width="6.19921875" style="88" customWidth="1"/>
    <col min="5" max="5" width="10.8984375" style="89" customWidth="1"/>
    <col min="6" max="6" width="5.8984375" style="87" customWidth="1"/>
    <col min="7" max="7" width="9.8984375" style="89" customWidth="1"/>
    <col min="8" max="8" width="6.898437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30" customHeight="1">
      <c r="A8" s="420" t="s">
        <v>2262</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2263</v>
      </c>
      <c r="C13" s="425"/>
      <c r="D13" s="425"/>
      <c r="E13" s="425"/>
      <c r="F13" s="425"/>
      <c r="G13" s="73">
        <f>G14</f>
        <v>15340000</v>
      </c>
      <c r="H13" s="74"/>
    </row>
    <row r="14" spans="1:8" s="131" customFormat="1" ht="40.5" customHeight="1">
      <c r="A14" s="123"/>
      <c r="B14" s="124" t="s">
        <v>1757</v>
      </c>
      <c r="C14" s="125" t="s">
        <v>1753</v>
      </c>
      <c r="D14" s="126">
        <v>1.3</v>
      </c>
      <c r="E14" s="127">
        <v>11800000</v>
      </c>
      <c r="F14" s="128">
        <v>1</v>
      </c>
      <c r="G14" s="129">
        <f>D14*E14*F14</f>
        <v>15340000</v>
      </c>
      <c r="H14" s="130"/>
    </row>
    <row r="15" spans="1:8" ht="27" customHeight="1">
      <c r="A15" s="75" t="s">
        <v>18</v>
      </c>
      <c r="B15" s="426" t="s">
        <v>1725</v>
      </c>
      <c r="C15" s="426"/>
      <c r="D15" s="426"/>
      <c r="E15" s="426"/>
      <c r="F15" s="426"/>
      <c r="G15" s="76">
        <f>SUM(G16)</f>
        <v>0</v>
      </c>
      <c r="H15" s="11"/>
    </row>
    <row r="16" spans="1:8" ht="15.6">
      <c r="A16" s="77"/>
      <c r="B16" s="78" t="s">
        <v>1728</v>
      </c>
      <c r="C16" s="13"/>
      <c r="D16" s="13"/>
      <c r="E16" s="13"/>
      <c r="F16" s="13"/>
      <c r="G16" s="79"/>
      <c r="H16" s="15"/>
    </row>
    <row r="17" spans="1:8" ht="24" customHeight="1">
      <c r="A17" s="75" t="s">
        <v>19</v>
      </c>
      <c r="B17" s="426" t="s">
        <v>1727</v>
      </c>
      <c r="C17" s="426"/>
      <c r="D17" s="426"/>
      <c r="E17" s="426"/>
      <c r="F17" s="426"/>
      <c r="G17" s="76">
        <f>SUM(G18:G18)</f>
        <v>1555000</v>
      </c>
      <c r="H17" s="11"/>
    </row>
    <row r="18" spans="1:8" s="12" customFormat="1" ht="31.2">
      <c r="A18" s="94">
        <v>1</v>
      </c>
      <c r="B18" s="47" t="s">
        <v>820</v>
      </c>
      <c r="C18" s="14" t="s">
        <v>1724</v>
      </c>
      <c r="D18" s="14">
        <v>1</v>
      </c>
      <c r="E18" s="79" t="str">
        <f>VLOOKUP(B18,'[20]Đơn giá cây cối'!$A$2:$C$1361,3,0)</f>
        <v>1.555.000</v>
      </c>
      <c r="F18" s="14">
        <v>1</v>
      </c>
      <c r="G18" s="79">
        <f>D18*E18*F18</f>
        <v>1555000</v>
      </c>
      <c r="H18" s="95"/>
    </row>
    <row r="19" spans="1:8" ht="15.6">
      <c r="A19" s="80"/>
      <c r="B19" s="427" t="s">
        <v>62</v>
      </c>
      <c r="C19" s="428"/>
      <c r="D19" s="428"/>
      <c r="E19" s="428"/>
      <c r="F19" s="429"/>
      <c r="G19" s="81">
        <f>G13+G15+G17</f>
        <v>16895000</v>
      </c>
      <c r="H19" s="82"/>
    </row>
    <row r="20" spans="1:8" ht="15.6">
      <c r="A20" s="80"/>
      <c r="B20" s="427" t="s">
        <v>1726</v>
      </c>
      <c r="C20" s="428"/>
      <c r="D20" s="428"/>
      <c r="E20" s="428"/>
      <c r="F20" s="429"/>
      <c r="G20" s="81">
        <f>ROUND(G19,-3)</f>
        <v>16895000</v>
      </c>
      <c r="H20" s="82"/>
    </row>
    <row r="21" spans="1:8" ht="15.6">
      <c r="A21" s="430" t="e" cm="1">
        <f t="array" aca="1" ref="A21" ca="1">[22]!vnd(G20)</f>
        <v>#NAME?</v>
      </c>
      <c r="B21" s="431"/>
      <c r="C21" s="431"/>
      <c r="D21" s="431"/>
      <c r="E21" s="431"/>
      <c r="F21" s="431"/>
      <c r="G21" s="431"/>
      <c r="H21" s="432"/>
    </row>
    <row r="22" spans="1:8">
      <c r="A22" s="17"/>
      <c r="B22" s="17"/>
      <c r="C22" s="97"/>
      <c r="D22" s="20"/>
      <c r="E22" s="19"/>
      <c r="F22" s="97"/>
      <c r="G22" s="19"/>
      <c r="H22" s="17"/>
    </row>
    <row r="23" spans="1:8" s="109" customFormat="1" ht="16.5" customHeight="1">
      <c r="A23" s="108"/>
      <c r="B23" s="108"/>
      <c r="C23" s="424" t="s">
        <v>1742</v>
      </c>
      <c r="D23" s="424"/>
      <c r="E23" s="424"/>
      <c r="F23" s="424"/>
      <c r="G23" s="424"/>
      <c r="H23" s="424"/>
    </row>
    <row r="24" spans="1:8" s="109" customFormat="1" ht="16.5" customHeight="1">
      <c r="A24" s="423" t="s">
        <v>63</v>
      </c>
      <c r="B24" s="423"/>
      <c r="C24" s="424" t="s">
        <v>1743</v>
      </c>
      <c r="D24" s="424"/>
      <c r="E24" s="424"/>
      <c r="F24" s="424" t="s">
        <v>1744</v>
      </c>
      <c r="G24" s="424"/>
      <c r="H24" s="424"/>
    </row>
    <row r="25" spans="1:8" s="109" customFormat="1" ht="15.6">
      <c r="A25" s="108"/>
      <c r="B25" s="108"/>
      <c r="C25" s="108"/>
      <c r="D25" s="110"/>
      <c r="E25" s="111"/>
      <c r="F25" s="112"/>
      <c r="G25" s="111"/>
      <c r="H25" s="113"/>
    </row>
    <row r="26" spans="1:8" s="109" customFormat="1" ht="15.6">
      <c r="A26" s="108"/>
      <c r="B26" s="108"/>
      <c r="C26" s="108"/>
      <c r="D26" s="110"/>
      <c r="E26" s="111"/>
      <c r="F26" s="112"/>
      <c r="G26" s="114"/>
      <c r="H26" s="113"/>
    </row>
    <row r="27" spans="1:8" s="109" customFormat="1" ht="15.6">
      <c r="A27" s="108"/>
      <c r="B27" s="108"/>
      <c r="C27" s="108"/>
      <c r="D27" s="110"/>
      <c r="E27" s="111"/>
      <c r="F27" s="112"/>
      <c r="G27" s="111"/>
      <c r="H27" s="113"/>
    </row>
    <row r="28" spans="1:8" s="109" customFormat="1" ht="15.6">
      <c r="A28" s="108"/>
      <c r="B28" s="108"/>
      <c r="C28" s="108"/>
      <c r="D28" s="110"/>
      <c r="E28" s="111"/>
      <c r="F28" s="112"/>
      <c r="G28" s="111"/>
      <c r="H28" s="113"/>
    </row>
    <row r="29" spans="1:8" s="109" customFormat="1" ht="15.6">
      <c r="A29" s="108"/>
      <c r="B29" s="108"/>
      <c r="C29" s="108"/>
      <c r="D29" s="110"/>
      <c r="E29" s="111"/>
      <c r="F29" s="112"/>
      <c r="G29" s="111"/>
      <c r="H29" s="113"/>
    </row>
    <row r="30" spans="1:8" s="109" customFormat="1" ht="16.5" customHeight="1">
      <c r="A30" s="108"/>
      <c r="B30" s="198" t="s">
        <v>64</v>
      </c>
      <c r="C30" s="424"/>
      <c r="D30" s="424"/>
      <c r="E30" s="424"/>
      <c r="F30" s="424" t="s">
        <v>1745</v>
      </c>
      <c r="G30" s="424"/>
      <c r="H30" s="424"/>
    </row>
    <row r="31" spans="1:8" s="109" customFormat="1" ht="15.6">
      <c r="A31" s="108"/>
      <c r="B31" s="198"/>
      <c r="C31" s="199"/>
      <c r="D31" s="199"/>
      <c r="E31" s="199"/>
      <c r="F31" s="199"/>
      <c r="G31" s="199"/>
      <c r="H31" s="199"/>
    </row>
    <row r="32" spans="1:8" s="109" customFormat="1" ht="15" customHeight="1">
      <c r="A32" s="424" t="s">
        <v>1746</v>
      </c>
      <c r="B32" s="424"/>
      <c r="C32" s="424"/>
      <c r="D32" s="424"/>
      <c r="E32" s="424" t="s">
        <v>1747</v>
      </c>
      <c r="F32" s="424"/>
      <c r="G32" s="424"/>
      <c r="H32" s="424"/>
    </row>
    <row r="33" spans="1:8" s="109" customFormat="1" ht="33.6" customHeight="1">
      <c r="A33" s="424" t="s">
        <v>1748</v>
      </c>
      <c r="B33" s="424"/>
      <c r="C33" s="424"/>
      <c r="D33" s="424"/>
      <c r="E33" s="424" t="s">
        <v>65</v>
      </c>
      <c r="F33" s="424"/>
      <c r="G33" s="424"/>
      <c r="H33" s="424"/>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ustomHeight="1">
      <c r="A39" s="108"/>
      <c r="B39" s="108"/>
      <c r="C39" s="108"/>
      <c r="D39" s="115"/>
      <c r="E39" s="439" t="s">
        <v>1749</v>
      </c>
      <c r="F39" s="439"/>
      <c r="G39" s="439"/>
      <c r="H39" s="439"/>
    </row>
    <row r="40" spans="1:8" s="109" customFormat="1" ht="16.5" customHeight="1">
      <c r="A40" s="424" t="s">
        <v>1751</v>
      </c>
      <c r="B40" s="424"/>
      <c r="C40" s="424"/>
      <c r="D40" s="424"/>
      <c r="E40" s="424" t="s">
        <v>1750</v>
      </c>
      <c r="F40" s="424"/>
      <c r="G40" s="424"/>
      <c r="H40" s="424"/>
    </row>
    <row r="41" spans="1:8" s="118" customFormat="1" ht="16.2" customHeight="1">
      <c r="A41" s="440"/>
      <c r="B41" s="440"/>
      <c r="C41" s="116"/>
      <c r="D41" s="117"/>
      <c r="E41" s="440"/>
      <c r="F41" s="440"/>
      <c r="G41" s="440"/>
      <c r="H41" s="440"/>
    </row>
    <row r="42" spans="1:8" s="118" customFormat="1" ht="15.75" customHeight="1">
      <c r="A42" s="440"/>
      <c r="B42" s="440"/>
      <c r="C42" s="440"/>
      <c r="D42" s="440"/>
      <c r="E42" s="440"/>
      <c r="F42" s="440"/>
      <c r="G42" s="440"/>
      <c r="H42" s="440"/>
    </row>
    <row r="43" spans="1:8" s="98" customFormat="1" ht="16.2" customHeight="1">
      <c r="A43" s="436"/>
      <c r="B43" s="436"/>
      <c r="C43" s="436"/>
      <c r="D43" s="436"/>
      <c r="E43" s="119"/>
      <c r="F43" s="120"/>
      <c r="G43" s="119"/>
      <c r="H43" s="121"/>
    </row>
    <row r="44" spans="1:8" s="98" customFormat="1" ht="16.2" customHeight="1">
      <c r="A44" s="436"/>
      <c r="B44" s="436"/>
      <c r="C44" s="436"/>
      <c r="D44" s="436"/>
      <c r="E44" s="119"/>
      <c r="F44" s="120"/>
      <c r="G44" s="119"/>
      <c r="H44" s="121"/>
    </row>
    <row r="45" spans="1:8" s="98" customFormat="1" ht="16.2" customHeight="1">
      <c r="A45" s="121"/>
      <c r="B45" s="121"/>
      <c r="C45" s="121"/>
      <c r="D45" s="122"/>
      <c r="E45" s="119"/>
      <c r="F45" s="120"/>
      <c r="G45" s="119"/>
      <c r="H45" s="121"/>
    </row>
    <row r="46" spans="1:8" ht="16.2" customHeight="1">
      <c r="A46" s="83"/>
      <c r="B46" s="83"/>
      <c r="C46" s="83"/>
      <c r="D46" s="84"/>
      <c r="E46" s="85"/>
      <c r="F46" s="86"/>
      <c r="G46" s="85"/>
      <c r="H46" s="83"/>
    </row>
    <row r="47" spans="1:8" ht="16.2" customHeight="1">
      <c r="A47" s="83"/>
      <c r="B47" s="83"/>
      <c r="C47" s="83"/>
      <c r="D47" s="84"/>
      <c r="E47" s="85"/>
      <c r="F47" s="86"/>
      <c r="G47" s="85"/>
      <c r="H47" s="83"/>
    </row>
    <row r="48" spans="1:8" ht="16.2" customHeight="1">
      <c r="A48" s="83"/>
      <c r="B48" s="83"/>
      <c r="C48" s="83"/>
      <c r="D48" s="84"/>
      <c r="E48" s="85"/>
      <c r="F48" s="86"/>
      <c r="G48" s="85"/>
      <c r="H48" s="83"/>
    </row>
    <row r="49" spans="1:8" ht="16.2" customHeight="1">
      <c r="A49" s="83"/>
      <c r="B49" s="83"/>
      <c r="C49" s="83"/>
      <c r="D49" s="84"/>
      <c r="E49" s="437"/>
      <c r="F49" s="437"/>
      <c r="G49" s="437"/>
      <c r="H49" s="437"/>
    </row>
    <row r="50" spans="1:8" ht="20.25" customHeight="1">
      <c r="A50" s="438"/>
      <c r="B50" s="438"/>
      <c r="C50" s="438"/>
      <c r="D50" s="438"/>
      <c r="E50" s="438"/>
      <c r="F50" s="438"/>
      <c r="G50" s="438"/>
      <c r="H50" s="438"/>
    </row>
    <row r="51" spans="1:8" s="17" customFormat="1" ht="16.2" customHeight="1">
      <c r="D51" s="18"/>
      <c r="E51" s="19"/>
      <c r="F51" s="97"/>
      <c r="G51" s="19"/>
    </row>
    <row r="52" spans="1:8" s="17" customFormat="1" ht="16.2" customHeight="1">
      <c r="D52" s="18"/>
      <c r="E52" s="19"/>
      <c r="F52" s="97"/>
      <c r="G52" s="19"/>
    </row>
    <row r="53" spans="1:8" s="17" customFormat="1" ht="16.2" customHeight="1">
      <c r="D53" s="18"/>
      <c r="E53" s="19"/>
      <c r="F53" s="97"/>
      <c r="G53" s="19"/>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C67" s="97"/>
      <c r="D67" s="20"/>
      <c r="E67" s="19"/>
      <c r="F67" s="97"/>
      <c r="G67" s="19"/>
    </row>
    <row r="68" spans="3:7" s="17" customFormat="1" ht="16.2" customHeight="1">
      <c r="C68" s="97"/>
      <c r="D68" s="20"/>
      <c r="E68" s="19"/>
      <c r="F68" s="97"/>
      <c r="G68" s="19"/>
    </row>
    <row r="69" spans="3:7" s="17" customFormat="1" ht="16.2" customHeight="1">
      <c r="C69" s="97"/>
      <c r="D69" s="20"/>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ht="16.2" customHeight="1"/>
    <row r="80" spans="3:7" ht="16.2" customHeight="1"/>
    <row r="81" ht="16.2" customHeight="1"/>
    <row r="82" ht="16.2" customHeight="1"/>
    <row r="83" ht="16.2" customHeight="1"/>
    <row r="84" ht="16.2" customHeight="1"/>
    <row r="85" ht="16.2" customHeight="1"/>
    <row r="86" ht="16.2" customHeight="1"/>
    <row r="87" ht="16.2" customHeight="1"/>
    <row r="88" ht="16.2" customHeight="1"/>
    <row r="89" ht="16.2" customHeight="1"/>
    <row r="90" ht="16.2" customHeight="1"/>
    <row r="91" ht="16.2" customHeight="1"/>
    <row r="92" ht="16.2" customHeight="1"/>
    <row r="93" ht="16.2" customHeight="1"/>
    <row r="94" ht="16.2" customHeight="1"/>
    <row r="95" ht="16.2" customHeight="1"/>
    <row r="96"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row r="226"/>
    <row r="227"/>
    <row r="228"/>
    <row r="229"/>
    <row r="230"/>
    <row r="231"/>
    <row r="232"/>
    <row r="233"/>
    <row r="234"/>
    <row r="235"/>
    <row r="236"/>
    <row r="237"/>
    <row r="238"/>
    <row r="239"/>
    <row r="240"/>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sheetData>
  <mergeCells count="40">
    <mergeCell ref="A4:B4"/>
    <mergeCell ref="C4:H4"/>
    <mergeCell ref="A1:B1"/>
    <mergeCell ref="C1:H1"/>
    <mergeCell ref="A2:B2"/>
    <mergeCell ref="C2:H2"/>
    <mergeCell ref="A3:B3"/>
    <mergeCell ref="A21:H21"/>
    <mergeCell ref="A6:H6"/>
    <mergeCell ref="A7:H7"/>
    <mergeCell ref="A8:H8"/>
    <mergeCell ref="A9:H9"/>
    <mergeCell ref="A10:H10"/>
    <mergeCell ref="A11:H11"/>
    <mergeCell ref="B13:F13"/>
    <mergeCell ref="B15:F15"/>
    <mergeCell ref="B17:F17"/>
    <mergeCell ref="B19:F19"/>
    <mergeCell ref="B20:F20"/>
    <mergeCell ref="A40:D40"/>
    <mergeCell ref="E40:H40"/>
    <mergeCell ref="C23:H23"/>
    <mergeCell ref="A24:B24"/>
    <mergeCell ref="C24:E24"/>
    <mergeCell ref="F24:H24"/>
    <mergeCell ref="C30:E30"/>
    <mergeCell ref="F30:H30"/>
    <mergeCell ref="A32:D32"/>
    <mergeCell ref="E32:H32"/>
    <mergeCell ref="A33:D33"/>
    <mergeCell ref="E33:H33"/>
    <mergeCell ref="E39:H39"/>
    <mergeCell ref="E49:H49"/>
    <mergeCell ref="A50:H50"/>
    <mergeCell ref="A41:B41"/>
    <mergeCell ref="E41:H41"/>
    <mergeCell ref="A42:D42"/>
    <mergeCell ref="E42:H42"/>
    <mergeCell ref="A43:D43"/>
    <mergeCell ref="A44:D44"/>
  </mergeCells>
  <dataValidations count="2">
    <dataValidation type="list" allowBlank="1" showInputMessage="1" showErrorMessage="1" sqref="B18" xr:uid="{00000000-0002-0000-4900-000000000000}">
      <formula1>bichphuong</formula1>
    </dataValidation>
    <dataValidation type="list" allowBlank="1" showInputMessage="1" showErrorMessage="1" sqref="WVJ983042:WVJ983059 B983042:B983059 IX983042:IX983059 ST983042:ST983059 ACP983042:ACP983059 AML983042:AML983059 AWH983042:AWH983059 BGD983042:BGD983059 BPZ983042:BPZ983059 BZV983042:BZV983059 CJR983042:CJR983059 CTN983042:CTN983059 DDJ983042:DDJ983059 DNF983042:DNF983059 DXB983042:DXB983059 EGX983042:EGX983059 EQT983042:EQT983059 FAP983042:FAP983059 FKL983042:FKL983059 FUH983042:FUH983059 GED983042:GED983059 GNZ983042:GNZ983059 GXV983042:GXV983059 HHR983042:HHR983059 HRN983042:HRN983059 IBJ983042:IBJ983059 ILF983042:ILF983059 IVB983042:IVB983059 JEX983042:JEX983059 JOT983042:JOT983059 JYP983042:JYP983059 KIL983042:KIL983059 KSH983042:KSH983059 LCD983042:LCD983059 LLZ983042:LLZ983059 LVV983042:LVV983059 MFR983042:MFR983059 MPN983042:MPN983059 MZJ983042:MZJ983059 NJF983042:NJF983059 NTB983042:NTB983059 OCX983042:OCX983059 OMT983042:OMT983059 OWP983042:OWP983059 PGL983042:PGL983059 PQH983042:PQH983059 QAD983042:QAD983059 QJZ983042:QJZ983059 QTV983042:QTV983059 RDR983042:RDR983059 RNN983042:RNN983059 RXJ983042:RXJ983059 SHF983042:SHF983059 SRB983042:SRB983059 TAX983042:TAX983059 TKT983042:TKT983059 TUP983042:TUP983059 UEL983042:UEL983059 UOH983042:UOH983059 UYD983042:UYD983059 VHZ983042:VHZ983059 VRV983042:VRV983059 WBR983042:WBR983059 WLN983042:WLN983059 B65538:B65555 IX65538:IX65555 ST65538:ST65555 ACP65538:ACP65555 AML65538:AML65555 AWH65538:AWH65555 BGD65538:BGD65555 BPZ65538:BPZ65555 BZV65538:BZV65555 CJR65538:CJR65555 CTN65538:CTN65555 DDJ65538:DDJ65555 DNF65538:DNF65555 DXB65538:DXB65555 EGX65538:EGX65555 EQT65538:EQT65555 FAP65538:FAP65555 FKL65538:FKL65555 FUH65538:FUH65555 GED65538:GED65555 GNZ65538:GNZ65555 GXV65538:GXV65555 HHR65538:HHR65555 HRN65538:HRN65555 IBJ65538:IBJ65555 ILF65538:ILF65555 IVB65538:IVB65555 JEX65538:JEX65555 JOT65538:JOT65555 JYP65538:JYP65555 KIL65538:KIL65555 KSH65538:KSH65555 LCD65538:LCD65555 LLZ65538:LLZ65555 LVV65538:LVV65555 MFR65538:MFR65555 MPN65538:MPN65555 MZJ65538:MZJ65555 NJF65538:NJF65555 NTB65538:NTB65555 OCX65538:OCX65555 OMT65538:OMT65555 OWP65538:OWP65555 PGL65538:PGL65555 PQH65538:PQH65555 QAD65538:QAD65555 QJZ65538:QJZ65555 QTV65538:QTV65555 RDR65538:RDR65555 RNN65538:RNN65555 RXJ65538:RXJ65555 SHF65538:SHF65555 SRB65538:SRB65555 TAX65538:TAX65555 TKT65538:TKT65555 TUP65538:TUP65555 UEL65538:UEL65555 UOH65538:UOH65555 UYD65538:UYD65555 VHZ65538:VHZ65555 VRV65538:VRV65555 WBR65538:WBR65555 WLN65538:WLN65555 WVJ65538:WVJ65555 B131074:B131091 IX131074:IX131091 ST131074:ST131091 ACP131074:ACP131091 AML131074:AML131091 AWH131074:AWH131091 BGD131074:BGD131091 BPZ131074:BPZ131091 BZV131074:BZV131091 CJR131074:CJR131091 CTN131074:CTN131091 DDJ131074:DDJ131091 DNF131074:DNF131091 DXB131074:DXB131091 EGX131074:EGX131091 EQT131074:EQT131091 FAP131074:FAP131091 FKL131074:FKL131091 FUH131074:FUH131091 GED131074:GED131091 GNZ131074:GNZ131091 GXV131074:GXV131091 HHR131074:HHR131091 HRN131074:HRN131091 IBJ131074:IBJ131091 ILF131074:ILF131091 IVB131074:IVB131091 JEX131074:JEX131091 JOT131074:JOT131091 JYP131074:JYP131091 KIL131074:KIL131091 KSH131074:KSH131091 LCD131074:LCD131091 LLZ131074:LLZ131091 LVV131074:LVV131091 MFR131074:MFR131091 MPN131074:MPN131091 MZJ131074:MZJ131091 NJF131074:NJF131091 NTB131074:NTB131091 OCX131074:OCX131091 OMT131074:OMT131091 OWP131074:OWP131091 PGL131074:PGL131091 PQH131074:PQH131091 QAD131074:QAD131091 QJZ131074:QJZ131091 QTV131074:QTV131091 RDR131074:RDR131091 RNN131074:RNN131091 RXJ131074:RXJ131091 SHF131074:SHF131091 SRB131074:SRB131091 TAX131074:TAX131091 TKT131074:TKT131091 TUP131074:TUP131091 UEL131074:UEL131091 UOH131074:UOH131091 UYD131074:UYD131091 VHZ131074:VHZ131091 VRV131074:VRV131091 WBR131074:WBR131091 WLN131074:WLN131091 WVJ131074:WVJ131091 B196610:B196627 IX196610:IX196627 ST196610:ST196627 ACP196610:ACP196627 AML196610:AML196627 AWH196610:AWH196627 BGD196610:BGD196627 BPZ196610:BPZ196627 BZV196610:BZV196627 CJR196610:CJR196627 CTN196610:CTN196627 DDJ196610:DDJ196627 DNF196610:DNF196627 DXB196610:DXB196627 EGX196610:EGX196627 EQT196610:EQT196627 FAP196610:FAP196627 FKL196610:FKL196627 FUH196610:FUH196627 GED196610:GED196627 GNZ196610:GNZ196627 GXV196610:GXV196627 HHR196610:HHR196627 HRN196610:HRN196627 IBJ196610:IBJ196627 ILF196610:ILF196627 IVB196610:IVB196627 JEX196610:JEX196627 JOT196610:JOT196627 JYP196610:JYP196627 KIL196610:KIL196627 KSH196610:KSH196627 LCD196610:LCD196627 LLZ196610:LLZ196627 LVV196610:LVV196627 MFR196610:MFR196627 MPN196610:MPN196627 MZJ196610:MZJ196627 NJF196610:NJF196627 NTB196610:NTB196627 OCX196610:OCX196627 OMT196610:OMT196627 OWP196610:OWP196627 PGL196610:PGL196627 PQH196610:PQH196627 QAD196610:QAD196627 QJZ196610:QJZ196627 QTV196610:QTV196627 RDR196610:RDR196627 RNN196610:RNN196627 RXJ196610:RXJ196627 SHF196610:SHF196627 SRB196610:SRB196627 TAX196610:TAX196627 TKT196610:TKT196627 TUP196610:TUP196627 UEL196610:UEL196627 UOH196610:UOH196627 UYD196610:UYD196627 VHZ196610:VHZ196627 VRV196610:VRV196627 WBR196610:WBR196627 WLN196610:WLN196627 WVJ196610:WVJ196627 B262146:B262163 IX262146:IX262163 ST262146:ST262163 ACP262146:ACP262163 AML262146:AML262163 AWH262146:AWH262163 BGD262146:BGD262163 BPZ262146:BPZ262163 BZV262146:BZV262163 CJR262146:CJR262163 CTN262146:CTN262163 DDJ262146:DDJ262163 DNF262146:DNF262163 DXB262146:DXB262163 EGX262146:EGX262163 EQT262146:EQT262163 FAP262146:FAP262163 FKL262146:FKL262163 FUH262146:FUH262163 GED262146:GED262163 GNZ262146:GNZ262163 GXV262146:GXV262163 HHR262146:HHR262163 HRN262146:HRN262163 IBJ262146:IBJ262163 ILF262146:ILF262163 IVB262146:IVB262163 JEX262146:JEX262163 JOT262146:JOT262163 JYP262146:JYP262163 KIL262146:KIL262163 KSH262146:KSH262163 LCD262146:LCD262163 LLZ262146:LLZ262163 LVV262146:LVV262163 MFR262146:MFR262163 MPN262146:MPN262163 MZJ262146:MZJ262163 NJF262146:NJF262163 NTB262146:NTB262163 OCX262146:OCX262163 OMT262146:OMT262163 OWP262146:OWP262163 PGL262146:PGL262163 PQH262146:PQH262163 QAD262146:QAD262163 QJZ262146:QJZ262163 QTV262146:QTV262163 RDR262146:RDR262163 RNN262146:RNN262163 RXJ262146:RXJ262163 SHF262146:SHF262163 SRB262146:SRB262163 TAX262146:TAX262163 TKT262146:TKT262163 TUP262146:TUP262163 UEL262146:UEL262163 UOH262146:UOH262163 UYD262146:UYD262163 VHZ262146:VHZ262163 VRV262146:VRV262163 WBR262146:WBR262163 WLN262146:WLN262163 WVJ262146:WVJ262163 B327682:B327699 IX327682:IX327699 ST327682:ST327699 ACP327682:ACP327699 AML327682:AML327699 AWH327682:AWH327699 BGD327682:BGD327699 BPZ327682:BPZ327699 BZV327682:BZV327699 CJR327682:CJR327699 CTN327682:CTN327699 DDJ327682:DDJ327699 DNF327682:DNF327699 DXB327682:DXB327699 EGX327682:EGX327699 EQT327682:EQT327699 FAP327682:FAP327699 FKL327682:FKL327699 FUH327682:FUH327699 GED327682:GED327699 GNZ327682:GNZ327699 GXV327682:GXV327699 HHR327682:HHR327699 HRN327682:HRN327699 IBJ327682:IBJ327699 ILF327682:ILF327699 IVB327682:IVB327699 JEX327682:JEX327699 JOT327682:JOT327699 JYP327682:JYP327699 KIL327682:KIL327699 KSH327682:KSH327699 LCD327682:LCD327699 LLZ327682:LLZ327699 LVV327682:LVV327699 MFR327682:MFR327699 MPN327682:MPN327699 MZJ327682:MZJ327699 NJF327682:NJF327699 NTB327682:NTB327699 OCX327682:OCX327699 OMT327682:OMT327699 OWP327682:OWP327699 PGL327682:PGL327699 PQH327682:PQH327699 QAD327682:QAD327699 QJZ327682:QJZ327699 QTV327682:QTV327699 RDR327682:RDR327699 RNN327682:RNN327699 RXJ327682:RXJ327699 SHF327682:SHF327699 SRB327682:SRB327699 TAX327682:TAX327699 TKT327682:TKT327699 TUP327682:TUP327699 UEL327682:UEL327699 UOH327682:UOH327699 UYD327682:UYD327699 VHZ327682:VHZ327699 VRV327682:VRV327699 WBR327682:WBR327699 WLN327682:WLN327699 WVJ327682:WVJ327699 B393218:B393235 IX393218:IX393235 ST393218:ST393235 ACP393218:ACP393235 AML393218:AML393235 AWH393218:AWH393235 BGD393218:BGD393235 BPZ393218:BPZ393235 BZV393218:BZV393235 CJR393218:CJR393235 CTN393218:CTN393235 DDJ393218:DDJ393235 DNF393218:DNF393235 DXB393218:DXB393235 EGX393218:EGX393235 EQT393218:EQT393235 FAP393218:FAP393235 FKL393218:FKL393235 FUH393218:FUH393235 GED393218:GED393235 GNZ393218:GNZ393235 GXV393218:GXV393235 HHR393218:HHR393235 HRN393218:HRN393235 IBJ393218:IBJ393235 ILF393218:ILF393235 IVB393218:IVB393235 JEX393218:JEX393235 JOT393218:JOT393235 JYP393218:JYP393235 KIL393218:KIL393235 KSH393218:KSH393235 LCD393218:LCD393235 LLZ393218:LLZ393235 LVV393218:LVV393235 MFR393218:MFR393235 MPN393218:MPN393235 MZJ393218:MZJ393235 NJF393218:NJF393235 NTB393218:NTB393235 OCX393218:OCX393235 OMT393218:OMT393235 OWP393218:OWP393235 PGL393218:PGL393235 PQH393218:PQH393235 QAD393218:QAD393235 QJZ393218:QJZ393235 QTV393218:QTV393235 RDR393218:RDR393235 RNN393218:RNN393235 RXJ393218:RXJ393235 SHF393218:SHF393235 SRB393218:SRB393235 TAX393218:TAX393235 TKT393218:TKT393235 TUP393218:TUP393235 UEL393218:UEL393235 UOH393218:UOH393235 UYD393218:UYD393235 VHZ393218:VHZ393235 VRV393218:VRV393235 WBR393218:WBR393235 WLN393218:WLN393235 WVJ393218:WVJ393235 B458754:B458771 IX458754:IX458771 ST458754:ST458771 ACP458754:ACP458771 AML458754:AML458771 AWH458754:AWH458771 BGD458754:BGD458771 BPZ458754:BPZ458771 BZV458754:BZV458771 CJR458754:CJR458771 CTN458754:CTN458771 DDJ458754:DDJ458771 DNF458754:DNF458771 DXB458754:DXB458771 EGX458754:EGX458771 EQT458754:EQT458771 FAP458754:FAP458771 FKL458754:FKL458771 FUH458754:FUH458771 GED458754:GED458771 GNZ458754:GNZ458771 GXV458754:GXV458771 HHR458754:HHR458771 HRN458754:HRN458771 IBJ458754:IBJ458771 ILF458754:ILF458771 IVB458754:IVB458771 JEX458754:JEX458771 JOT458754:JOT458771 JYP458754:JYP458771 KIL458754:KIL458771 KSH458754:KSH458771 LCD458754:LCD458771 LLZ458754:LLZ458771 LVV458754:LVV458771 MFR458754:MFR458771 MPN458754:MPN458771 MZJ458754:MZJ458771 NJF458754:NJF458771 NTB458754:NTB458771 OCX458754:OCX458771 OMT458754:OMT458771 OWP458754:OWP458771 PGL458754:PGL458771 PQH458754:PQH458771 QAD458754:QAD458771 QJZ458754:QJZ458771 QTV458754:QTV458771 RDR458754:RDR458771 RNN458754:RNN458771 RXJ458754:RXJ458771 SHF458754:SHF458771 SRB458754:SRB458771 TAX458754:TAX458771 TKT458754:TKT458771 TUP458754:TUP458771 UEL458754:UEL458771 UOH458754:UOH458771 UYD458754:UYD458771 VHZ458754:VHZ458771 VRV458754:VRV458771 WBR458754:WBR458771 WLN458754:WLN458771 WVJ458754:WVJ458771 B524290:B524307 IX524290:IX524307 ST524290:ST524307 ACP524290:ACP524307 AML524290:AML524307 AWH524290:AWH524307 BGD524290:BGD524307 BPZ524290:BPZ524307 BZV524290:BZV524307 CJR524290:CJR524307 CTN524290:CTN524307 DDJ524290:DDJ524307 DNF524290:DNF524307 DXB524290:DXB524307 EGX524290:EGX524307 EQT524290:EQT524307 FAP524290:FAP524307 FKL524290:FKL524307 FUH524290:FUH524307 GED524290:GED524307 GNZ524290:GNZ524307 GXV524290:GXV524307 HHR524290:HHR524307 HRN524290:HRN524307 IBJ524290:IBJ524307 ILF524290:ILF524307 IVB524290:IVB524307 JEX524290:JEX524307 JOT524290:JOT524307 JYP524290:JYP524307 KIL524290:KIL524307 KSH524290:KSH524307 LCD524290:LCD524307 LLZ524290:LLZ524307 LVV524290:LVV524307 MFR524290:MFR524307 MPN524290:MPN524307 MZJ524290:MZJ524307 NJF524290:NJF524307 NTB524290:NTB524307 OCX524290:OCX524307 OMT524290:OMT524307 OWP524290:OWP524307 PGL524290:PGL524307 PQH524290:PQH524307 QAD524290:QAD524307 QJZ524290:QJZ524307 QTV524290:QTV524307 RDR524290:RDR524307 RNN524290:RNN524307 RXJ524290:RXJ524307 SHF524290:SHF524307 SRB524290:SRB524307 TAX524290:TAX524307 TKT524290:TKT524307 TUP524290:TUP524307 UEL524290:UEL524307 UOH524290:UOH524307 UYD524290:UYD524307 VHZ524290:VHZ524307 VRV524290:VRV524307 WBR524290:WBR524307 WLN524290:WLN524307 WVJ524290:WVJ524307 B589826:B589843 IX589826:IX589843 ST589826:ST589843 ACP589826:ACP589843 AML589826:AML589843 AWH589826:AWH589843 BGD589826:BGD589843 BPZ589826:BPZ589843 BZV589826:BZV589843 CJR589826:CJR589843 CTN589826:CTN589843 DDJ589826:DDJ589843 DNF589826:DNF589843 DXB589826:DXB589843 EGX589826:EGX589843 EQT589826:EQT589843 FAP589826:FAP589843 FKL589826:FKL589843 FUH589826:FUH589843 GED589826:GED589843 GNZ589826:GNZ589843 GXV589826:GXV589843 HHR589826:HHR589843 HRN589826:HRN589843 IBJ589826:IBJ589843 ILF589826:ILF589843 IVB589826:IVB589843 JEX589826:JEX589843 JOT589826:JOT589843 JYP589826:JYP589843 KIL589826:KIL589843 KSH589826:KSH589843 LCD589826:LCD589843 LLZ589826:LLZ589843 LVV589826:LVV589843 MFR589826:MFR589843 MPN589826:MPN589843 MZJ589826:MZJ589843 NJF589826:NJF589843 NTB589826:NTB589843 OCX589826:OCX589843 OMT589826:OMT589843 OWP589826:OWP589843 PGL589826:PGL589843 PQH589826:PQH589843 QAD589826:QAD589843 QJZ589826:QJZ589843 QTV589826:QTV589843 RDR589826:RDR589843 RNN589826:RNN589843 RXJ589826:RXJ589843 SHF589826:SHF589843 SRB589826:SRB589843 TAX589826:TAX589843 TKT589826:TKT589843 TUP589826:TUP589843 UEL589826:UEL589843 UOH589826:UOH589843 UYD589826:UYD589843 VHZ589826:VHZ589843 VRV589826:VRV589843 WBR589826:WBR589843 WLN589826:WLN589843 WVJ589826:WVJ589843 B655362:B655379 IX655362:IX655379 ST655362:ST655379 ACP655362:ACP655379 AML655362:AML655379 AWH655362:AWH655379 BGD655362:BGD655379 BPZ655362:BPZ655379 BZV655362:BZV655379 CJR655362:CJR655379 CTN655362:CTN655379 DDJ655362:DDJ655379 DNF655362:DNF655379 DXB655362:DXB655379 EGX655362:EGX655379 EQT655362:EQT655379 FAP655362:FAP655379 FKL655362:FKL655379 FUH655362:FUH655379 GED655362:GED655379 GNZ655362:GNZ655379 GXV655362:GXV655379 HHR655362:HHR655379 HRN655362:HRN655379 IBJ655362:IBJ655379 ILF655362:ILF655379 IVB655362:IVB655379 JEX655362:JEX655379 JOT655362:JOT655379 JYP655362:JYP655379 KIL655362:KIL655379 KSH655362:KSH655379 LCD655362:LCD655379 LLZ655362:LLZ655379 LVV655362:LVV655379 MFR655362:MFR655379 MPN655362:MPN655379 MZJ655362:MZJ655379 NJF655362:NJF655379 NTB655362:NTB655379 OCX655362:OCX655379 OMT655362:OMT655379 OWP655362:OWP655379 PGL655362:PGL655379 PQH655362:PQH655379 QAD655362:QAD655379 QJZ655362:QJZ655379 QTV655362:QTV655379 RDR655362:RDR655379 RNN655362:RNN655379 RXJ655362:RXJ655379 SHF655362:SHF655379 SRB655362:SRB655379 TAX655362:TAX655379 TKT655362:TKT655379 TUP655362:TUP655379 UEL655362:UEL655379 UOH655362:UOH655379 UYD655362:UYD655379 VHZ655362:VHZ655379 VRV655362:VRV655379 WBR655362:WBR655379 WLN655362:WLN655379 WVJ655362:WVJ655379 B720898:B720915 IX720898:IX720915 ST720898:ST720915 ACP720898:ACP720915 AML720898:AML720915 AWH720898:AWH720915 BGD720898:BGD720915 BPZ720898:BPZ720915 BZV720898:BZV720915 CJR720898:CJR720915 CTN720898:CTN720915 DDJ720898:DDJ720915 DNF720898:DNF720915 DXB720898:DXB720915 EGX720898:EGX720915 EQT720898:EQT720915 FAP720898:FAP720915 FKL720898:FKL720915 FUH720898:FUH720915 GED720898:GED720915 GNZ720898:GNZ720915 GXV720898:GXV720915 HHR720898:HHR720915 HRN720898:HRN720915 IBJ720898:IBJ720915 ILF720898:ILF720915 IVB720898:IVB720915 JEX720898:JEX720915 JOT720898:JOT720915 JYP720898:JYP720915 KIL720898:KIL720915 KSH720898:KSH720915 LCD720898:LCD720915 LLZ720898:LLZ720915 LVV720898:LVV720915 MFR720898:MFR720915 MPN720898:MPN720915 MZJ720898:MZJ720915 NJF720898:NJF720915 NTB720898:NTB720915 OCX720898:OCX720915 OMT720898:OMT720915 OWP720898:OWP720915 PGL720898:PGL720915 PQH720898:PQH720915 QAD720898:QAD720915 QJZ720898:QJZ720915 QTV720898:QTV720915 RDR720898:RDR720915 RNN720898:RNN720915 RXJ720898:RXJ720915 SHF720898:SHF720915 SRB720898:SRB720915 TAX720898:TAX720915 TKT720898:TKT720915 TUP720898:TUP720915 UEL720898:UEL720915 UOH720898:UOH720915 UYD720898:UYD720915 VHZ720898:VHZ720915 VRV720898:VRV720915 WBR720898:WBR720915 WLN720898:WLN720915 WVJ720898:WVJ720915 B786434:B786451 IX786434:IX786451 ST786434:ST786451 ACP786434:ACP786451 AML786434:AML786451 AWH786434:AWH786451 BGD786434:BGD786451 BPZ786434:BPZ786451 BZV786434:BZV786451 CJR786434:CJR786451 CTN786434:CTN786451 DDJ786434:DDJ786451 DNF786434:DNF786451 DXB786434:DXB786451 EGX786434:EGX786451 EQT786434:EQT786451 FAP786434:FAP786451 FKL786434:FKL786451 FUH786434:FUH786451 GED786434:GED786451 GNZ786434:GNZ786451 GXV786434:GXV786451 HHR786434:HHR786451 HRN786434:HRN786451 IBJ786434:IBJ786451 ILF786434:ILF786451 IVB786434:IVB786451 JEX786434:JEX786451 JOT786434:JOT786451 JYP786434:JYP786451 KIL786434:KIL786451 KSH786434:KSH786451 LCD786434:LCD786451 LLZ786434:LLZ786451 LVV786434:LVV786451 MFR786434:MFR786451 MPN786434:MPN786451 MZJ786434:MZJ786451 NJF786434:NJF786451 NTB786434:NTB786451 OCX786434:OCX786451 OMT786434:OMT786451 OWP786434:OWP786451 PGL786434:PGL786451 PQH786434:PQH786451 QAD786434:QAD786451 QJZ786434:QJZ786451 QTV786434:QTV786451 RDR786434:RDR786451 RNN786434:RNN786451 RXJ786434:RXJ786451 SHF786434:SHF786451 SRB786434:SRB786451 TAX786434:TAX786451 TKT786434:TKT786451 TUP786434:TUP786451 UEL786434:UEL786451 UOH786434:UOH786451 UYD786434:UYD786451 VHZ786434:VHZ786451 VRV786434:VRV786451 WBR786434:WBR786451 WLN786434:WLN786451 WVJ786434:WVJ786451 B851970:B851987 IX851970:IX851987 ST851970:ST851987 ACP851970:ACP851987 AML851970:AML851987 AWH851970:AWH851987 BGD851970:BGD851987 BPZ851970:BPZ851987 BZV851970:BZV851987 CJR851970:CJR851987 CTN851970:CTN851987 DDJ851970:DDJ851987 DNF851970:DNF851987 DXB851970:DXB851987 EGX851970:EGX851987 EQT851970:EQT851987 FAP851970:FAP851987 FKL851970:FKL851987 FUH851970:FUH851987 GED851970:GED851987 GNZ851970:GNZ851987 GXV851970:GXV851987 HHR851970:HHR851987 HRN851970:HRN851987 IBJ851970:IBJ851987 ILF851970:ILF851987 IVB851970:IVB851987 JEX851970:JEX851987 JOT851970:JOT851987 JYP851970:JYP851987 KIL851970:KIL851987 KSH851970:KSH851987 LCD851970:LCD851987 LLZ851970:LLZ851987 LVV851970:LVV851987 MFR851970:MFR851987 MPN851970:MPN851987 MZJ851970:MZJ851987 NJF851970:NJF851987 NTB851970:NTB851987 OCX851970:OCX851987 OMT851970:OMT851987 OWP851970:OWP851987 PGL851970:PGL851987 PQH851970:PQH851987 QAD851970:QAD851987 QJZ851970:QJZ851987 QTV851970:QTV851987 RDR851970:RDR851987 RNN851970:RNN851987 RXJ851970:RXJ851987 SHF851970:SHF851987 SRB851970:SRB851987 TAX851970:TAX851987 TKT851970:TKT851987 TUP851970:TUP851987 UEL851970:UEL851987 UOH851970:UOH851987 UYD851970:UYD851987 VHZ851970:VHZ851987 VRV851970:VRV851987 WBR851970:WBR851987 WLN851970:WLN851987 WVJ851970:WVJ851987 B917506:B917523 IX917506:IX917523 ST917506:ST917523 ACP917506:ACP917523 AML917506:AML917523 AWH917506:AWH917523 BGD917506:BGD917523 BPZ917506:BPZ917523 BZV917506:BZV917523 CJR917506:CJR917523 CTN917506:CTN917523 DDJ917506:DDJ917523 DNF917506:DNF917523 DXB917506:DXB917523 EGX917506:EGX917523 EQT917506:EQT917523 FAP917506:FAP917523 FKL917506:FKL917523 FUH917506:FUH917523 GED917506:GED917523 GNZ917506:GNZ917523 GXV917506:GXV917523 HHR917506:HHR917523 HRN917506:HRN917523 IBJ917506:IBJ917523 ILF917506:ILF917523 IVB917506:IVB917523 JEX917506:JEX917523 JOT917506:JOT917523 JYP917506:JYP917523 KIL917506:KIL917523 KSH917506:KSH917523 LCD917506:LCD917523 LLZ917506:LLZ917523 LVV917506:LVV917523 MFR917506:MFR917523 MPN917506:MPN917523 MZJ917506:MZJ917523 NJF917506:NJF917523 NTB917506:NTB917523 OCX917506:OCX917523 OMT917506:OMT917523 OWP917506:OWP917523 PGL917506:PGL917523 PQH917506:PQH917523 QAD917506:QAD917523 QJZ917506:QJZ917523 QTV917506:QTV917523 RDR917506:RDR917523 RNN917506:RNN917523 RXJ917506:RXJ917523 SHF917506:SHF917523 SRB917506:SRB917523 TAX917506:TAX917523 TKT917506:TKT917523 TUP917506:TUP917523 UEL917506:UEL917523 UOH917506:UOH917523 UYD917506:UYD917523 VHZ917506:VHZ917523 VRV917506:VRV917523 WBR917506:WBR917523 WLN917506:WLN917523 WVJ917506:WVJ917523" xr:uid="{00000000-0002-0000-4900-000001000000}">
      <formula1>trung</formula1>
    </dataValidation>
  </dataValidations>
  <pageMargins left="0.7" right="0.7" top="0.75" bottom="0.75" header="0.3" footer="0.3"/>
  <pageSetup paperSize="9" orientation="portrait"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H352"/>
  <sheetViews>
    <sheetView topLeftCell="A13" workbookViewId="0">
      <selection activeCell="C35" sqref="C35:E35"/>
    </sheetView>
  </sheetViews>
  <sheetFormatPr defaultColWidth="36.09765625" defaultRowHeight="15" customHeight="1" zeroHeight="1"/>
  <cols>
    <col min="1" max="1" width="4.5" style="16" customWidth="1"/>
    <col min="2" max="2" width="20.8984375" style="16" customWidth="1"/>
    <col min="3" max="3" width="7.5" style="87" customWidth="1"/>
    <col min="4" max="4" width="9.3984375" style="88" customWidth="1"/>
    <col min="5" max="5" width="12.5" style="89" customWidth="1"/>
    <col min="6" max="6" width="5.19921875" style="87" customWidth="1"/>
    <col min="7" max="7" width="12.19921875" style="89" customWidth="1"/>
    <col min="8" max="8" width="8.59765625" style="16" customWidth="1"/>
    <col min="9" max="248" width="0" style="16" hidden="1" customWidth="1"/>
    <col min="249" max="249" width="8.09765625" style="16" customWidth="1"/>
    <col min="250" max="250" width="3" style="16" customWidth="1"/>
    <col min="251" max="251" width="5.5" style="16" customWidth="1"/>
    <col min="252" max="252" width="3.5" style="16" customWidth="1"/>
    <col min="253" max="253" width="7.5" style="16" customWidth="1"/>
    <col min="254" max="254" width="9.765625E-2" style="16" customWidth="1"/>
    <col min="255" max="255" width="0.5" style="16" customWidth="1"/>
    <col min="256" max="256" width="36.09765625" style="16"/>
    <col min="257" max="257" width="3.59765625" style="16" customWidth="1"/>
    <col min="258" max="258" width="22.8984375" style="16" customWidth="1"/>
    <col min="259" max="259" width="4.5" style="16" customWidth="1"/>
    <col min="260" max="260" width="5.5" style="16" customWidth="1"/>
    <col min="261" max="261" width="9.5" style="16" customWidth="1"/>
    <col min="262" max="262" width="5.19921875" style="16" customWidth="1"/>
    <col min="263" max="263" width="10.59765625" style="16" customWidth="1"/>
    <col min="264" max="264" width="7.59765625" style="16" customWidth="1"/>
    <col min="265" max="504" width="0" style="16" hidden="1" customWidth="1"/>
    <col min="505" max="505" width="8.09765625" style="16" customWidth="1"/>
    <col min="506" max="506" width="3" style="16" customWidth="1"/>
    <col min="507" max="507" width="5.5" style="16" customWidth="1"/>
    <col min="508" max="508" width="3.5" style="16" customWidth="1"/>
    <col min="509" max="509" width="7.5" style="16" customWidth="1"/>
    <col min="510" max="510" width="9.765625E-2" style="16" customWidth="1"/>
    <col min="511" max="511" width="0.5" style="16" customWidth="1"/>
    <col min="512" max="512" width="36.09765625" style="16"/>
    <col min="513" max="513" width="3.59765625" style="16" customWidth="1"/>
    <col min="514" max="514" width="22.8984375" style="16" customWidth="1"/>
    <col min="515" max="515" width="4.5" style="16" customWidth="1"/>
    <col min="516" max="516" width="5.5" style="16" customWidth="1"/>
    <col min="517" max="517" width="9.5" style="16" customWidth="1"/>
    <col min="518" max="518" width="5.19921875" style="16" customWidth="1"/>
    <col min="519" max="519" width="10.59765625" style="16" customWidth="1"/>
    <col min="520" max="520" width="7.59765625" style="16" customWidth="1"/>
    <col min="521" max="760" width="0" style="16" hidden="1" customWidth="1"/>
    <col min="761" max="761" width="8.09765625" style="16" customWidth="1"/>
    <col min="762" max="762" width="3" style="16" customWidth="1"/>
    <col min="763" max="763" width="5.5" style="16" customWidth="1"/>
    <col min="764" max="764" width="3.5" style="16" customWidth="1"/>
    <col min="765" max="765" width="7.5" style="16" customWidth="1"/>
    <col min="766" max="766" width="9.765625E-2" style="16" customWidth="1"/>
    <col min="767" max="767" width="0.5" style="16" customWidth="1"/>
    <col min="768" max="768" width="36.09765625" style="16"/>
    <col min="769" max="769" width="3.59765625" style="16" customWidth="1"/>
    <col min="770" max="770" width="22.8984375" style="16" customWidth="1"/>
    <col min="771" max="771" width="4.5" style="16" customWidth="1"/>
    <col min="772" max="772" width="5.5" style="16" customWidth="1"/>
    <col min="773" max="773" width="9.5" style="16" customWidth="1"/>
    <col min="774" max="774" width="5.19921875" style="16" customWidth="1"/>
    <col min="775" max="775" width="10.59765625" style="16" customWidth="1"/>
    <col min="776" max="776" width="7.59765625" style="16" customWidth="1"/>
    <col min="777" max="1016" width="0" style="16" hidden="1" customWidth="1"/>
    <col min="1017" max="1017" width="8.09765625" style="16" customWidth="1"/>
    <col min="1018" max="1018" width="3" style="16" customWidth="1"/>
    <col min="1019" max="1019" width="5.5" style="16" customWidth="1"/>
    <col min="1020" max="1020" width="3.5" style="16" customWidth="1"/>
    <col min="1021" max="1021" width="7.5" style="16" customWidth="1"/>
    <col min="1022" max="1022" width="9.765625E-2" style="16" customWidth="1"/>
    <col min="1023" max="1023" width="0.5" style="16" customWidth="1"/>
    <col min="1024" max="1024" width="36.09765625" style="16"/>
    <col min="1025" max="1025" width="3.59765625" style="16" customWidth="1"/>
    <col min="1026" max="1026" width="22.8984375" style="16" customWidth="1"/>
    <col min="1027" max="1027" width="4.5" style="16" customWidth="1"/>
    <col min="1028" max="1028" width="5.5" style="16" customWidth="1"/>
    <col min="1029" max="1029" width="9.5" style="16" customWidth="1"/>
    <col min="1030" max="1030" width="5.19921875" style="16" customWidth="1"/>
    <col min="1031" max="1031" width="10.59765625" style="16" customWidth="1"/>
    <col min="1032" max="1032" width="7.59765625" style="16" customWidth="1"/>
    <col min="1033" max="1272" width="0" style="16" hidden="1" customWidth="1"/>
    <col min="1273" max="1273" width="8.09765625" style="16" customWidth="1"/>
    <col min="1274" max="1274" width="3" style="16" customWidth="1"/>
    <col min="1275" max="1275" width="5.5" style="16" customWidth="1"/>
    <col min="1276" max="1276" width="3.5" style="16" customWidth="1"/>
    <col min="1277" max="1277" width="7.5" style="16" customWidth="1"/>
    <col min="1278" max="1278" width="9.765625E-2" style="16" customWidth="1"/>
    <col min="1279" max="1279" width="0.5" style="16" customWidth="1"/>
    <col min="1280" max="1280" width="36.09765625" style="16"/>
    <col min="1281" max="1281" width="3.59765625" style="16" customWidth="1"/>
    <col min="1282" max="1282" width="22.8984375" style="16" customWidth="1"/>
    <col min="1283" max="1283" width="4.5" style="16" customWidth="1"/>
    <col min="1284" max="1284" width="5.5" style="16" customWidth="1"/>
    <col min="1285" max="1285" width="9.5" style="16" customWidth="1"/>
    <col min="1286" max="1286" width="5.19921875" style="16" customWidth="1"/>
    <col min="1287" max="1287" width="10.59765625" style="16" customWidth="1"/>
    <col min="1288" max="1288" width="7.59765625" style="16" customWidth="1"/>
    <col min="1289" max="1528" width="0" style="16" hidden="1" customWidth="1"/>
    <col min="1529" max="1529" width="8.09765625" style="16" customWidth="1"/>
    <col min="1530" max="1530" width="3" style="16" customWidth="1"/>
    <col min="1531" max="1531" width="5.5" style="16" customWidth="1"/>
    <col min="1532" max="1532" width="3.5" style="16" customWidth="1"/>
    <col min="1533" max="1533" width="7.5" style="16" customWidth="1"/>
    <col min="1534" max="1534" width="9.765625E-2" style="16" customWidth="1"/>
    <col min="1535" max="1535" width="0.5" style="16" customWidth="1"/>
    <col min="1536" max="1536" width="36.09765625" style="16"/>
    <col min="1537" max="1537" width="3.59765625" style="16" customWidth="1"/>
    <col min="1538" max="1538" width="22.8984375" style="16" customWidth="1"/>
    <col min="1539" max="1539" width="4.5" style="16" customWidth="1"/>
    <col min="1540" max="1540" width="5.5" style="16" customWidth="1"/>
    <col min="1541" max="1541" width="9.5" style="16" customWidth="1"/>
    <col min="1542" max="1542" width="5.19921875" style="16" customWidth="1"/>
    <col min="1543" max="1543" width="10.59765625" style="16" customWidth="1"/>
    <col min="1544" max="1544" width="7.59765625" style="16" customWidth="1"/>
    <col min="1545" max="1784" width="0" style="16" hidden="1" customWidth="1"/>
    <col min="1785" max="1785" width="8.09765625" style="16" customWidth="1"/>
    <col min="1786" max="1786" width="3" style="16" customWidth="1"/>
    <col min="1787" max="1787" width="5.5" style="16" customWidth="1"/>
    <col min="1788" max="1788" width="3.5" style="16" customWidth="1"/>
    <col min="1789" max="1789" width="7.5" style="16" customWidth="1"/>
    <col min="1790" max="1790" width="9.765625E-2" style="16" customWidth="1"/>
    <col min="1791" max="1791" width="0.5" style="16" customWidth="1"/>
    <col min="1792" max="1792" width="36.09765625" style="16"/>
    <col min="1793" max="1793" width="3.59765625" style="16" customWidth="1"/>
    <col min="1794" max="1794" width="22.8984375" style="16" customWidth="1"/>
    <col min="1795" max="1795" width="4.5" style="16" customWidth="1"/>
    <col min="1796" max="1796" width="5.5" style="16" customWidth="1"/>
    <col min="1797" max="1797" width="9.5" style="16" customWidth="1"/>
    <col min="1798" max="1798" width="5.19921875" style="16" customWidth="1"/>
    <col min="1799" max="1799" width="10.59765625" style="16" customWidth="1"/>
    <col min="1800" max="1800" width="7.59765625" style="16" customWidth="1"/>
    <col min="1801" max="2040" width="0" style="16" hidden="1" customWidth="1"/>
    <col min="2041" max="2041" width="8.09765625" style="16" customWidth="1"/>
    <col min="2042" max="2042" width="3" style="16" customWidth="1"/>
    <col min="2043" max="2043" width="5.5" style="16" customWidth="1"/>
    <col min="2044" max="2044" width="3.5" style="16" customWidth="1"/>
    <col min="2045" max="2045" width="7.5" style="16" customWidth="1"/>
    <col min="2046" max="2046" width="9.765625E-2" style="16" customWidth="1"/>
    <col min="2047" max="2047" width="0.5" style="16" customWidth="1"/>
    <col min="2048" max="2048" width="36.09765625" style="16"/>
    <col min="2049" max="2049" width="3.59765625" style="16" customWidth="1"/>
    <col min="2050" max="2050" width="22.8984375" style="16" customWidth="1"/>
    <col min="2051" max="2051" width="4.5" style="16" customWidth="1"/>
    <col min="2052" max="2052" width="5.5" style="16" customWidth="1"/>
    <col min="2053" max="2053" width="9.5" style="16" customWidth="1"/>
    <col min="2054" max="2054" width="5.19921875" style="16" customWidth="1"/>
    <col min="2055" max="2055" width="10.59765625" style="16" customWidth="1"/>
    <col min="2056" max="2056" width="7.59765625" style="16" customWidth="1"/>
    <col min="2057" max="2296" width="0" style="16" hidden="1" customWidth="1"/>
    <col min="2297" max="2297" width="8.09765625" style="16" customWidth="1"/>
    <col min="2298" max="2298" width="3" style="16" customWidth="1"/>
    <col min="2299" max="2299" width="5.5" style="16" customWidth="1"/>
    <col min="2300" max="2300" width="3.5" style="16" customWidth="1"/>
    <col min="2301" max="2301" width="7.5" style="16" customWidth="1"/>
    <col min="2302" max="2302" width="9.765625E-2" style="16" customWidth="1"/>
    <col min="2303" max="2303" width="0.5" style="16" customWidth="1"/>
    <col min="2304" max="2304" width="36.09765625" style="16"/>
    <col min="2305" max="2305" width="3.59765625" style="16" customWidth="1"/>
    <col min="2306" max="2306" width="22.8984375" style="16" customWidth="1"/>
    <col min="2307" max="2307" width="4.5" style="16" customWidth="1"/>
    <col min="2308" max="2308" width="5.5" style="16" customWidth="1"/>
    <col min="2309" max="2309" width="9.5" style="16" customWidth="1"/>
    <col min="2310" max="2310" width="5.19921875" style="16" customWidth="1"/>
    <col min="2311" max="2311" width="10.59765625" style="16" customWidth="1"/>
    <col min="2312" max="2312" width="7.59765625" style="16" customWidth="1"/>
    <col min="2313" max="2552" width="0" style="16" hidden="1" customWidth="1"/>
    <col min="2553" max="2553" width="8.09765625" style="16" customWidth="1"/>
    <col min="2554" max="2554" width="3" style="16" customWidth="1"/>
    <col min="2555" max="2555" width="5.5" style="16" customWidth="1"/>
    <col min="2556" max="2556" width="3.5" style="16" customWidth="1"/>
    <col min="2557" max="2557" width="7.5" style="16" customWidth="1"/>
    <col min="2558" max="2558" width="9.765625E-2" style="16" customWidth="1"/>
    <col min="2559" max="2559" width="0.5" style="16" customWidth="1"/>
    <col min="2560" max="2560" width="36.09765625" style="16"/>
    <col min="2561" max="2561" width="3.59765625" style="16" customWidth="1"/>
    <col min="2562" max="2562" width="22.8984375" style="16" customWidth="1"/>
    <col min="2563" max="2563" width="4.5" style="16" customWidth="1"/>
    <col min="2564" max="2564" width="5.5" style="16" customWidth="1"/>
    <col min="2565" max="2565" width="9.5" style="16" customWidth="1"/>
    <col min="2566" max="2566" width="5.19921875" style="16" customWidth="1"/>
    <col min="2567" max="2567" width="10.59765625" style="16" customWidth="1"/>
    <col min="2568" max="2568" width="7.59765625" style="16" customWidth="1"/>
    <col min="2569" max="2808" width="0" style="16" hidden="1" customWidth="1"/>
    <col min="2809" max="2809" width="8.09765625" style="16" customWidth="1"/>
    <col min="2810" max="2810" width="3" style="16" customWidth="1"/>
    <col min="2811" max="2811" width="5.5" style="16" customWidth="1"/>
    <col min="2812" max="2812" width="3.5" style="16" customWidth="1"/>
    <col min="2813" max="2813" width="7.5" style="16" customWidth="1"/>
    <col min="2814" max="2814" width="9.765625E-2" style="16" customWidth="1"/>
    <col min="2815" max="2815" width="0.5" style="16" customWidth="1"/>
    <col min="2816" max="2816" width="36.09765625" style="16"/>
    <col min="2817" max="2817" width="3.59765625" style="16" customWidth="1"/>
    <col min="2818" max="2818" width="22.8984375" style="16" customWidth="1"/>
    <col min="2819" max="2819" width="4.5" style="16" customWidth="1"/>
    <col min="2820" max="2820" width="5.5" style="16" customWidth="1"/>
    <col min="2821" max="2821" width="9.5" style="16" customWidth="1"/>
    <col min="2822" max="2822" width="5.19921875" style="16" customWidth="1"/>
    <col min="2823" max="2823" width="10.59765625" style="16" customWidth="1"/>
    <col min="2824" max="2824" width="7.59765625" style="16" customWidth="1"/>
    <col min="2825" max="3064" width="0" style="16" hidden="1" customWidth="1"/>
    <col min="3065" max="3065" width="8.09765625" style="16" customWidth="1"/>
    <col min="3066" max="3066" width="3" style="16" customWidth="1"/>
    <col min="3067" max="3067" width="5.5" style="16" customWidth="1"/>
    <col min="3068" max="3068" width="3.5" style="16" customWidth="1"/>
    <col min="3069" max="3069" width="7.5" style="16" customWidth="1"/>
    <col min="3070" max="3070" width="9.765625E-2" style="16" customWidth="1"/>
    <col min="3071" max="3071" width="0.5" style="16" customWidth="1"/>
    <col min="3072" max="3072" width="36.09765625" style="16"/>
    <col min="3073" max="3073" width="3.59765625" style="16" customWidth="1"/>
    <col min="3074" max="3074" width="22.8984375" style="16" customWidth="1"/>
    <col min="3075" max="3075" width="4.5" style="16" customWidth="1"/>
    <col min="3076" max="3076" width="5.5" style="16" customWidth="1"/>
    <col min="3077" max="3077" width="9.5" style="16" customWidth="1"/>
    <col min="3078" max="3078" width="5.19921875" style="16" customWidth="1"/>
    <col min="3079" max="3079" width="10.59765625" style="16" customWidth="1"/>
    <col min="3080" max="3080" width="7.59765625" style="16" customWidth="1"/>
    <col min="3081" max="3320" width="0" style="16" hidden="1" customWidth="1"/>
    <col min="3321" max="3321" width="8.09765625" style="16" customWidth="1"/>
    <col min="3322" max="3322" width="3" style="16" customWidth="1"/>
    <col min="3323" max="3323" width="5.5" style="16" customWidth="1"/>
    <col min="3324" max="3324" width="3.5" style="16" customWidth="1"/>
    <col min="3325" max="3325" width="7.5" style="16" customWidth="1"/>
    <col min="3326" max="3326" width="9.765625E-2" style="16" customWidth="1"/>
    <col min="3327" max="3327" width="0.5" style="16" customWidth="1"/>
    <col min="3328" max="3328" width="36.09765625" style="16"/>
    <col min="3329" max="3329" width="3.59765625" style="16" customWidth="1"/>
    <col min="3330" max="3330" width="22.8984375" style="16" customWidth="1"/>
    <col min="3331" max="3331" width="4.5" style="16" customWidth="1"/>
    <col min="3332" max="3332" width="5.5" style="16" customWidth="1"/>
    <col min="3333" max="3333" width="9.5" style="16" customWidth="1"/>
    <col min="3334" max="3334" width="5.19921875" style="16" customWidth="1"/>
    <col min="3335" max="3335" width="10.59765625" style="16" customWidth="1"/>
    <col min="3336" max="3336" width="7.59765625" style="16" customWidth="1"/>
    <col min="3337" max="3576" width="0" style="16" hidden="1" customWidth="1"/>
    <col min="3577" max="3577" width="8.09765625" style="16" customWidth="1"/>
    <col min="3578" max="3578" width="3" style="16" customWidth="1"/>
    <col min="3579" max="3579" width="5.5" style="16" customWidth="1"/>
    <col min="3580" max="3580" width="3.5" style="16" customWidth="1"/>
    <col min="3581" max="3581" width="7.5" style="16" customWidth="1"/>
    <col min="3582" max="3582" width="9.765625E-2" style="16" customWidth="1"/>
    <col min="3583" max="3583" width="0.5" style="16" customWidth="1"/>
    <col min="3584" max="3584" width="36.09765625" style="16"/>
    <col min="3585" max="3585" width="3.59765625" style="16" customWidth="1"/>
    <col min="3586" max="3586" width="22.8984375" style="16" customWidth="1"/>
    <col min="3587" max="3587" width="4.5" style="16" customWidth="1"/>
    <col min="3588" max="3588" width="5.5" style="16" customWidth="1"/>
    <col min="3589" max="3589" width="9.5" style="16" customWidth="1"/>
    <col min="3590" max="3590" width="5.19921875" style="16" customWidth="1"/>
    <col min="3591" max="3591" width="10.59765625" style="16" customWidth="1"/>
    <col min="3592" max="3592" width="7.59765625" style="16" customWidth="1"/>
    <col min="3593" max="3832" width="0" style="16" hidden="1" customWidth="1"/>
    <col min="3833" max="3833" width="8.09765625" style="16" customWidth="1"/>
    <col min="3834" max="3834" width="3" style="16" customWidth="1"/>
    <col min="3835" max="3835" width="5.5" style="16" customWidth="1"/>
    <col min="3836" max="3836" width="3.5" style="16" customWidth="1"/>
    <col min="3837" max="3837" width="7.5" style="16" customWidth="1"/>
    <col min="3838" max="3838" width="9.765625E-2" style="16" customWidth="1"/>
    <col min="3839" max="3839" width="0.5" style="16" customWidth="1"/>
    <col min="3840" max="3840" width="36.09765625" style="16"/>
    <col min="3841" max="3841" width="3.59765625" style="16" customWidth="1"/>
    <col min="3842" max="3842" width="22.8984375" style="16" customWidth="1"/>
    <col min="3843" max="3843" width="4.5" style="16" customWidth="1"/>
    <col min="3844" max="3844" width="5.5" style="16" customWidth="1"/>
    <col min="3845" max="3845" width="9.5" style="16" customWidth="1"/>
    <col min="3846" max="3846" width="5.19921875" style="16" customWidth="1"/>
    <col min="3847" max="3847" width="10.59765625" style="16" customWidth="1"/>
    <col min="3848" max="3848" width="7.59765625" style="16" customWidth="1"/>
    <col min="3849" max="4088" width="0" style="16" hidden="1" customWidth="1"/>
    <col min="4089" max="4089" width="8.09765625" style="16" customWidth="1"/>
    <col min="4090" max="4090" width="3" style="16" customWidth="1"/>
    <col min="4091" max="4091" width="5.5" style="16" customWidth="1"/>
    <col min="4092" max="4092" width="3.5" style="16" customWidth="1"/>
    <col min="4093" max="4093" width="7.5" style="16" customWidth="1"/>
    <col min="4094" max="4094" width="9.765625E-2" style="16" customWidth="1"/>
    <col min="4095" max="4095" width="0.5" style="16" customWidth="1"/>
    <col min="4096" max="4096" width="36.09765625" style="16"/>
    <col min="4097" max="4097" width="3.59765625" style="16" customWidth="1"/>
    <col min="4098" max="4098" width="22.8984375" style="16" customWidth="1"/>
    <col min="4099" max="4099" width="4.5" style="16" customWidth="1"/>
    <col min="4100" max="4100" width="5.5" style="16" customWidth="1"/>
    <col min="4101" max="4101" width="9.5" style="16" customWidth="1"/>
    <col min="4102" max="4102" width="5.19921875" style="16" customWidth="1"/>
    <col min="4103" max="4103" width="10.59765625" style="16" customWidth="1"/>
    <col min="4104" max="4104" width="7.59765625" style="16" customWidth="1"/>
    <col min="4105" max="4344" width="0" style="16" hidden="1" customWidth="1"/>
    <col min="4345" max="4345" width="8.09765625" style="16" customWidth="1"/>
    <col min="4346" max="4346" width="3" style="16" customWidth="1"/>
    <col min="4347" max="4347" width="5.5" style="16" customWidth="1"/>
    <col min="4348" max="4348" width="3.5" style="16" customWidth="1"/>
    <col min="4349" max="4349" width="7.5" style="16" customWidth="1"/>
    <col min="4350" max="4350" width="9.765625E-2" style="16" customWidth="1"/>
    <col min="4351" max="4351" width="0.5" style="16" customWidth="1"/>
    <col min="4352" max="4352" width="36.09765625" style="16"/>
    <col min="4353" max="4353" width="3.59765625" style="16" customWidth="1"/>
    <col min="4354" max="4354" width="22.8984375" style="16" customWidth="1"/>
    <col min="4355" max="4355" width="4.5" style="16" customWidth="1"/>
    <col min="4356" max="4356" width="5.5" style="16" customWidth="1"/>
    <col min="4357" max="4357" width="9.5" style="16" customWidth="1"/>
    <col min="4358" max="4358" width="5.19921875" style="16" customWidth="1"/>
    <col min="4359" max="4359" width="10.59765625" style="16" customWidth="1"/>
    <col min="4360" max="4360" width="7.59765625" style="16" customWidth="1"/>
    <col min="4361" max="4600" width="0" style="16" hidden="1" customWidth="1"/>
    <col min="4601" max="4601" width="8.09765625" style="16" customWidth="1"/>
    <col min="4602" max="4602" width="3" style="16" customWidth="1"/>
    <col min="4603" max="4603" width="5.5" style="16" customWidth="1"/>
    <col min="4604" max="4604" width="3.5" style="16" customWidth="1"/>
    <col min="4605" max="4605" width="7.5" style="16" customWidth="1"/>
    <col min="4606" max="4606" width="9.765625E-2" style="16" customWidth="1"/>
    <col min="4607" max="4607" width="0.5" style="16" customWidth="1"/>
    <col min="4608" max="4608" width="36.09765625" style="16"/>
    <col min="4609" max="4609" width="3.59765625" style="16" customWidth="1"/>
    <col min="4610" max="4610" width="22.8984375" style="16" customWidth="1"/>
    <col min="4611" max="4611" width="4.5" style="16" customWidth="1"/>
    <col min="4612" max="4612" width="5.5" style="16" customWidth="1"/>
    <col min="4613" max="4613" width="9.5" style="16" customWidth="1"/>
    <col min="4614" max="4614" width="5.19921875" style="16" customWidth="1"/>
    <col min="4615" max="4615" width="10.59765625" style="16" customWidth="1"/>
    <col min="4616" max="4616" width="7.59765625" style="16" customWidth="1"/>
    <col min="4617" max="4856" width="0" style="16" hidden="1" customWidth="1"/>
    <col min="4857" max="4857" width="8.09765625" style="16" customWidth="1"/>
    <col min="4858" max="4858" width="3" style="16" customWidth="1"/>
    <col min="4859" max="4859" width="5.5" style="16" customWidth="1"/>
    <col min="4860" max="4860" width="3.5" style="16" customWidth="1"/>
    <col min="4861" max="4861" width="7.5" style="16" customWidth="1"/>
    <col min="4862" max="4862" width="9.765625E-2" style="16" customWidth="1"/>
    <col min="4863" max="4863" width="0.5" style="16" customWidth="1"/>
    <col min="4864" max="4864" width="36.09765625" style="16"/>
    <col min="4865" max="4865" width="3.59765625" style="16" customWidth="1"/>
    <col min="4866" max="4866" width="22.8984375" style="16" customWidth="1"/>
    <col min="4867" max="4867" width="4.5" style="16" customWidth="1"/>
    <col min="4868" max="4868" width="5.5" style="16" customWidth="1"/>
    <col min="4869" max="4869" width="9.5" style="16" customWidth="1"/>
    <col min="4870" max="4870" width="5.19921875" style="16" customWidth="1"/>
    <col min="4871" max="4871" width="10.59765625" style="16" customWidth="1"/>
    <col min="4872" max="4872" width="7.59765625" style="16" customWidth="1"/>
    <col min="4873" max="5112" width="0" style="16" hidden="1" customWidth="1"/>
    <col min="5113" max="5113" width="8.09765625" style="16" customWidth="1"/>
    <col min="5114" max="5114" width="3" style="16" customWidth="1"/>
    <col min="5115" max="5115" width="5.5" style="16" customWidth="1"/>
    <col min="5116" max="5116" width="3.5" style="16" customWidth="1"/>
    <col min="5117" max="5117" width="7.5" style="16" customWidth="1"/>
    <col min="5118" max="5118" width="9.765625E-2" style="16" customWidth="1"/>
    <col min="5119" max="5119" width="0.5" style="16" customWidth="1"/>
    <col min="5120" max="5120" width="36.09765625" style="16"/>
    <col min="5121" max="5121" width="3.59765625" style="16" customWidth="1"/>
    <col min="5122" max="5122" width="22.8984375" style="16" customWidth="1"/>
    <col min="5123" max="5123" width="4.5" style="16" customWidth="1"/>
    <col min="5124" max="5124" width="5.5" style="16" customWidth="1"/>
    <col min="5125" max="5125" width="9.5" style="16" customWidth="1"/>
    <col min="5126" max="5126" width="5.19921875" style="16" customWidth="1"/>
    <col min="5127" max="5127" width="10.59765625" style="16" customWidth="1"/>
    <col min="5128" max="5128" width="7.59765625" style="16" customWidth="1"/>
    <col min="5129" max="5368" width="0" style="16" hidden="1" customWidth="1"/>
    <col min="5369" max="5369" width="8.09765625" style="16" customWidth="1"/>
    <col min="5370" max="5370" width="3" style="16" customWidth="1"/>
    <col min="5371" max="5371" width="5.5" style="16" customWidth="1"/>
    <col min="5372" max="5372" width="3.5" style="16" customWidth="1"/>
    <col min="5373" max="5373" width="7.5" style="16" customWidth="1"/>
    <col min="5374" max="5374" width="9.765625E-2" style="16" customWidth="1"/>
    <col min="5375" max="5375" width="0.5" style="16" customWidth="1"/>
    <col min="5376" max="5376" width="36.09765625" style="16"/>
    <col min="5377" max="5377" width="3.59765625" style="16" customWidth="1"/>
    <col min="5378" max="5378" width="22.8984375" style="16" customWidth="1"/>
    <col min="5379" max="5379" width="4.5" style="16" customWidth="1"/>
    <col min="5380" max="5380" width="5.5" style="16" customWidth="1"/>
    <col min="5381" max="5381" width="9.5" style="16" customWidth="1"/>
    <col min="5382" max="5382" width="5.19921875" style="16" customWidth="1"/>
    <col min="5383" max="5383" width="10.59765625" style="16" customWidth="1"/>
    <col min="5384" max="5384" width="7.59765625" style="16" customWidth="1"/>
    <col min="5385" max="5624" width="0" style="16" hidden="1" customWidth="1"/>
    <col min="5625" max="5625" width="8.09765625" style="16" customWidth="1"/>
    <col min="5626" max="5626" width="3" style="16" customWidth="1"/>
    <col min="5627" max="5627" width="5.5" style="16" customWidth="1"/>
    <col min="5628" max="5628" width="3.5" style="16" customWidth="1"/>
    <col min="5629" max="5629" width="7.5" style="16" customWidth="1"/>
    <col min="5630" max="5630" width="9.765625E-2" style="16" customWidth="1"/>
    <col min="5631" max="5631" width="0.5" style="16" customWidth="1"/>
    <col min="5632" max="5632" width="36.09765625" style="16"/>
    <col min="5633" max="5633" width="3.59765625" style="16" customWidth="1"/>
    <col min="5634" max="5634" width="22.8984375" style="16" customWidth="1"/>
    <col min="5635" max="5635" width="4.5" style="16" customWidth="1"/>
    <col min="5636" max="5636" width="5.5" style="16" customWidth="1"/>
    <col min="5637" max="5637" width="9.5" style="16" customWidth="1"/>
    <col min="5638" max="5638" width="5.19921875" style="16" customWidth="1"/>
    <col min="5639" max="5639" width="10.59765625" style="16" customWidth="1"/>
    <col min="5640" max="5640" width="7.59765625" style="16" customWidth="1"/>
    <col min="5641" max="5880" width="0" style="16" hidden="1" customWidth="1"/>
    <col min="5881" max="5881" width="8.09765625" style="16" customWidth="1"/>
    <col min="5882" max="5882" width="3" style="16" customWidth="1"/>
    <col min="5883" max="5883" width="5.5" style="16" customWidth="1"/>
    <col min="5884" max="5884" width="3.5" style="16" customWidth="1"/>
    <col min="5885" max="5885" width="7.5" style="16" customWidth="1"/>
    <col min="5886" max="5886" width="9.765625E-2" style="16" customWidth="1"/>
    <col min="5887" max="5887" width="0.5" style="16" customWidth="1"/>
    <col min="5888" max="5888" width="36.09765625" style="16"/>
    <col min="5889" max="5889" width="3.59765625" style="16" customWidth="1"/>
    <col min="5890" max="5890" width="22.8984375" style="16" customWidth="1"/>
    <col min="5891" max="5891" width="4.5" style="16" customWidth="1"/>
    <col min="5892" max="5892" width="5.5" style="16" customWidth="1"/>
    <col min="5893" max="5893" width="9.5" style="16" customWidth="1"/>
    <col min="5894" max="5894" width="5.19921875" style="16" customWidth="1"/>
    <col min="5895" max="5895" width="10.59765625" style="16" customWidth="1"/>
    <col min="5896" max="5896" width="7.59765625" style="16" customWidth="1"/>
    <col min="5897" max="6136" width="0" style="16" hidden="1" customWidth="1"/>
    <col min="6137" max="6137" width="8.09765625" style="16" customWidth="1"/>
    <col min="6138" max="6138" width="3" style="16" customWidth="1"/>
    <col min="6139" max="6139" width="5.5" style="16" customWidth="1"/>
    <col min="6140" max="6140" width="3.5" style="16" customWidth="1"/>
    <col min="6141" max="6141" width="7.5" style="16" customWidth="1"/>
    <col min="6142" max="6142" width="9.765625E-2" style="16" customWidth="1"/>
    <col min="6143" max="6143" width="0.5" style="16" customWidth="1"/>
    <col min="6144" max="6144" width="36.09765625" style="16"/>
    <col min="6145" max="6145" width="3.59765625" style="16" customWidth="1"/>
    <col min="6146" max="6146" width="22.8984375" style="16" customWidth="1"/>
    <col min="6147" max="6147" width="4.5" style="16" customWidth="1"/>
    <col min="6148" max="6148" width="5.5" style="16" customWidth="1"/>
    <col min="6149" max="6149" width="9.5" style="16" customWidth="1"/>
    <col min="6150" max="6150" width="5.19921875" style="16" customWidth="1"/>
    <col min="6151" max="6151" width="10.59765625" style="16" customWidth="1"/>
    <col min="6152" max="6152" width="7.59765625" style="16" customWidth="1"/>
    <col min="6153" max="6392" width="0" style="16" hidden="1" customWidth="1"/>
    <col min="6393" max="6393" width="8.09765625" style="16" customWidth="1"/>
    <col min="6394" max="6394" width="3" style="16" customWidth="1"/>
    <col min="6395" max="6395" width="5.5" style="16" customWidth="1"/>
    <col min="6396" max="6396" width="3.5" style="16" customWidth="1"/>
    <col min="6397" max="6397" width="7.5" style="16" customWidth="1"/>
    <col min="6398" max="6398" width="9.765625E-2" style="16" customWidth="1"/>
    <col min="6399" max="6399" width="0.5" style="16" customWidth="1"/>
    <col min="6400" max="6400" width="36.09765625" style="16"/>
    <col min="6401" max="6401" width="3.59765625" style="16" customWidth="1"/>
    <col min="6402" max="6402" width="22.8984375" style="16" customWidth="1"/>
    <col min="6403" max="6403" width="4.5" style="16" customWidth="1"/>
    <col min="6404" max="6404" width="5.5" style="16" customWidth="1"/>
    <col min="6405" max="6405" width="9.5" style="16" customWidth="1"/>
    <col min="6406" max="6406" width="5.19921875" style="16" customWidth="1"/>
    <col min="6407" max="6407" width="10.59765625" style="16" customWidth="1"/>
    <col min="6408" max="6408" width="7.59765625" style="16" customWidth="1"/>
    <col min="6409" max="6648" width="0" style="16" hidden="1" customWidth="1"/>
    <col min="6649" max="6649" width="8.09765625" style="16" customWidth="1"/>
    <col min="6650" max="6650" width="3" style="16" customWidth="1"/>
    <col min="6651" max="6651" width="5.5" style="16" customWidth="1"/>
    <col min="6652" max="6652" width="3.5" style="16" customWidth="1"/>
    <col min="6653" max="6653" width="7.5" style="16" customWidth="1"/>
    <col min="6654" max="6654" width="9.765625E-2" style="16" customWidth="1"/>
    <col min="6655" max="6655" width="0.5" style="16" customWidth="1"/>
    <col min="6656" max="6656" width="36.09765625" style="16"/>
    <col min="6657" max="6657" width="3.59765625" style="16" customWidth="1"/>
    <col min="6658" max="6658" width="22.8984375" style="16" customWidth="1"/>
    <col min="6659" max="6659" width="4.5" style="16" customWidth="1"/>
    <col min="6660" max="6660" width="5.5" style="16" customWidth="1"/>
    <col min="6661" max="6661" width="9.5" style="16" customWidth="1"/>
    <col min="6662" max="6662" width="5.19921875" style="16" customWidth="1"/>
    <col min="6663" max="6663" width="10.59765625" style="16" customWidth="1"/>
    <col min="6664" max="6664" width="7.59765625" style="16" customWidth="1"/>
    <col min="6665" max="6904" width="0" style="16" hidden="1" customWidth="1"/>
    <col min="6905" max="6905" width="8.09765625" style="16" customWidth="1"/>
    <col min="6906" max="6906" width="3" style="16" customWidth="1"/>
    <col min="6907" max="6907" width="5.5" style="16" customWidth="1"/>
    <col min="6908" max="6908" width="3.5" style="16" customWidth="1"/>
    <col min="6909" max="6909" width="7.5" style="16" customWidth="1"/>
    <col min="6910" max="6910" width="9.765625E-2" style="16" customWidth="1"/>
    <col min="6911" max="6911" width="0.5" style="16" customWidth="1"/>
    <col min="6912" max="6912" width="36.09765625" style="16"/>
    <col min="6913" max="6913" width="3.59765625" style="16" customWidth="1"/>
    <col min="6914" max="6914" width="22.8984375" style="16" customWidth="1"/>
    <col min="6915" max="6915" width="4.5" style="16" customWidth="1"/>
    <col min="6916" max="6916" width="5.5" style="16" customWidth="1"/>
    <col min="6917" max="6917" width="9.5" style="16" customWidth="1"/>
    <col min="6918" max="6918" width="5.19921875" style="16" customWidth="1"/>
    <col min="6919" max="6919" width="10.59765625" style="16" customWidth="1"/>
    <col min="6920" max="6920" width="7.59765625" style="16" customWidth="1"/>
    <col min="6921" max="7160" width="0" style="16" hidden="1" customWidth="1"/>
    <col min="7161" max="7161" width="8.09765625" style="16" customWidth="1"/>
    <col min="7162" max="7162" width="3" style="16" customWidth="1"/>
    <col min="7163" max="7163" width="5.5" style="16" customWidth="1"/>
    <col min="7164" max="7164" width="3.5" style="16" customWidth="1"/>
    <col min="7165" max="7165" width="7.5" style="16" customWidth="1"/>
    <col min="7166" max="7166" width="9.765625E-2" style="16" customWidth="1"/>
    <col min="7167" max="7167" width="0.5" style="16" customWidth="1"/>
    <col min="7168" max="7168" width="36.09765625" style="16"/>
    <col min="7169" max="7169" width="3.59765625" style="16" customWidth="1"/>
    <col min="7170" max="7170" width="22.8984375" style="16" customWidth="1"/>
    <col min="7171" max="7171" width="4.5" style="16" customWidth="1"/>
    <col min="7172" max="7172" width="5.5" style="16" customWidth="1"/>
    <col min="7173" max="7173" width="9.5" style="16" customWidth="1"/>
    <col min="7174" max="7174" width="5.19921875" style="16" customWidth="1"/>
    <col min="7175" max="7175" width="10.59765625" style="16" customWidth="1"/>
    <col min="7176" max="7176" width="7.59765625" style="16" customWidth="1"/>
    <col min="7177" max="7416" width="0" style="16" hidden="1" customWidth="1"/>
    <col min="7417" max="7417" width="8.09765625" style="16" customWidth="1"/>
    <col min="7418" max="7418" width="3" style="16" customWidth="1"/>
    <col min="7419" max="7419" width="5.5" style="16" customWidth="1"/>
    <col min="7420" max="7420" width="3.5" style="16" customWidth="1"/>
    <col min="7421" max="7421" width="7.5" style="16" customWidth="1"/>
    <col min="7422" max="7422" width="9.765625E-2" style="16" customWidth="1"/>
    <col min="7423" max="7423" width="0.5" style="16" customWidth="1"/>
    <col min="7424" max="7424" width="36.09765625" style="16"/>
    <col min="7425" max="7425" width="3.59765625" style="16" customWidth="1"/>
    <col min="7426" max="7426" width="22.8984375" style="16" customWidth="1"/>
    <col min="7427" max="7427" width="4.5" style="16" customWidth="1"/>
    <col min="7428" max="7428" width="5.5" style="16" customWidth="1"/>
    <col min="7429" max="7429" width="9.5" style="16" customWidth="1"/>
    <col min="7430" max="7430" width="5.19921875" style="16" customWidth="1"/>
    <col min="7431" max="7431" width="10.59765625" style="16" customWidth="1"/>
    <col min="7432" max="7432" width="7.59765625" style="16" customWidth="1"/>
    <col min="7433" max="7672" width="0" style="16" hidden="1" customWidth="1"/>
    <col min="7673" max="7673" width="8.09765625" style="16" customWidth="1"/>
    <col min="7674" max="7674" width="3" style="16" customWidth="1"/>
    <col min="7675" max="7675" width="5.5" style="16" customWidth="1"/>
    <col min="7676" max="7676" width="3.5" style="16" customWidth="1"/>
    <col min="7677" max="7677" width="7.5" style="16" customWidth="1"/>
    <col min="7678" max="7678" width="9.765625E-2" style="16" customWidth="1"/>
    <col min="7679" max="7679" width="0.5" style="16" customWidth="1"/>
    <col min="7680" max="7680" width="36.09765625" style="16"/>
    <col min="7681" max="7681" width="3.59765625" style="16" customWidth="1"/>
    <col min="7682" max="7682" width="22.8984375" style="16" customWidth="1"/>
    <col min="7683" max="7683" width="4.5" style="16" customWidth="1"/>
    <col min="7684" max="7684" width="5.5" style="16" customWidth="1"/>
    <col min="7685" max="7685" width="9.5" style="16" customWidth="1"/>
    <col min="7686" max="7686" width="5.19921875" style="16" customWidth="1"/>
    <col min="7687" max="7687" width="10.59765625" style="16" customWidth="1"/>
    <col min="7688" max="7688" width="7.59765625" style="16" customWidth="1"/>
    <col min="7689" max="7928" width="0" style="16" hidden="1" customWidth="1"/>
    <col min="7929" max="7929" width="8.09765625" style="16" customWidth="1"/>
    <col min="7930" max="7930" width="3" style="16" customWidth="1"/>
    <col min="7931" max="7931" width="5.5" style="16" customWidth="1"/>
    <col min="7932" max="7932" width="3.5" style="16" customWidth="1"/>
    <col min="7933" max="7933" width="7.5" style="16" customWidth="1"/>
    <col min="7934" max="7934" width="9.765625E-2" style="16" customWidth="1"/>
    <col min="7935" max="7935" width="0.5" style="16" customWidth="1"/>
    <col min="7936" max="7936" width="36.09765625" style="16"/>
    <col min="7937" max="7937" width="3.59765625" style="16" customWidth="1"/>
    <col min="7938" max="7938" width="22.8984375" style="16" customWidth="1"/>
    <col min="7939" max="7939" width="4.5" style="16" customWidth="1"/>
    <col min="7940" max="7940" width="5.5" style="16" customWidth="1"/>
    <col min="7941" max="7941" width="9.5" style="16" customWidth="1"/>
    <col min="7942" max="7942" width="5.19921875" style="16" customWidth="1"/>
    <col min="7943" max="7943" width="10.59765625" style="16" customWidth="1"/>
    <col min="7944" max="7944" width="7.59765625" style="16" customWidth="1"/>
    <col min="7945" max="8184" width="0" style="16" hidden="1" customWidth="1"/>
    <col min="8185" max="8185" width="8.09765625" style="16" customWidth="1"/>
    <col min="8186" max="8186" width="3" style="16" customWidth="1"/>
    <col min="8187" max="8187" width="5.5" style="16" customWidth="1"/>
    <col min="8188" max="8188" width="3.5" style="16" customWidth="1"/>
    <col min="8189" max="8189" width="7.5" style="16" customWidth="1"/>
    <col min="8190" max="8190" width="9.765625E-2" style="16" customWidth="1"/>
    <col min="8191" max="8191" width="0.5" style="16" customWidth="1"/>
    <col min="8192" max="8192" width="36.09765625" style="16"/>
    <col min="8193" max="8193" width="3.59765625" style="16" customWidth="1"/>
    <col min="8194" max="8194" width="22.8984375" style="16" customWidth="1"/>
    <col min="8195" max="8195" width="4.5" style="16" customWidth="1"/>
    <col min="8196" max="8196" width="5.5" style="16" customWidth="1"/>
    <col min="8197" max="8197" width="9.5" style="16" customWidth="1"/>
    <col min="8198" max="8198" width="5.19921875" style="16" customWidth="1"/>
    <col min="8199" max="8199" width="10.59765625" style="16" customWidth="1"/>
    <col min="8200" max="8200" width="7.59765625" style="16" customWidth="1"/>
    <col min="8201" max="8440" width="0" style="16" hidden="1" customWidth="1"/>
    <col min="8441" max="8441" width="8.09765625" style="16" customWidth="1"/>
    <col min="8442" max="8442" width="3" style="16" customWidth="1"/>
    <col min="8443" max="8443" width="5.5" style="16" customWidth="1"/>
    <col min="8444" max="8444" width="3.5" style="16" customWidth="1"/>
    <col min="8445" max="8445" width="7.5" style="16" customWidth="1"/>
    <col min="8446" max="8446" width="9.765625E-2" style="16" customWidth="1"/>
    <col min="8447" max="8447" width="0.5" style="16" customWidth="1"/>
    <col min="8448" max="8448" width="36.09765625" style="16"/>
    <col min="8449" max="8449" width="3.59765625" style="16" customWidth="1"/>
    <col min="8450" max="8450" width="22.8984375" style="16" customWidth="1"/>
    <col min="8451" max="8451" width="4.5" style="16" customWidth="1"/>
    <col min="8452" max="8452" width="5.5" style="16" customWidth="1"/>
    <col min="8453" max="8453" width="9.5" style="16" customWidth="1"/>
    <col min="8454" max="8454" width="5.19921875" style="16" customWidth="1"/>
    <col min="8455" max="8455" width="10.59765625" style="16" customWidth="1"/>
    <col min="8456" max="8456" width="7.59765625" style="16" customWidth="1"/>
    <col min="8457" max="8696" width="0" style="16" hidden="1" customWidth="1"/>
    <col min="8697" max="8697" width="8.09765625" style="16" customWidth="1"/>
    <col min="8698" max="8698" width="3" style="16" customWidth="1"/>
    <col min="8699" max="8699" width="5.5" style="16" customWidth="1"/>
    <col min="8700" max="8700" width="3.5" style="16" customWidth="1"/>
    <col min="8701" max="8701" width="7.5" style="16" customWidth="1"/>
    <col min="8702" max="8702" width="9.765625E-2" style="16" customWidth="1"/>
    <col min="8703" max="8703" width="0.5" style="16" customWidth="1"/>
    <col min="8704" max="8704" width="36.09765625" style="16"/>
    <col min="8705" max="8705" width="3.59765625" style="16" customWidth="1"/>
    <col min="8706" max="8706" width="22.8984375" style="16" customWidth="1"/>
    <col min="8707" max="8707" width="4.5" style="16" customWidth="1"/>
    <col min="8708" max="8708" width="5.5" style="16" customWidth="1"/>
    <col min="8709" max="8709" width="9.5" style="16" customWidth="1"/>
    <col min="8710" max="8710" width="5.19921875" style="16" customWidth="1"/>
    <col min="8711" max="8711" width="10.59765625" style="16" customWidth="1"/>
    <col min="8712" max="8712" width="7.59765625" style="16" customWidth="1"/>
    <col min="8713" max="8952" width="0" style="16" hidden="1" customWidth="1"/>
    <col min="8953" max="8953" width="8.09765625" style="16" customWidth="1"/>
    <col min="8954" max="8954" width="3" style="16" customWidth="1"/>
    <col min="8955" max="8955" width="5.5" style="16" customWidth="1"/>
    <col min="8956" max="8956" width="3.5" style="16" customWidth="1"/>
    <col min="8957" max="8957" width="7.5" style="16" customWidth="1"/>
    <col min="8958" max="8958" width="9.765625E-2" style="16" customWidth="1"/>
    <col min="8959" max="8959" width="0.5" style="16" customWidth="1"/>
    <col min="8960" max="8960" width="36.09765625" style="16"/>
    <col min="8961" max="8961" width="3.59765625" style="16" customWidth="1"/>
    <col min="8962" max="8962" width="22.8984375" style="16" customWidth="1"/>
    <col min="8963" max="8963" width="4.5" style="16" customWidth="1"/>
    <col min="8964" max="8964" width="5.5" style="16" customWidth="1"/>
    <col min="8965" max="8965" width="9.5" style="16" customWidth="1"/>
    <col min="8966" max="8966" width="5.19921875" style="16" customWidth="1"/>
    <col min="8967" max="8967" width="10.59765625" style="16" customWidth="1"/>
    <col min="8968" max="8968" width="7.59765625" style="16" customWidth="1"/>
    <col min="8969" max="9208" width="0" style="16" hidden="1" customWidth="1"/>
    <col min="9209" max="9209" width="8.09765625" style="16" customWidth="1"/>
    <col min="9210" max="9210" width="3" style="16" customWidth="1"/>
    <col min="9211" max="9211" width="5.5" style="16" customWidth="1"/>
    <col min="9212" max="9212" width="3.5" style="16" customWidth="1"/>
    <col min="9213" max="9213" width="7.5" style="16" customWidth="1"/>
    <col min="9214" max="9214" width="9.765625E-2" style="16" customWidth="1"/>
    <col min="9215" max="9215" width="0.5" style="16" customWidth="1"/>
    <col min="9216" max="9216" width="36.09765625" style="16"/>
    <col min="9217" max="9217" width="3.59765625" style="16" customWidth="1"/>
    <col min="9218" max="9218" width="22.8984375" style="16" customWidth="1"/>
    <col min="9219" max="9219" width="4.5" style="16" customWidth="1"/>
    <col min="9220" max="9220" width="5.5" style="16" customWidth="1"/>
    <col min="9221" max="9221" width="9.5" style="16" customWidth="1"/>
    <col min="9222" max="9222" width="5.19921875" style="16" customWidth="1"/>
    <col min="9223" max="9223" width="10.59765625" style="16" customWidth="1"/>
    <col min="9224" max="9224" width="7.59765625" style="16" customWidth="1"/>
    <col min="9225" max="9464" width="0" style="16" hidden="1" customWidth="1"/>
    <col min="9465" max="9465" width="8.09765625" style="16" customWidth="1"/>
    <col min="9466" max="9466" width="3" style="16" customWidth="1"/>
    <col min="9467" max="9467" width="5.5" style="16" customWidth="1"/>
    <col min="9468" max="9468" width="3.5" style="16" customWidth="1"/>
    <col min="9469" max="9469" width="7.5" style="16" customWidth="1"/>
    <col min="9470" max="9470" width="9.765625E-2" style="16" customWidth="1"/>
    <col min="9471" max="9471" width="0.5" style="16" customWidth="1"/>
    <col min="9472" max="9472" width="36.09765625" style="16"/>
    <col min="9473" max="9473" width="3.59765625" style="16" customWidth="1"/>
    <col min="9474" max="9474" width="22.8984375" style="16" customWidth="1"/>
    <col min="9475" max="9475" width="4.5" style="16" customWidth="1"/>
    <col min="9476" max="9476" width="5.5" style="16" customWidth="1"/>
    <col min="9477" max="9477" width="9.5" style="16" customWidth="1"/>
    <col min="9478" max="9478" width="5.19921875" style="16" customWidth="1"/>
    <col min="9479" max="9479" width="10.59765625" style="16" customWidth="1"/>
    <col min="9480" max="9480" width="7.59765625" style="16" customWidth="1"/>
    <col min="9481" max="9720" width="0" style="16" hidden="1" customWidth="1"/>
    <col min="9721" max="9721" width="8.09765625" style="16" customWidth="1"/>
    <col min="9722" max="9722" width="3" style="16" customWidth="1"/>
    <col min="9723" max="9723" width="5.5" style="16" customWidth="1"/>
    <col min="9724" max="9724" width="3.5" style="16" customWidth="1"/>
    <col min="9725" max="9725" width="7.5" style="16" customWidth="1"/>
    <col min="9726" max="9726" width="9.765625E-2" style="16" customWidth="1"/>
    <col min="9727" max="9727" width="0.5" style="16" customWidth="1"/>
    <col min="9728" max="9728" width="36.09765625" style="16"/>
    <col min="9729" max="9729" width="3.59765625" style="16" customWidth="1"/>
    <col min="9730" max="9730" width="22.8984375" style="16" customWidth="1"/>
    <col min="9731" max="9731" width="4.5" style="16" customWidth="1"/>
    <col min="9732" max="9732" width="5.5" style="16" customWidth="1"/>
    <col min="9733" max="9733" width="9.5" style="16" customWidth="1"/>
    <col min="9734" max="9734" width="5.19921875" style="16" customWidth="1"/>
    <col min="9735" max="9735" width="10.59765625" style="16" customWidth="1"/>
    <col min="9736" max="9736" width="7.59765625" style="16" customWidth="1"/>
    <col min="9737" max="9976" width="0" style="16" hidden="1" customWidth="1"/>
    <col min="9977" max="9977" width="8.09765625" style="16" customWidth="1"/>
    <col min="9978" max="9978" width="3" style="16" customWidth="1"/>
    <col min="9979" max="9979" width="5.5" style="16" customWidth="1"/>
    <col min="9980" max="9980" width="3.5" style="16" customWidth="1"/>
    <col min="9981" max="9981" width="7.5" style="16" customWidth="1"/>
    <col min="9982" max="9982" width="9.765625E-2" style="16" customWidth="1"/>
    <col min="9983" max="9983" width="0.5" style="16" customWidth="1"/>
    <col min="9984" max="9984" width="36.09765625" style="16"/>
    <col min="9985" max="9985" width="3.59765625" style="16" customWidth="1"/>
    <col min="9986" max="9986" width="22.8984375" style="16" customWidth="1"/>
    <col min="9987" max="9987" width="4.5" style="16" customWidth="1"/>
    <col min="9988" max="9988" width="5.5" style="16" customWidth="1"/>
    <col min="9989" max="9989" width="9.5" style="16" customWidth="1"/>
    <col min="9990" max="9990" width="5.19921875" style="16" customWidth="1"/>
    <col min="9991" max="9991" width="10.59765625" style="16" customWidth="1"/>
    <col min="9992" max="9992" width="7.59765625" style="16" customWidth="1"/>
    <col min="9993" max="10232" width="0" style="16" hidden="1" customWidth="1"/>
    <col min="10233" max="10233" width="8.09765625" style="16" customWidth="1"/>
    <col min="10234" max="10234" width="3" style="16" customWidth="1"/>
    <col min="10235" max="10235" width="5.5" style="16" customWidth="1"/>
    <col min="10236" max="10236" width="3.5" style="16" customWidth="1"/>
    <col min="10237" max="10237" width="7.5" style="16" customWidth="1"/>
    <col min="10238" max="10238" width="9.765625E-2" style="16" customWidth="1"/>
    <col min="10239" max="10239" width="0.5" style="16" customWidth="1"/>
    <col min="10240" max="10240" width="36.09765625" style="16"/>
    <col min="10241" max="10241" width="3.59765625" style="16" customWidth="1"/>
    <col min="10242" max="10242" width="22.8984375" style="16" customWidth="1"/>
    <col min="10243" max="10243" width="4.5" style="16" customWidth="1"/>
    <col min="10244" max="10244" width="5.5" style="16" customWidth="1"/>
    <col min="10245" max="10245" width="9.5" style="16" customWidth="1"/>
    <col min="10246" max="10246" width="5.19921875" style="16" customWidth="1"/>
    <col min="10247" max="10247" width="10.59765625" style="16" customWidth="1"/>
    <col min="10248" max="10248" width="7.59765625" style="16" customWidth="1"/>
    <col min="10249" max="10488" width="0" style="16" hidden="1" customWidth="1"/>
    <col min="10489" max="10489" width="8.09765625" style="16" customWidth="1"/>
    <col min="10490" max="10490" width="3" style="16" customWidth="1"/>
    <col min="10491" max="10491" width="5.5" style="16" customWidth="1"/>
    <col min="10492" max="10492" width="3.5" style="16" customWidth="1"/>
    <col min="10493" max="10493" width="7.5" style="16" customWidth="1"/>
    <col min="10494" max="10494" width="9.765625E-2" style="16" customWidth="1"/>
    <col min="10495" max="10495" width="0.5" style="16" customWidth="1"/>
    <col min="10496" max="10496" width="36.09765625" style="16"/>
    <col min="10497" max="10497" width="3.59765625" style="16" customWidth="1"/>
    <col min="10498" max="10498" width="22.8984375" style="16" customWidth="1"/>
    <col min="10499" max="10499" width="4.5" style="16" customWidth="1"/>
    <col min="10500" max="10500" width="5.5" style="16" customWidth="1"/>
    <col min="10501" max="10501" width="9.5" style="16" customWidth="1"/>
    <col min="10502" max="10502" width="5.19921875" style="16" customWidth="1"/>
    <col min="10503" max="10503" width="10.59765625" style="16" customWidth="1"/>
    <col min="10504" max="10504" width="7.59765625" style="16" customWidth="1"/>
    <col min="10505" max="10744" width="0" style="16" hidden="1" customWidth="1"/>
    <col min="10745" max="10745" width="8.09765625" style="16" customWidth="1"/>
    <col min="10746" max="10746" width="3" style="16" customWidth="1"/>
    <col min="10747" max="10747" width="5.5" style="16" customWidth="1"/>
    <col min="10748" max="10748" width="3.5" style="16" customWidth="1"/>
    <col min="10749" max="10749" width="7.5" style="16" customWidth="1"/>
    <col min="10750" max="10750" width="9.765625E-2" style="16" customWidth="1"/>
    <col min="10751" max="10751" width="0.5" style="16" customWidth="1"/>
    <col min="10752" max="10752" width="36.09765625" style="16"/>
    <col min="10753" max="10753" width="3.59765625" style="16" customWidth="1"/>
    <col min="10754" max="10754" width="22.8984375" style="16" customWidth="1"/>
    <col min="10755" max="10755" width="4.5" style="16" customWidth="1"/>
    <col min="10756" max="10756" width="5.5" style="16" customWidth="1"/>
    <col min="10757" max="10757" width="9.5" style="16" customWidth="1"/>
    <col min="10758" max="10758" width="5.19921875" style="16" customWidth="1"/>
    <col min="10759" max="10759" width="10.59765625" style="16" customWidth="1"/>
    <col min="10760" max="10760" width="7.59765625" style="16" customWidth="1"/>
    <col min="10761" max="11000" width="0" style="16" hidden="1" customWidth="1"/>
    <col min="11001" max="11001" width="8.09765625" style="16" customWidth="1"/>
    <col min="11002" max="11002" width="3" style="16" customWidth="1"/>
    <col min="11003" max="11003" width="5.5" style="16" customWidth="1"/>
    <col min="11004" max="11004" width="3.5" style="16" customWidth="1"/>
    <col min="11005" max="11005" width="7.5" style="16" customWidth="1"/>
    <col min="11006" max="11006" width="9.765625E-2" style="16" customWidth="1"/>
    <col min="11007" max="11007" width="0.5" style="16" customWidth="1"/>
    <col min="11008" max="11008" width="36.09765625" style="16"/>
    <col min="11009" max="11009" width="3.59765625" style="16" customWidth="1"/>
    <col min="11010" max="11010" width="22.8984375" style="16" customWidth="1"/>
    <col min="11011" max="11011" width="4.5" style="16" customWidth="1"/>
    <col min="11012" max="11012" width="5.5" style="16" customWidth="1"/>
    <col min="11013" max="11013" width="9.5" style="16" customWidth="1"/>
    <col min="11014" max="11014" width="5.19921875" style="16" customWidth="1"/>
    <col min="11015" max="11015" width="10.59765625" style="16" customWidth="1"/>
    <col min="11016" max="11016" width="7.59765625" style="16" customWidth="1"/>
    <col min="11017" max="11256" width="0" style="16" hidden="1" customWidth="1"/>
    <col min="11257" max="11257" width="8.09765625" style="16" customWidth="1"/>
    <col min="11258" max="11258" width="3" style="16" customWidth="1"/>
    <col min="11259" max="11259" width="5.5" style="16" customWidth="1"/>
    <col min="11260" max="11260" width="3.5" style="16" customWidth="1"/>
    <col min="11261" max="11261" width="7.5" style="16" customWidth="1"/>
    <col min="11262" max="11262" width="9.765625E-2" style="16" customWidth="1"/>
    <col min="11263" max="11263" width="0.5" style="16" customWidth="1"/>
    <col min="11264" max="11264" width="36.09765625" style="16"/>
    <col min="11265" max="11265" width="3.59765625" style="16" customWidth="1"/>
    <col min="11266" max="11266" width="22.8984375" style="16" customWidth="1"/>
    <col min="11267" max="11267" width="4.5" style="16" customWidth="1"/>
    <col min="11268" max="11268" width="5.5" style="16" customWidth="1"/>
    <col min="11269" max="11269" width="9.5" style="16" customWidth="1"/>
    <col min="11270" max="11270" width="5.19921875" style="16" customWidth="1"/>
    <col min="11271" max="11271" width="10.59765625" style="16" customWidth="1"/>
    <col min="11272" max="11272" width="7.59765625" style="16" customWidth="1"/>
    <col min="11273" max="11512" width="0" style="16" hidden="1" customWidth="1"/>
    <col min="11513" max="11513" width="8.09765625" style="16" customWidth="1"/>
    <col min="11514" max="11514" width="3" style="16" customWidth="1"/>
    <col min="11515" max="11515" width="5.5" style="16" customWidth="1"/>
    <col min="11516" max="11516" width="3.5" style="16" customWidth="1"/>
    <col min="11517" max="11517" width="7.5" style="16" customWidth="1"/>
    <col min="11518" max="11518" width="9.765625E-2" style="16" customWidth="1"/>
    <col min="11519" max="11519" width="0.5" style="16" customWidth="1"/>
    <col min="11520" max="11520" width="36.09765625" style="16"/>
    <col min="11521" max="11521" width="3.59765625" style="16" customWidth="1"/>
    <col min="11522" max="11522" width="22.8984375" style="16" customWidth="1"/>
    <col min="11523" max="11523" width="4.5" style="16" customWidth="1"/>
    <col min="11524" max="11524" width="5.5" style="16" customWidth="1"/>
    <col min="11525" max="11525" width="9.5" style="16" customWidth="1"/>
    <col min="11526" max="11526" width="5.19921875" style="16" customWidth="1"/>
    <col min="11527" max="11527" width="10.59765625" style="16" customWidth="1"/>
    <col min="11528" max="11528" width="7.59765625" style="16" customWidth="1"/>
    <col min="11529" max="11768" width="0" style="16" hidden="1" customWidth="1"/>
    <col min="11769" max="11769" width="8.09765625" style="16" customWidth="1"/>
    <col min="11770" max="11770" width="3" style="16" customWidth="1"/>
    <col min="11771" max="11771" width="5.5" style="16" customWidth="1"/>
    <col min="11772" max="11772" width="3.5" style="16" customWidth="1"/>
    <col min="11773" max="11773" width="7.5" style="16" customWidth="1"/>
    <col min="11774" max="11774" width="9.765625E-2" style="16" customWidth="1"/>
    <col min="11775" max="11775" width="0.5" style="16" customWidth="1"/>
    <col min="11776" max="11776" width="36.09765625" style="16"/>
    <col min="11777" max="11777" width="3.59765625" style="16" customWidth="1"/>
    <col min="11778" max="11778" width="22.8984375" style="16" customWidth="1"/>
    <col min="11779" max="11779" width="4.5" style="16" customWidth="1"/>
    <col min="11780" max="11780" width="5.5" style="16" customWidth="1"/>
    <col min="11781" max="11781" width="9.5" style="16" customWidth="1"/>
    <col min="11782" max="11782" width="5.19921875" style="16" customWidth="1"/>
    <col min="11783" max="11783" width="10.59765625" style="16" customWidth="1"/>
    <col min="11784" max="11784" width="7.59765625" style="16" customWidth="1"/>
    <col min="11785" max="12024" width="0" style="16" hidden="1" customWidth="1"/>
    <col min="12025" max="12025" width="8.09765625" style="16" customWidth="1"/>
    <col min="12026" max="12026" width="3" style="16" customWidth="1"/>
    <col min="12027" max="12027" width="5.5" style="16" customWidth="1"/>
    <col min="12028" max="12028" width="3.5" style="16" customWidth="1"/>
    <col min="12029" max="12029" width="7.5" style="16" customWidth="1"/>
    <col min="12030" max="12030" width="9.765625E-2" style="16" customWidth="1"/>
    <col min="12031" max="12031" width="0.5" style="16" customWidth="1"/>
    <col min="12032" max="12032" width="36.09765625" style="16"/>
    <col min="12033" max="12033" width="3.59765625" style="16" customWidth="1"/>
    <col min="12034" max="12034" width="22.8984375" style="16" customWidth="1"/>
    <col min="12035" max="12035" width="4.5" style="16" customWidth="1"/>
    <col min="12036" max="12036" width="5.5" style="16" customWidth="1"/>
    <col min="12037" max="12037" width="9.5" style="16" customWidth="1"/>
    <col min="12038" max="12038" width="5.19921875" style="16" customWidth="1"/>
    <col min="12039" max="12039" width="10.59765625" style="16" customWidth="1"/>
    <col min="12040" max="12040" width="7.59765625" style="16" customWidth="1"/>
    <col min="12041" max="12280" width="0" style="16" hidden="1" customWidth="1"/>
    <col min="12281" max="12281" width="8.09765625" style="16" customWidth="1"/>
    <col min="12282" max="12282" width="3" style="16" customWidth="1"/>
    <col min="12283" max="12283" width="5.5" style="16" customWidth="1"/>
    <col min="12284" max="12284" width="3.5" style="16" customWidth="1"/>
    <col min="12285" max="12285" width="7.5" style="16" customWidth="1"/>
    <col min="12286" max="12286" width="9.765625E-2" style="16" customWidth="1"/>
    <col min="12287" max="12287" width="0.5" style="16" customWidth="1"/>
    <col min="12288" max="12288" width="36.09765625" style="16"/>
    <col min="12289" max="12289" width="3.59765625" style="16" customWidth="1"/>
    <col min="12290" max="12290" width="22.8984375" style="16" customWidth="1"/>
    <col min="12291" max="12291" width="4.5" style="16" customWidth="1"/>
    <col min="12292" max="12292" width="5.5" style="16" customWidth="1"/>
    <col min="12293" max="12293" width="9.5" style="16" customWidth="1"/>
    <col min="12294" max="12294" width="5.19921875" style="16" customWidth="1"/>
    <col min="12295" max="12295" width="10.59765625" style="16" customWidth="1"/>
    <col min="12296" max="12296" width="7.59765625" style="16" customWidth="1"/>
    <col min="12297" max="12536" width="0" style="16" hidden="1" customWidth="1"/>
    <col min="12537" max="12537" width="8.09765625" style="16" customWidth="1"/>
    <col min="12538" max="12538" width="3" style="16" customWidth="1"/>
    <col min="12539" max="12539" width="5.5" style="16" customWidth="1"/>
    <col min="12540" max="12540" width="3.5" style="16" customWidth="1"/>
    <col min="12541" max="12541" width="7.5" style="16" customWidth="1"/>
    <col min="12542" max="12542" width="9.765625E-2" style="16" customWidth="1"/>
    <col min="12543" max="12543" width="0.5" style="16" customWidth="1"/>
    <col min="12544" max="12544" width="36.09765625" style="16"/>
    <col min="12545" max="12545" width="3.59765625" style="16" customWidth="1"/>
    <col min="12546" max="12546" width="22.8984375" style="16" customWidth="1"/>
    <col min="12547" max="12547" width="4.5" style="16" customWidth="1"/>
    <col min="12548" max="12548" width="5.5" style="16" customWidth="1"/>
    <col min="12549" max="12549" width="9.5" style="16" customWidth="1"/>
    <col min="12550" max="12550" width="5.19921875" style="16" customWidth="1"/>
    <col min="12551" max="12551" width="10.59765625" style="16" customWidth="1"/>
    <col min="12552" max="12552" width="7.59765625" style="16" customWidth="1"/>
    <col min="12553" max="12792" width="0" style="16" hidden="1" customWidth="1"/>
    <col min="12793" max="12793" width="8.09765625" style="16" customWidth="1"/>
    <col min="12794" max="12794" width="3" style="16" customWidth="1"/>
    <col min="12795" max="12795" width="5.5" style="16" customWidth="1"/>
    <col min="12796" max="12796" width="3.5" style="16" customWidth="1"/>
    <col min="12797" max="12797" width="7.5" style="16" customWidth="1"/>
    <col min="12798" max="12798" width="9.765625E-2" style="16" customWidth="1"/>
    <col min="12799" max="12799" width="0.5" style="16" customWidth="1"/>
    <col min="12800" max="12800" width="36.09765625" style="16"/>
    <col min="12801" max="12801" width="3.59765625" style="16" customWidth="1"/>
    <col min="12802" max="12802" width="22.8984375" style="16" customWidth="1"/>
    <col min="12803" max="12803" width="4.5" style="16" customWidth="1"/>
    <col min="12804" max="12804" width="5.5" style="16" customWidth="1"/>
    <col min="12805" max="12805" width="9.5" style="16" customWidth="1"/>
    <col min="12806" max="12806" width="5.19921875" style="16" customWidth="1"/>
    <col min="12807" max="12807" width="10.59765625" style="16" customWidth="1"/>
    <col min="12808" max="12808" width="7.59765625" style="16" customWidth="1"/>
    <col min="12809" max="13048" width="0" style="16" hidden="1" customWidth="1"/>
    <col min="13049" max="13049" width="8.09765625" style="16" customWidth="1"/>
    <col min="13050" max="13050" width="3" style="16" customWidth="1"/>
    <col min="13051" max="13051" width="5.5" style="16" customWidth="1"/>
    <col min="13052" max="13052" width="3.5" style="16" customWidth="1"/>
    <col min="13053" max="13053" width="7.5" style="16" customWidth="1"/>
    <col min="13054" max="13054" width="9.765625E-2" style="16" customWidth="1"/>
    <col min="13055" max="13055" width="0.5" style="16" customWidth="1"/>
    <col min="13056" max="13056" width="36.09765625" style="16"/>
    <col min="13057" max="13057" width="3.59765625" style="16" customWidth="1"/>
    <col min="13058" max="13058" width="22.8984375" style="16" customWidth="1"/>
    <col min="13059" max="13059" width="4.5" style="16" customWidth="1"/>
    <col min="13060" max="13060" width="5.5" style="16" customWidth="1"/>
    <col min="13061" max="13061" width="9.5" style="16" customWidth="1"/>
    <col min="13062" max="13062" width="5.19921875" style="16" customWidth="1"/>
    <col min="13063" max="13063" width="10.59765625" style="16" customWidth="1"/>
    <col min="13064" max="13064" width="7.59765625" style="16" customWidth="1"/>
    <col min="13065" max="13304" width="0" style="16" hidden="1" customWidth="1"/>
    <col min="13305" max="13305" width="8.09765625" style="16" customWidth="1"/>
    <col min="13306" max="13306" width="3" style="16" customWidth="1"/>
    <col min="13307" max="13307" width="5.5" style="16" customWidth="1"/>
    <col min="13308" max="13308" width="3.5" style="16" customWidth="1"/>
    <col min="13309" max="13309" width="7.5" style="16" customWidth="1"/>
    <col min="13310" max="13310" width="9.765625E-2" style="16" customWidth="1"/>
    <col min="13311" max="13311" width="0.5" style="16" customWidth="1"/>
    <col min="13312" max="13312" width="36.09765625" style="16"/>
    <col min="13313" max="13313" width="3.59765625" style="16" customWidth="1"/>
    <col min="13314" max="13314" width="22.8984375" style="16" customWidth="1"/>
    <col min="13315" max="13315" width="4.5" style="16" customWidth="1"/>
    <col min="13316" max="13316" width="5.5" style="16" customWidth="1"/>
    <col min="13317" max="13317" width="9.5" style="16" customWidth="1"/>
    <col min="13318" max="13318" width="5.19921875" style="16" customWidth="1"/>
    <col min="13319" max="13319" width="10.59765625" style="16" customWidth="1"/>
    <col min="13320" max="13320" width="7.59765625" style="16" customWidth="1"/>
    <col min="13321" max="13560" width="0" style="16" hidden="1" customWidth="1"/>
    <col min="13561" max="13561" width="8.09765625" style="16" customWidth="1"/>
    <col min="13562" max="13562" width="3" style="16" customWidth="1"/>
    <col min="13563" max="13563" width="5.5" style="16" customWidth="1"/>
    <col min="13564" max="13564" width="3.5" style="16" customWidth="1"/>
    <col min="13565" max="13565" width="7.5" style="16" customWidth="1"/>
    <col min="13566" max="13566" width="9.765625E-2" style="16" customWidth="1"/>
    <col min="13567" max="13567" width="0.5" style="16" customWidth="1"/>
    <col min="13568" max="13568" width="36.09765625" style="16"/>
    <col min="13569" max="13569" width="3.59765625" style="16" customWidth="1"/>
    <col min="13570" max="13570" width="22.8984375" style="16" customWidth="1"/>
    <col min="13571" max="13571" width="4.5" style="16" customWidth="1"/>
    <col min="13572" max="13572" width="5.5" style="16" customWidth="1"/>
    <col min="13573" max="13573" width="9.5" style="16" customWidth="1"/>
    <col min="13574" max="13574" width="5.19921875" style="16" customWidth="1"/>
    <col min="13575" max="13575" width="10.59765625" style="16" customWidth="1"/>
    <col min="13576" max="13576" width="7.59765625" style="16" customWidth="1"/>
    <col min="13577" max="13816" width="0" style="16" hidden="1" customWidth="1"/>
    <col min="13817" max="13817" width="8.09765625" style="16" customWidth="1"/>
    <col min="13818" max="13818" width="3" style="16" customWidth="1"/>
    <col min="13819" max="13819" width="5.5" style="16" customWidth="1"/>
    <col min="13820" max="13820" width="3.5" style="16" customWidth="1"/>
    <col min="13821" max="13821" width="7.5" style="16" customWidth="1"/>
    <col min="13822" max="13822" width="9.765625E-2" style="16" customWidth="1"/>
    <col min="13823" max="13823" width="0.5" style="16" customWidth="1"/>
    <col min="13824" max="13824" width="36.09765625" style="16"/>
    <col min="13825" max="13825" width="3.59765625" style="16" customWidth="1"/>
    <col min="13826" max="13826" width="22.8984375" style="16" customWidth="1"/>
    <col min="13827" max="13827" width="4.5" style="16" customWidth="1"/>
    <col min="13828" max="13828" width="5.5" style="16" customWidth="1"/>
    <col min="13829" max="13829" width="9.5" style="16" customWidth="1"/>
    <col min="13830" max="13830" width="5.19921875" style="16" customWidth="1"/>
    <col min="13831" max="13831" width="10.59765625" style="16" customWidth="1"/>
    <col min="13832" max="13832" width="7.59765625" style="16" customWidth="1"/>
    <col min="13833" max="14072" width="0" style="16" hidden="1" customWidth="1"/>
    <col min="14073" max="14073" width="8.09765625" style="16" customWidth="1"/>
    <col min="14074" max="14074" width="3" style="16" customWidth="1"/>
    <col min="14075" max="14075" width="5.5" style="16" customWidth="1"/>
    <col min="14076" max="14076" width="3.5" style="16" customWidth="1"/>
    <col min="14077" max="14077" width="7.5" style="16" customWidth="1"/>
    <col min="14078" max="14078" width="9.765625E-2" style="16" customWidth="1"/>
    <col min="14079" max="14079" width="0.5" style="16" customWidth="1"/>
    <col min="14080" max="14080" width="36.09765625" style="16"/>
    <col min="14081" max="14081" width="3.59765625" style="16" customWidth="1"/>
    <col min="14082" max="14082" width="22.8984375" style="16" customWidth="1"/>
    <col min="14083" max="14083" width="4.5" style="16" customWidth="1"/>
    <col min="14084" max="14084" width="5.5" style="16" customWidth="1"/>
    <col min="14085" max="14085" width="9.5" style="16" customWidth="1"/>
    <col min="14086" max="14086" width="5.19921875" style="16" customWidth="1"/>
    <col min="14087" max="14087" width="10.59765625" style="16" customWidth="1"/>
    <col min="14088" max="14088" width="7.59765625" style="16" customWidth="1"/>
    <col min="14089" max="14328" width="0" style="16" hidden="1" customWidth="1"/>
    <col min="14329" max="14329" width="8.09765625" style="16" customWidth="1"/>
    <col min="14330" max="14330" width="3" style="16" customWidth="1"/>
    <col min="14331" max="14331" width="5.5" style="16" customWidth="1"/>
    <col min="14332" max="14332" width="3.5" style="16" customWidth="1"/>
    <col min="14333" max="14333" width="7.5" style="16" customWidth="1"/>
    <col min="14334" max="14334" width="9.765625E-2" style="16" customWidth="1"/>
    <col min="14335" max="14335" width="0.5" style="16" customWidth="1"/>
    <col min="14336" max="14336" width="36.09765625" style="16"/>
    <col min="14337" max="14337" width="3.59765625" style="16" customWidth="1"/>
    <col min="14338" max="14338" width="22.8984375" style="16" customWidth="1"/>
    <col min="14339" max="14339" width="4.5" style="16" customWidth="1"/>
    <col min="14340" max="14340" width="5.5" style="16" customWidth="1"/>
    <col min="14341" max="14341" width="9.5" style="16" customWidth="1"/>
    <col min="14342" max="14342" width="5.19921875" style="16" customWidth="1"/>
    <col min="14343" max="14343" width="10.59765625" style="16" customWidth="1"/>
    <col min="14344" max="14344" width="7.59765625" style="16" customWidth="1"/>
    <col min="14345" max="14584" width="0" style="16" hidden="1" customWidth="1"/>
    <col min="14585" max="14585" width="8.09765625" style="16" customWidth="1"/>
    <col min="14586" max="14586" width="3" style="16" customWidth="1"/>
    <col min="14587" max="14587" width="5.5" style="16" customWidth="1"/>
    <col min="14588" max="14588" width="3.5" style="16" customWidth="1"/>
    <col min="14589" max="14589" width="7.5" style="16" customWidth="1"/>
    <col min="14590" max="14590" width="9.765625E-2" style="16" customWidth="1"/>
    <col min="14591" max="14591" width="0.5" style="16" customWidth="1"/>
    <col min="14592" max="14592" width="36.09765625" style="16"/>
    <col min="14593" max="14593" width="3.59765625" style="16" customWidth="1"/>
    <col min="14594" max="14594" width="22.8984375" style="16" customWidth="1"/>
    <col min="14595" max="14595" width="4.5" style="16" customWidth="1"/>
    <col min="14596" max="14596" width="5.5" style="16" customWidth="1"/>
    <col min="14597" max="14597" width="9.5" style="16" customWidth="1"/>
    <col min="14598" max="14598" width="5.19921875" style="16" customWidth="1"/>
    <col min="14599" max="14599" width="10.59765625" style="16" customWidth="1"/>
    <col min="14600" max="14600" width="7.59765625" style="16" customWidth="1"/>
    <col min="14601" max="14840" width="0" style="16" hidden="1" customWidth="1"/>
    <col min="14841" max="14841" width="8.09765625" style="16" customWidth="1"/>
    <col min="14842" max="14842" width="3" style="16" customWidth="1"/>
    <col min="14843" max="14843" width="5.5" style="16" customWidth="1"/>
    <col min="14844" max="14844" width="3.5" style="16" customWidth="1"/>
    <col min="14845" max="14845" width="7.5" style="16" customWidth="1"/>
    <col min="14846" max="14846" width="9.765625E-2" style="16" customWidth="1"/>
    <col min="14847" max="14847" width="0.5" style="16" customWidth="1"/>
    <col min="14848" max="14848" width="36.09765625" style="16"/>
    <col min="14849" max="14849" width="3.59765625" style="16" customWidth="1"/>
    <col min="14850" max="14850" width="22.8984375" style="16" customWidth="1"/>
    <col min="14851" max="14851" width="4.5" style="16" customWidth="1"/>
    <col min="14852" max="14852" width="5.5" style="16" customWidth="1"/>
    <col min="14853" max="14853" width="9.5" style="16" customWidth="1"/>
    <col min="14854" max="14854" width="5.19921875" style="16" customWidth="1"/>
    <col min="14855" max="14855" width="10.59765625" style="16" customWidth="1"/>
    <col min="14856" max="14856" width="7.59765625" style="16" customWidth="1"/>
    <col min="14857" max="15096" width="0" style="16" hidden="1" customWidth="1"/>
    <col min="15097" max="15097" width="8.09765625" style="16" customWidth="1"/>
    <col min="15098" max="15098" width="3" style="16" customWidth="1"/>
    <col min="15099" max="15099" width="5.5" style="16" customWidth="1"/>
    <col min="15100" max="15100" width="3.5" style="16" customWidth="1"/>
    <col min="15101" max="15101" width="7.5" style="16" customWidth="1"/>
    <col min="15102" max="15102" width="9.765625E-2" style="16" customWidth="1"/>
    <col min="15103" max="15103" width="0.5" style="16" customWidth="1"/>
    <col min="15104" max="15104" width="36.09765625" style="16"/>
    <col min="15105" max="15105" width="3.59765625" style="16" customWidth="1"/>
    <col min="15106" max="15106" width="22.8984375" style="16" customWidth="1"/>
    <col min="15107" max="15107" width="4.5" style="16" customWidth="1"/>
    <col min="15108" max="15108" width="5.5" style="16" customWidth="1"/>
    <col min="15109" max="15109" width="9.5" style="16" customWidth="1"/>
    <col min="15110" max="15110" width="5.19921875" style="16" customWidth="1"/>
    <col min="15111" max="15111" width="10.59765625" style="16" customWidth="1"/>
    <col min="15112" max="15112" width="7.59765625" style="16" customWidth="1"/>
    <col min="15113" max="15352" width="0" style="16" hidden="1" customWidth="1"/>
    <col min="15353" max="15353" width="8.09765625" style="16" customWidth="1"/>
    <col min="15354" max="15354" width="3" style="16" customWidth="1"/>
    <col min="15355" max="15355" width="5.5" style="16" customWidth="1"/>
    <col min="15356" max="15356" width="3.5" style="16" customWidth="1"/>
    <col min="15357" max="15357" width="7.5" style="16" customWidth="1"/>
    <col min="15358" max="15358" width="9.765625E-2" style="16" customWidth="1"/>
    <col min="15359" max="15359" width="0.5" style="16" customWidth="1"/>
    <col min="15360" max="15360" width="36.09765625" style="16"/>
    <col min="15361" max="15361" width="3.59765625" style="16" customWidth="1"/>
    <col min="15362" max="15362" width="22.8984375" style="16" customWidth="1"/>
    <col min="15363" max="15363" width="4.5" style="16" customWidth="1"/>
    <col min="15364" max="15364" width="5.5" style="16" customWidth="1"/>
    <col min="15365" max="15365" width="9.5" style="16" customWidth="1"/>
    <col min="15366" max="15366" width="5.19921875" style="16" customWidth="1"/>
    <col min="15367" max="15367" width="10.59765625" style="16" customWidth="1"/>
    <col min="15368" max="15368" width="7.59765625" style="16" customWidth="1"/>
    <col min="15369" max="15608" width="0" style="16" hidden="1" customWidth="1"/>
    <col min="15609" max="15609" width="8.09765625" style="16" customWidth="1"/>
    <col min="15610" max="15610" width="3" style="16" customWidth="1"/>
    <col min="15611" max="15611" width="5.5" style="16" customWidth="1"/>
    <col min="15612" max="15612" width="3.5" style="16" customWidth="1"/>
    <col min="15613" max="15613" width="7.5" style="16" customWidth="1"/>
    <col min="15614" max="15614" width="9.765625E-2" style="16" customWidth="1"/>
    <col min="15615" max="15615" width="0.5" style="16" customWidth="1"/>
    <col min="15616" max="15616" width="36.09765625" style="16"/>
    <col min="15617" max="15617" width="3.59765625" style="16" customWidth="1"/>
    <col min="15618" max="15618" width="22.8984375" style="16" customWidth="1"/>
    <col min="15619" max="15619" width="4.5" style="16" customWidth="1"/>
    <col min="15620" max="15620" width="5.5" style="16" customWidth="1"/>
    <col min="15621" max="15621" width="9.5" style="16" customWidth="1"/>
    <col min="15622" max="15622" width="5.19921875" style="16" customWidth="1"/>
    <col min="15623" max="15623" width="10.59765625" style="16" customWidth="1"/>
    <col min="15624" max="15624" width="7.59765625" style="16" customWidth="1"/>
    <col min="15625" max="15864" width="0" style="16" hidden="1" customWidth="1"/>
    <col min="15865" max="15865" width="8.09765625" style="16" customWidth="1"/>
    <col min="15866" max="15866" width="3" style="16" customWidth="1"/>
    <col min="15867" max="15867" width="5.5" style="16" customWidth="1"/>
    <col min="15868" max="15868" width="3.5" style="16" customWidth="1"/>
    <col min="15869" max="15869" width="7.5" style="16" customWidth="1"/>
    <col min="15870" max="15870" width="9.765625E-2" style="16" customWidth="1"/>
    <col min="15871" max="15871" width="0.5" style="16" customWidth="1"/>
    <col min="15872" max="15872" width="36.09765625" style="16"/>
    <col min="15873" max="15873" width="3.59765625" style="16" customWidth="1"/>
    <col min="15874" max="15874" width="22.8984375" style="16" customWidth="1"/>
    <col min="15875" max="15875" width="4.5" style="16" customWidth="1"/>
    <col min="15876" max="15876" width="5.5" style="16" customWidth="1"/>
    <col min="15877" max="15877" width="9.5" style="16" customWidth="1"/>
    <col min="15878" max="15878" width="5.19921875" style="16" customWidth="1"/>
    <col min="15879" max="15879" width="10.59765625" style="16" customWidth="1"/>
    <col min="15880" max="15880" width="7.59765625" style="16" customWidth="1"/>
    <col min="15881" max="16120" width="0" style="16" hidden="1" customWidth="1"/>
    <col min="16121" max="16121" width="8.09765625" style="16" customWidth="1"/>
    <col min="16122" max="16122" width="3" style="16" customWidth="1"/>
    <col min="16123" max="16123" width="5.5" style="16" customWidth="1"/>
    <col min="16124" max="16124" width="3.5" style="16" customWidth="1"/>
    <col min="16125" max="16125" width="7.5" style="16" customWidth="1"/>
    <col min="16126" max="16126" width="9.765625E-2" style="16" customWidth="1"/>
    <col min="16127" max="16127" width="0.5" style="16" customWidth="1"/>
    <col min="16128" max="16128" width="36.09765625" style="16"/>
    <col min="16129" max="16129" width="3.59765625" style="16" customWidth="1"/>
    <col min="16130" max="16130" width="22.8984375" style="16" customWidth="1"/>
    <col min="16131" max="16131" width="4.5" style="16" customWidth="1"/>
    <col min="16132" max="16132" width="5.5" style="16" customWidth="1"/>
    <col min="16133" max="16133" width="9.5" style="16" customWidth="1"/>
    <col min="16134" max="16134" width="5.19921875" style="16" customWidth="1"/>
    <col min="16135" max="16135" width="10.59765625" style="16" customWidth="1"/>
    <col min="16136" max="16136" width="7.59765625" style="16" customWidth="1"/>
    <col min="16137" max="16376" width="0" style="16" hidden="1" customWidth="1"/>
    <col min="16377" max="16377" width="8.09765625" style="16" customWidth="1"/>
    <col min="16378" max="16378" width="3" style="16" customWidth="1"/>
    <col min="16379" max="16379" width="5.5" style="16" customWidth="1"/>
    <col min="16380" max="16380" width="3.5" style="16" customWidth="1"/>
    <col min="16381" max="16381" width="7.5" style="16" customWidth="1"/>
    <col min="16382" max="16382" width="9.765625E-2" style="16" customWidth="1"/>
    <col min="16383" max="16383" width="0.5" style="16" customWidth="1"/>
    <col min="16384" max="16384" width="36.0976562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2269</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2270</v>
      </c>
      <c r="C13" s="425"/>
      <c r="D13" s="425"/>
      <c r="E13" s="425"/>
      <c r="F13" s="425"/>
      <c r="G13" s="73">
        <f>G14</f>
        <v>146320000</v>
      </c>
      <c r="H13" s="74"/>
    </row>
    <row r="14" spans="1:8" s="12" customFormat="1" ht="40.5" customHeight="1">
      <c r="A14" s="212"/>
      <c r="B14" s="226" t="s">
        <v>1757</v>
      </c>
      <c r="C14" s="269" t="s">
        <v>1753</v>
      </c>
      <c r="D14" s="270">
        <v>12.4</v>
      </c>
      <c r="E14" s="214">
        <v>11800000</v>
      </c>
      <c r="F14" s="213">
        <v>1</v>
      </c>
      <c r="G14" s="225">
        <f>D14*E14*F14</f>
        <v>146320000</v>
      </c>
      <c r="H14" s="216"/>
    </row>
    <row r="15" spans="1:8" ht="27" customHeight="1">
      <c r="A15" s="75" t="s">
        <v>18</v>
      </c>
      <c r="B15" s="426" t="s">
        <v>1725</v>
      </c>
      <c r="C15" s="426"/>
      <c r="D15" s="426"/>
      <c r="E15" s="426"/>
      <c r="F15" s="426"/>
      <c r="G15" s="76">
        <f>SUM(G16:G23)</f>
        <v>19301917.737500001</v>
      </c>
      <c r="H15" s="11"/>
    </row>
    <row r="16" spans="1:8" ht="31.2">
      <c r="A16" s="77">
        <v>1</v>
      </c>
      <c r="B16" s="78" t="s">
        <v>2271</v>
      </c>
      <c r="C16" s="14" t="s">
        <v>1754</v>
      </c>
      <c r="D16" s="132">
        <f>6.5*1*0.22</f>
        <v>1.43</v>
      </c>
      <c r="E16" s="15">
        <v>1919493</v>
      </c>
      <c r="F16" s="14">
        <v>1</v>
      </c>
      <c r="G16" s="79">
        <f t="shared" ref="G16:G23" si="0">D16*E16*F16</f>
        <v>2744874.9899999998</v>
      </c>
      <c r="H16" s="15"/>
    </row>
    <row r="17" spans="1:8" ht="15.6">
      <c r="A17" s="77"/>
      <c r="B17" s="78" t="s">
        <v>2272</v>
      </c>
      <c r="C17" s="14" t="s">
        <v>66</v>
      </c>
      <c r="D17" s="132">
        <f>6.5*1*2</f>
        <v>13</v>
      </c>
      <c r="E17" s="15">
        <v>141099</v>
      </c>
      <c r="F17" s="14">
        <v>1</v>
      </c>
      <c r="G17" s="79">
        <f t="shared" si="0"/>
        <v>1834287</v>
      </c>
      <c r="H17" s="15"/>
    </row>
    <row r="18" spans="1:8" ht="31.2">
      <c r="A18" s="77">
        <v>2</v>
      </c>
      <c r="B18" s="78" t="s">
        <v>2273</v>
      </c>
      <c r="C18" s="14" t="s">
        <v>1754</v>
      </c>
      <c r="D18" s="132">
        <f>(0.45*0.45*3)*2</f>
        <v>1.2150000000000001</v>
      </c>
      <c r="E18" s="15">
        <v>2623803</v>
      </c>
      <c r="F18" s="14">
        <v>1</v>
      </c>
      <c r="G18" s="79">
        <f t="shared" si="0"/>
        <v>3187920.645</v>
      </c>
      <c r="H18" s="15"/>
    </row>
    <row r="19" spans="1:8" ht="15.6">
      <c r="A19" s="77"/>
      <c r="B19" s="78" t="s">
        <v>2274</v>
      </c>
      <c r="C19" s="14" t="s">
        <v>66</v>
      </c>
      <c r="D19" s="132">
        <f>(0.45*3)*4*2</f>
        <v>10.8</v>
      </c>
      <c r="E19" s="15">
        <v>250492</v>
      </c>
      <c r="F19" s="14">
        <v>1</v>
      </c>
      <c r="G19" s="79">
        <f t="shared" si="0"/>
        <v>2705313.6</v>
      </c>
      <c r="H19" s="15"/>
    </row>
    <row r="20" spans="1:8" ht="31.2">
      <c r="A20" s="77">
        <v>3</v>
      </c>
      <c r="B20" s="78" t="s">
        <v>2275</v>
      </c>
      <c r="C20" s="14" t="s">
        <v>1754</v>
      </c>
      <c r="D20" s="132">
        <f>0.5*1.5*0.11</f>
        <v>8.2500000000000004E-2</v>
      </c>
      <c r="E20" s="15">
        <v>2126713</v>
      </c>
      <c r="F20" s="14">
        <v>1</v>
      </c>
      <c r="G20" s="79">
        <f t="shared" si="0"/>
        <v>175453.82250000001</v>
      </c>
      <c r="H20" s="15"/>
    </row>
    <row r="21" spans="1:8" ht="15.6">
      <c r="A21" s="77">
        <v>4</v>
      </c>
      <c r="B21" s="78" t="s">
        <v>2276</v>
      </c>
      <c r="C21" s="14" t="s">
        <v>66</v>
      </c>
      <c r="D21" s="132">
        <f>0.9*6.5</f>
        <v>5.8500000000000005</v>
      </c>
      <c r="E21" s="15">
        <v>550000</v>
      </c>
      <c r="F21" s="14">
        <v>1</v>
      </c>
      <c r="G21" s="79">
        <f t="shared" si="0"/>
        <v>3217500.0000000005</v>
      </c>
      <c r="H21" s="15"/>
    </row>
    <row r="22" spans="1:8" ht="15.6">
      <c r="A22" s="77">
        <v>5</v>
      </c>
      <c r="B22" s="78" t="s">
        <v>2277</v>
      </c>
      <c r="C22" s="14" t="s">
        <v>66</v>
      </c>
      <c r="D22" s="132">
        <f>2.2*3.2</f>
        <v>7.0400000000000009</v>
      </c>
      <c r="E22" s="15">
        <v>550000</v>
      </c>
      <c r="F22" s="14">
        <v>1</v>
      </c>
      <c r="G22" s="79">
        <f t="shared" si="0"/>
        <v>3872000.0000000005</v>
      </c>
      <c r="H22" s="15"/>
    </row>
    <row r="23" spans="1:8" ht="15.6">
      <c r="A23" s="77">
        <v>6</v>
      </c>
      <c r="B23" s="78" t="s">
        <v>2278</v>
      </c>
      <c r="C23" s="14" t="s">
        <v>1754</v>
      </c>
      <c r="D23" s="132">
        <f>8*1.2*0.1</f>
        <v>0.96</v>
      </c>
      <c r="E23" s="15">
        <v>1629758</v>
      </c>
      <c r="F23" s="14">
        <v>1</v>
      </c>
      <c r="G23" s="79">
        <f t="shared" si="0"/>
        <v>1564567.68</v>
      </c>
      <c r="H23" s="15"/>
    </row>
    <row r="24" spans="1:8" ht="24" customHeight="1">
      <c r="A24" s="75" t="s">
        <v>19</v>
      </c>
      <c r="B24" s="426" t="s">
        <v>1727</v>
      </c>
      <c r="C24" s="426"/>
      <c r="D24" s="426"/>
      <c r="E24" s="426"/>
      <c r="F24" s="426"/>
      <c r="G24" s="76">
        <f>SUM(G25:G29)</f>
        <v>2100600</v>
      </c>
      <c r="H24" s="11"/>
    </row>
    <row r="25" spans="1:8" s="12" customFormat="1" ht="34.200000000000003" customHeight="1">
      <c r="A25" s="94">
        <v>1</v>
      </c>
      <c r="B25" s="271" t="s">
        <v>201</v>
      </c>
      <c r="C25" s="14" t="s">
        <v>1724</v>
      </c>
      <c r="D25" s="14">
        <v>1</v>
      </c>
      <c r="E25" s="79">
        <f>VLOOKUP(B25,'[20]Đơn giá cây cối'!$A$2:$C$1361,3,0)</f>
        <v>1120000</v>
      </c>
      <c r="F25" s="14">
        <v>1</v>
      </c>
      <c r="G25" s="79">
        <f>D25*E25*F25</f>
        <v>1120000</v>
      </c>
      <c r="H25" s="95"/>
    </row>
    <row r="26" spans="1:8" s="12" customFormat="1" ht="34.200000000000003" customHeight="1">
      <c r="A26" s="94">
        <v>2</v>
      </c>
      <c r="B26" s="271" t="s">
        <v>1398</v>
      </c>
      <c r="C26" s="14" t="s">
        <v>1724</v>
      </c>
      <c r="D26" s="14">
        <v>1</v>
      </c>
      <c r="E26" s="79" t="str">
        <f>VLOOKUP(B26,'[20]Đơn giá cây cối'!$A$2:$C$1361,3,0)</f>
        <v>700.000</v>
      </c>
      <c r="F26" s="14">
        <v>1</v>
      </c>
      <c r="G26" s="79">
        <f t="shared" ref="G26:G29" si="1">D26*E26*F26</f>
        <v>700000</v>
      </c>
      <c r="H26" s="95"/>
    </row>
    <row r="27" spans="1:8" s="12" customFormat="1" ht="34.200000000000003" customHeight="1">
      <c r="A27" s="94">
        <v>3</v>
      </c>
      <c r="B27" s="272" t="s">
        <v>1436</v>
      </c>
      <c r="C27" s="14" t="s">
        <v>1724</v>
      </c>
      <c r="D27" s="14">
        <v>1</v>
      </c>
      <c r="E27" s="79" t="str">
        <f>VLOOKUP(B27,'[20]Đơn giá cây cối'!$A$2:$C$1361,3,0)</f>
        <v>62.000</v>
      </c>
      <c r="F27" s="14">
        <v>1</v>
      </c>
      <c r="G27" s="79">
        <f t="shared" si="1"/>
        <v>62000</v>
      </c>
      <c r="H27" s="95"/>
    </row>
    <row r="28" spans="1:8" s="12" customFormat="1" ht="34.200000000000003" customHeight="1">
      <c r="A28" s="94">
        <v>4</v>
      </c>
      <c r="B28" s="272" t="s">
        <v>168</v>
      </c>
      <c r="C28" s="14" t="s">
        <v>66</v>
      </c>
      <c r="D28" s="14">
        <v>2</v>
      </c>
      <c r="E28" s="79">
        <f>VLOOKUP(B28,'[20]Đơn giá cây cối'!$A$2:$C$1361,3,0)</f>
        <v>16800</v>
      </c>
      <c r="F28" s="14">
        <v>1</v>
      </c>
      <c r="G28" s="79">
        <f t="shared" si="1"/>
        <v>33600</v>
      </c>
      <c r="H28" s="95"/>
    </row>
    <row r="29" spans="1:8" s="12" customFormat="1" ht="46.8">
      <c r="A29" s="94">
        <v>5</v>
      </c>
      <c r="B29" s="272" t="s">
        <v>951</v>
      </c>
      <c r="C29" s="14" t="s">
        <v>1724</v>
      </c>
      <c r="D29" s="14">
        <v>1</v>
      </c>
      <c r="E29" s="79" t="str">
        <f>VLOOKUP(B29,'[20]Đơn giá cây cối'!$A$2:$C$1361,3,0)</f>
        <v>185.000</v>
      </c>
      <c r="F29" s="14">
        <v>1</v>
      </c>
      <c r="G29" s="79">
        <f t="shared" si="1"/>
        <v>185000</v>
      </c>
      <c r="H29" s="95"/>
    </row>
    <row r="30" spans="1:8" ht="15.6">
      <c r="A30" s="80"/>
      <c r="B30" s="427" t="s">
        <v>62</v>
      </c>
      <c r="C30" s="428"/>
      <c r="D30" s="428"/>
      <c r="E30" s="428"/>
      <c r="F30" s="429"/>
      <c r="G30" s="81">
        <f>G13+G15+G24</f>
        <v>167722517.73750001</v>
      </c>
      <c r="H30" s="82"/>
    </row>
    <row r="31" spans="1:8" ht="15.6">
      <c r="A31" s="80"/>
      <c r="B31" s="427" t="s">
        <v>1726</v>
      </c>
      <c r="C31" s="428"/>
      <c r="D31" s="428"/>
      <c r="E31" s="428"/>
      <c r="F31" s="429"/>
      <c r="G31" s="81">
        <f>ROUND(G30,-3)</f>
        <v>167723000</v>
      </c>
      <c r="H31" s="82"/>
    </row>
    <row r="32" spans="1:8" ht="15.6">
      <c r="A32" s="430" t="e" cm="1">
        <f t="array" aca="1" ref="A32" ca="1">[22]!vnd(G31)</f>
        <v>#NAME?</v>
      </c>
      <c r="B32" s="431"/>
      <c r="C32" s="431"/>
      <c r="D32" s="431"/>
      <c r="E32" s="431"/>
      <c r="F32" s="431"/>
      <c r="G32" s="431"/>
      <c r="H32" s="432"/>
    </row>
    <row r="33" spans="1:8">
      <c r="A33" s="17"/>
      <c r="B33" s="17"/>
      <c r="C33" s="97"/>
      <c r="D33" s="20"/>
      <c r="E33" s="19"/>
      <c r="F33" s="97"/>
      <c r="G33" s="19"/>
      <c r="H33" s="17"/>
    </row>
    <row r="34" spans="1:8" s="109" customFormat="1" ht="16.5" customHeight="1">
      <c r="A34" s="108"/>
      <c r="B34" s="108"/>
      <c r="C34" s="424" t="s">
        <v>1742</v>
      </c>
      <c r="D34" s="424"/>
      <c r="E34" s="424"/>
      <c r="F34" s="424"/>
      <c r="G34" s="424"/>
      <c r="H34" s="424"/>
    </row>
    <row r="35" spans="1:8" s="109" customFormat="1" ht="16.5" customHeight="1">
      <c r="A35" s="423" t="s">
        <v>63</v>
      </c>
      <c r="B35" s="423"/>
      <c r="C35" s="424" t="s">
        <v>1743</v>
      </c>
      <c r="D35" s="424"/>
      <c r="E35" s="424"/>
      <c r="F35" s="424" t="s">
        <v>1744</v>
      </c>
      <c r="G35" s="424"/>
      <c r="H35" s="424"/>
    </row>
    <row r="36" spans="1:8" s="109" customFormat="1" ht="15.6">
      <c r="A36" s="108"/>
      <c r="B36" s="108"/>
      <c r="C36" s="108"/>
      <c r="D36" s="110"/>
      <c r="E36" s="111"/>
      <c r="F36" s="112"/>
      <c r="G36" s="111"/>
      <c r="H36" s="113"/>
    </row>
    <row r="37" spans="1:8" s="109" customFormat="1" ht="15.6">
      <c r="A37" s="108"/>
      <c r="B37" s="108"/>
      <c r="C37" s="108"/>
      <c r="D37" s="110"/>
      <c r="E37" s="111"/>
      <c r="F37" s="112"/>
      <c r="G37" s="114"/>
      <c r="H37" s="113"/>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6.5" customHeight="1">
      <c r="A41" s="108"/>
      <c r="B41" s="198" t="s">
        <v>64</v>
      </c>
      <c r="C41" s="424"/>
      <c r="D41" s="424"/>
      <c r="E41" s="424"/>
      <c r="F41" s="424" t="s">
        <v>1745</v>
      </c>
      <c r="G41" s="424"/>
      <c r="H41" s="424"/>
    </row>
    <row r="42" spans="1:8" s="109" customFormat="1" ht="15.6">
      <c r="A42" s="108"/>
      <c r="B42" s="198"/>
      <c r="C42" s="199"/>
      <c r="D42" s="199"/>
      <c r="E42" s="199"/>
      <c r="F42" s="199"/>
      <c r="G42" s="199"/>
      <c r="H42" s="199"/>
    </row>
    <row r="43" spans="1:8" s="109" customFormat="1" ht="15" customHeight="1">
      <c r="A43" s="424" t="s">
        <v>1746</v>
      </c>
      <c r="B43" s="424"/>
      <c r="C43" s="424"/>
      <c r="D43" s="424"/>
      <c r="E43" s="424" t="s">
        <v>1747</v>
      </c>
      <c r="F43" s="424"/>
      <c r="G43" s="424"/>
      <c r="H43" s="424"/>
    </row>
    <row r="44" spans="1:8" s="109" customFormat="1" ht="33.6" customHeight="1">
      <c r="A44" s="424" t="s">
        <v>1748</v>
      </c>
      <c r="B44" s="424"/>
      <c r="C44" s="424"/>
      <c r="D44" s="424"/>
      <c r="E44" s="424" t="s">
        <v>65</v>
      </c>
      <c r="F44" s="424"/>
      <c r="G44" s="424"/>
      <c r="H44" s="424"/>
    </row>
    <row r="45" spans="1:8" s="109" customFormat="1" ht="15.6">
      <c r="A45" s="108"/>
      <c r="B45" s="108"/>
      <c r="C45" s="108"/>
      <c r="D45" s="110"/>
      <c r="E45" s="111"/>
      <c r="F45" s="112"/>
      <c r="G45" s="111"/>
      <c r="H45" s="113"/>
    </row>
    <row r="46" spans="1:8" s="109" customFormat="1" ht="15.6">
      <c r="A46" s="108"/>
      <c r="B46" s="108"/>
      <c r="C46" s="108"/>
      <c r="D46" s="110"/>
      <c r="E46" s="111"/>
      <c r="F46" s="112"/>
      <c r="G46" s="111"/>
      <c r="H46" s="113"/>
    </row>
    <row r="47" spans="1:8" s="109" customFormat="1" ht="15.6">
      <c r="A47" s="108"/>
      <c r="B47" s="108"/>
      <c r="C47" s="108"/>
      <c r="D47" s="110"/>
      <c r="E47" s="111"/>
      <c r="F47" s="112"/>
      <c r="G47" s="111"/>
      <c r="H47" s="113"/>
    </row>
    <row r="48" spans="1:8" s="109" customFormat="1" ht="15.6">
      <c r="A48" s="108"/>
      <c r="B48" s="108"/>
      <c r="C48" s="108"/>
      <c r="D48" s="110"/>
      <c r="E48" s="111"/>
      <c r="F48" s="112"/>
      <c r="G48" s="111"/>
      <c r="H48" s="113"/>
    </row>
    <row r="49" spans="1:8" s="109" customFormat="1" ht="15.6">
      <c r="A49" s="108"/>
      <c r="B49" s="108"/>
      <c r="C49" s="108"/>
      <c r="D49" s="110"/>
      <c r="E49" s="111"/>
      <c r="F49" s="112"/>
      <c r="G49" s="111"/>
      <c r="H49" s="113"/>
    </row>
    <row r="50" spans="1:8" s="109" customFormat="1" ht="15.6" customHeight="1">
      <c r="A50" s="108"/>
      <c r="B50" s="108"/>
      <c r="C50" s="108"/>
      <c r="D50" s="115"/>
      <c r="E50" s="439" t="s">
        <v>1749</v>
      </c>
      <c r="F50" s="439"/>
      <c r="G50" s="439"/>
      <c r="H50" s="439"/>
    </row>
    <row r="51" spans="1:8" s="109" customFormat="1" ht="16.5" customHeight="1">
      <c r="A51" s="424" t="s">
        <v>1751</v>
      </c>
      <c r="B51" s="424"/>
      <c r="C51" s="424"/>
      <c r="D51" s="424"/>
      <c r="E51" s="424" t="s">
        <v>1750</v>
      </c>
      <c r="F51" s="424"/>
      <c r="G51" s="424"/>
      <c r="H51" s="424"/>
    </row>
    <row r="52" spans="1:8" s="118" customFormat="1" ht="16.2" customHeight="1">
      <c r="A52" s="436"/>
      <c r="B52" s="436"/>
      <c r="C52" s="273"/>
      <c r="D52" s="274"/>
      <c r="E52" s="436"/>
      <c r="F52" s="436"/>
      <c r="G52" s="436"/>
      <c r="H52" s="436"/>
    </row>
    <row r="53" spans="1:8" s="118" customFormat="1" ht="15.75" customHeight="1">
      <c r="A53" s="436"/>
      <c r="B53" s="436"/>
      <c r="C53" s="436"/>
      <c r="D53" s="436"/>
      <c r="E53" s="436"/>
      <c r="F53" s="436"/>
      <c r="G53" s="436"/>
      <c r="H53" s="436"/>
    </row>
    <row r="54" spans="1:8" s="98" customFormat="1" ht="16.2" customHeight="1">
      <c r="A54" s="436"/>
      <c r="B54" s="436"/>
      <c r="C54" s="436"/>
      <c r="D54" s="436"/>
      <c r="E54" s="119"/>
      <c r="F54" s="120"/>
      <c r="G54" s="119"/>
      <c r="H54" s="121"/>
    </row>
    <row r="55" spans="1:8" s="98" customFormat="1" ht="16.2" customHeight="1">
      <c r="A55" s="436"/>
      <c r="B55" s="436"/>
      <c r="C55" s="436"/>
      <c r="D55" s="436"/>
      <c r="E55" s="119"/>
      <c r="F55" s="120"/>
      <c r="G55" s="119"/>
      <c r="H55" s="121"/>
    </row>
    <row r="56" spans="1:8" s="98" customFormat="1" ht="16.2" customHeight="1">
      <c r="A56" s="121"/>
      <c r="B56" s="121"/>
      <c r="C56" s="121"/>
      <c r="D56" s="122"/>
      <c r="E56" s="119"/>
      <c r="F56" s="120"/>
      <c r="G56" s="119"/>
      <c r="H56" s="121"/>
    </row>
    <row r="57" spans="1:8" ht="16.2" customHeight="1">
      <c r="A57" s="83"/>
      <c r="B57" s="83"/>
      <c r="C57" s="83"/>
      <c r="D57" s="84"/>
      <c r="E57" s="85"/>
      <c r="F57" s="86"/>
      <c r="G57" s="85"/>
      <c r="H57" s="83"/>
    </row>
    <row r="58" spans="1:8" ht="16.2" customHeight="1">
      <c r="A58" s="83"/>
      <c r="B58" s="83"/>
      <c r="C58" s="83"/>
      <c r="D58" s="84"/>
      <c r="E58" s="85"/>
      <c r="F58" s="86"/>
      <c r="G58" s="85"/>
      <c r="H58" s="83"/>
    </row>
    <row r="59" spans="1:8" ht="16.2" customHeight="1">
      <c r="A59" s="83"/>
      <c r="B59" s="83"/>
      <c r="C59" s="83"/>
      <c r="D59" s="84"/>
      <c r="E59" s="85"/>
      <c r="F59" s="86"/>
      <c r="G59" s="85"/>
      <c r="H59" s="83"/>
    </row>
    <row r="60" spans="1:8" ht="16.2" customHeight="1">
      <c r="A60" s="83"/>
      <c r="B60" s="83"/>
      <c r="C60" s="83"/>
      <c r="D60" s="84"/>
      <c r="E60" s="437"/>
      <c r="F60" s="437"/>
      <c r="G60" s="437"/>
      <c r="H60" s="437"/>
    </row>
    <row r="61" spans="1:8" ht="20.25" customHeight="1">
      <c r="A61" s="438"/>
      <c r="B61" s="438"/>
      <c r="C61" s="438"/>
      <c r="D61" s="438"/>
      <c r="E61" s="438"/>
      <c r="F61" s="438"/>
      <c r="G61" s="438"/>
      <c r="H61" s="438"/>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D73" s="18"/>
      <c r="E73" s="19"/>
      <c r="F73" s="97"/>
      <c r="G73" s="19"/>
    </row>
    <row r="74" spans="3:7" s="17" customFormat="1" ht="16.2" customHeight="1">
      <c r="D74" s="18"/>
      <c r="E74" s="19"/>
      <c r="F74" s="97"/>
      <c r="G74" s="19"/>
    </row>
    <row r="75" spans="3:7" s="17" customFormat="1" ht="16.2" customHeight="1">
      <c r="D75" s="18"/>
      <c r="E75" s="19"/>
      <c r="F75" s="97"/>
      <c r="G75" s="19"/>
    </row>
    <row r="76" spans="3:7" s="17" customFormat="1" ht="16.2" customHeight="1">
      <c r="D76" s="18"/>
      <c r="E76" s="19"/>
      <c r="F76" s="97"/>
      <c r="G76" s="19"/>
    </row>
    <row r="77" spans="3:7" s="17" customFormat="1" ht="16.2" customHeight="1">
      <c r="D77" s="18"/>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s="17" customFormat="1" ht="16.2" customHeight="1">
      <c r="C87" s="97"/>
      <c r="D87" s="20"/>
      <c r="E87" s="19"/>
      <c r="F87" s="97"/>
      <c r="G87" s="19"/>
    </row>
    <row r="88" spans="3:7" s="17" customFormat="1" ht="16.2" customHeight="1">
      <c r="C88" s="97"/>
      <c r="D88" s="20"/>
      <c r="E88" s="19"/>
      <c r="F88" s="97"/>
      <c r="G88" s="19"/>
    </row>
    <row r="89" spans="3:7" s="17" customFormat="1" ht="16.2" customHeight="1">
      <c r="C89" s="97"/>
      <c r="D89" s="20"/>
      <c r="E89" s="19"/>
      <c r="F89" s="97"/>
      <c r="G89" s="19"/>
    </row>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ht="16.2" customHeight="1"/>
    <row r="234" ht="16.2" customHeight="1"/>
    <row r="235" ht="16.2" customHeight="1"/>
    <row r="236"/>
    <row r="237"/>
    <row r="238"/>
    <row r="239"/>
    <row r="240"/>
    <row r="241"/>
    <row r="242"/>
    <row r="243"/>
    <row r="244"/>
    <row r="245"/>
    <row r="246"/>
    <row r="247"/>
    <row r="248"/>
    <row r="249"/>
    <row r="250"/>
    <row r="25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sheetData>
  <mergeCells count="40">
    <mergeCell ref="A4:B4"/>
    <mergeCell ref="C4:H4"/>
    <mergeCell ref="A1:B1"/>
    <mergeCell ref="C1:H1"/>
    <mergeCell ref="A2:B2"/>
    <mergeCell ref="C2:H2"/>
    <mergeCell ref="A3:B3"/>
    <mergeCell ref="A32:H32"/>
    <mergeCell ref="A6:H6"/>
    <mergeCell ref="A7:H7"/>
    <mergeCell ref="A8:H8"/>
    <mergeCell ref="A9:H9"/>
    <mergeCell ref="A10:H10"/>
    <mergeCell ref="A11:H11"/>
    <mergeCell ref="B13:F13"/>
    <mergeCell ref="B15:F15"/>
    <mergeCell ref="B24:F24"/>
    <mergeCell ref="B30:F30"/>
    <mergeCell ref="B31:F31"/>
    <mergeCell ref="A51:D51"/>
    <mergeCell ref="E51:H51"/>
    <mergeCell ref="C34:H34"/>
    <mergeCell ref="A35:B35"/>
    <mergeCell ref="C35:E35"/>
    <mergeCell ref="F35:H35"/>
    <mergeCell ref="C41:E41"/>
    <mergeCell ref="F41:H41"/>
    <mergeCell ref="A43:D43"/>
    <mergeCell ref="E43:H43"/>
    <mergeCell ref="A44:D44"/>
    <mergeCell ref="E44:H44"/>
    <mergeCell ref="E50:H50"/>
    <mergeCell ref="E60:H60"/>
    <mergeCell ref="A61:H61"/>
    <mergeCell ref="A52:B52"/>
    <mergeCell ref="E52:H52"/>
    <mergeCell ref="A53:D53"/>
    <mergeCell ref="E53:H53"/>
    <mergeCell ref="A54:D54"/>
    <mergeCell ref="A55:D55"/>
  </mergeCells>
  <dataValidations count="2">
    <dataValidation type="list" allowBlank="1" showInputMessage="1" showErrorMessage="1" sqref="B25:B29" xr:uid="{00000000-0002-0000-4A00-000000000000}">
      <formula1>bichphuong</formula1>
    </dataValidation>
    <dataValidation type="list" allowBlank="1" showInputMessage="1" showErrorMessage="1" sqref="WVJ983053:WVJ983070 B983053:B983070 IX983053:IX983070 ST983053:ST983070 ACP983053:ACP983070 AML983053:AML983070 AWH983053:AWH983070 BGD983053:BGD983070 BPZ983053:BPZ983070 BZV983053:BZV983070 CJR983053:CJR983070 CTN983053:CTN983070 DDJ983053:DDJ983070 DNF983053:DNF983070 DXB983053:DXB983070 EGX983053:EGX983070 EQT983053:EQT983070 FAP983053:FAP983070 FKL983053:FKL983070 FUH983053:FUH983070 GED983053:GED983070 GNZ983053:GNZ983070 GXV983053:GXV983070 HHR983053:HHR983070 HRN983053:HRN983070 IBJ983053:IBJ983070 ILF983053:ILF983070 IVB983053:IVB983070 JEX983053:JEX983070 JOT983053:JOT983070 JYP983053:JYP983070 KIL983053:KIL983070 KSH983053:KSH983070 LCD983053:LCD983070 LLZ983053:LLZ983070 LVV983053:LVV983070 MFR983053:MFR983070 MPN983053:MPN983070 MZJ983053:MZJ983070 NJF983053:NJF983070 NTB983053:NTB983070 OCX983053:OCX983070 OMT983053:OMT983070 OWP983053:OWP983070 PGL983053:PGL983070 PQH983053:PQH983070 QAD983053:QAD983070 QJZ983053:QJZ983070 QTV983053:QTV983070 RDR983053:RDR983070 RNN983053:RNN983070 RXJ983053:RXJ983070 SHF983053:SHF983070 SRB983053:SRB983070 TAX983053:TAX983070 TKT983053:TKT983070 TUP983053:TUP983070 UEL983053:UEL983070 UOH983053:UOH983070 UYD983053:UYD983070 VHZ983053:VHZ983070 VRV983053:VRV983070 WBR983053:WBR983070 WLN983053:WLN983070 B65549:B65566 IX65549:IX65566 ST65549:ST65566 ACP65549:ACP65566 AML65549:AML65566 AWH65549:AWH65566 BGD65549:BGD65566 BPZ65549:BPZ65566 BZV65549:BZV65566 CJR65549:CJR65566 CTN65549:CTN65566 DDJ65549:DDJ65566 DNF65549:DNF65566 DXB65549:DXB65566 EGX65549:EGX65566 EQT65549:EQT65566 FAP65549:FAP65566 FKL65549:FKL65566 FUH65549:FUH65566 GED65549:GED65566 GNZ65549:GNZ65566 GXV65549:GXV65566 HHR65549:HHR65566 HRN65549:HRN65566 IBJ65549:IBJ65566 ILF65549:ILF65566 IVB65549:IVB65566 JEX65549:JEX65566 JOT65549:JOT65566 JYP65549:JYP65566 KIL65549:KIL65566 KSH65549:KSH65566 LCD65549:LCD65566 LLZ65549:LLZ65566 LVV65549:LVV65566 MFR65549:MFR65566 MPN65549:MPN65566 MZJ65549:MZJ65566 NJF65549:NJF65566 NTB65549:NTB65566 OCX65549:OCX65566 OMT65549:OMT65566 OWP65549:OWP65566 PGL65549:PGL65566 PQH65549:PQH65566 QAD65549:QAD65566 QJZ65549:QJZ65566 QTV65549:QTV65566 RDR65549:RDR65566 RNN65549:RNN65566 RXJ65549:RXJ65566 SHF65549:SHF65566 SRB65549:SRB65566 TAX65549:TAX65566 TKT65549:TKT65566 TUP65549:TUP65566 UEL65549:UEL65566 UOH65549:UOH65566 UYD65549:UYD65566 VHZ65549:VHZ65566 VRV65549:VRV65566 WBR65549:WBR65566 WLN65549:WLN65566 WVJ65549:WVJ65566 B131085:B131102 IX131085:IX131102 ST131085:ST131102 ACP131085:ACP131102 AML131085:AML131102 AWH131085:AWH131102 BGD131085:BGD131102 BPZ131085:BPZ131102 BZV131085:BZV131102 CJR131085:CJR131102 CTN131085:CTN131102 DDJ131085:DDJ131102 DNF131085:DNF131102 DXB131085:DXB131102 EGX131085:EGX131102 EQT131085:EQT131102 FAP131085:FAP131102 FKL131085:FKL131102 FUH131085:FUH131102 GED131085:GED131102 GNZ131085:GNZ131102 GXV131085:GXV131102 HHR131085:HHR131102 HRN131085:HRN131102 IBJ131085:IBJ131102 ILF131085:ILF131102 IVB131085:IVB131102 JEX131085:JEX131102 JOT131085:JOT131102 JYP131085:JYP131102 KIL131085:KIL131102 KSH131085:KSH131102 LCD131085:LCD131102 LLZ131085:LLZ131102 LVV131085:LVV131102 MFR131085:MFR131102 MPN131085:MPN131102 MZJ131085:MZJ131102 NJF131085:NJF131102 NTB131085:NTB131102 OCX131085:OCX131102 OMT131085:OMT131102 OWP131085:OWP131102 PGL131085:PGL131102 PQH131085:PQH131102 QAD131085:QAD131102 QJZ131085:QJZ131102 QTV131085:QTV131102 RDR131085:RDR131102 RNN131085:RNN131102 RXJ131085:RXJ131102 SHF131085:SHF131102 SRB131085:SRB131102 TAX131085:TAX131102 TKT131085:TKT131102 TUP131085:TUP131102 UEL131085:UEL131102 UOH131085:UOH131102 UYD131085:UYD131102 VHZ131085:VHZ131102 VRV131085:VRV131102 WBR131085:WBR131102 WLN131085:WLN131102 WVJ131085:WVJ131102 B196621:B196638 IX196621:IX196638 ST196621:ST196638 ACP196621:ACP196638 AML196621:AML196638 AWH196621:AWH196638 BGD196621:BGD196638 BPZ196621:BPZ196638 BZV196621:BZV196638 CJR196621:CJR196638 CTN196621:CTN196638 DDJ196621:DDJ196638 DNF196621:DNF196638 DXB196621:DXB196638 EGX196621:EGX196638 EQT196621:EQT196638 FAP196621:FAP196638 FKL196621:FKL196638 FUH196621:FUH196638 GED196621:GED196638 GNZ196621:GNZ196638 GXV196621:GXV196638 HHR196621:HHR196638 HRN196621:HRN196638 IBJ196621:IBJ196638 ILF196621:ILF196638 IVB196621:IVB196638 JEX196621:JEX196638 JOT196621:JOT196638 JYP196621:JYP196638 KIL196621:KIL196638 KSH196621:KSH196638 LCD196621:LCD196638 LLZ196621:LLZ196638 LVV196621:LVV196638 MFR196621:MFR196638 MPN196621:MPN196638 MZJ196621:MZJ196638 NJF196621:NJF196638 NTB196621:NTB196638 OCX196621:OCX196638 OMT196621:OMT196638 OWP196621:OWP196638 PGL196621:PGL196638 PQH196621:PQH196638 QAD196621:QAD196638 QJZ196621:QJZ196638 QTV196621:QTV196638 RDR196621:RDR196638 RNN196621:RNN196638 RXJ196621:RXJ196638 SHF196621:SHF196638 SRB196621:SRB196638 TAX196621:TAX196638 TKT196621:TKT196638 TUP196621:TUP196638 UEL196621:UEL196638 UOH196621:UOH196638 UYD196621:UYD196638 VHZ196621:VHZ196638 VRV196621:VRV196638 WBR196621:WBR196638 WLN196621:WLN196638 WVJ196621:WVJ196638 B262157:B262174 IX262157:IX262174 ST262157:ST262174 ACP262157:ACP262174 AML262157:AML262174 AWH262157:AWH262174 BGD262157:BGD262174 BPZ262157:BPZ262174 BZV262157:BZV262174 CJR262157:CJR262174 CTN262157:CTN262174 DDJ262157:DDJ262174 DNF262157:DNF262174 DXB262157:DXB262174 EGX262157:EGX262174 EQT262157:EQT262174 FAP262157:FAP262174 FKL262157:FKL262174 FUH262157:FUH262174 GED262157:GED262174 GNZ262157:GNZ262174 GXV262157:GXV262174 HHR262157:HHR262174 HRN262157:HRN262174 IBJ262157:IBJ262174 ILF262157:ILF262174 IVB262157:IVB262174 JEX262157:JEX262174 JOT262157:JOT262174 JYP262157:JYP262174 KIL262157:KIL262174 KSH262157:KSH262174 LCD262157:LCD262174 LLZ262157:LLZ262174 LVV262157:LVV262174 MFR262157:MFR262174 MPN262157:MPN262174 MZJ262157:MZJ262174 NJF262157:NJF262174 NTB262157:NTB262174 OCX262157:OCX262174 OMT262157:OMT262174 OWP262157:OWP262174 PGL262157:PGL262174 PQH262157:PQH262174 QAD262157:QAD262174 QJZ262157:QJZ262174 QTV262157:QTV262174 RDR262157:RDR262174 RNN262157:RNN262174 RXJ262157:RXJ262174 SHF262157:SHF262174 SRB262157:SRB262174 TAX262157:TAX262174 TKT262157:TKT262174 TUP262157:TUP262174 UEL262157:UEL262174 UOH262157:UOH262174 UYD262157:UYD262174 VHZ262157:VHZ262174 VRV262157:VRV262174 WBR262157:WBR262174 WLN262157:WLN262174 WVJ262157:WVJ262174 B327693:B327710 IX327693:IX327710 ST327693:ST327710 ACP327693:ACP327710 AML327693:AML327710 AWH327693:AWH327710 BGD327693:BGD327710 BPZ327693:BPZ327710 BZV327693:BZV327710 CJR327693:CJR327710 CTN327693:CTN327710 DDJ327693:DDJ327710 DNF327693:DNF327710 DXB327693:DXB327710 EGX327693:EGX327710 EQT327693:EQT327710 FAP327693:FAP327710 FKL327693:FKL327710 FUH327693:FUH327710 GED327693:GED327710 GNZ327693:GNZ327710 GXV327693:GXV327710 HHR327693:HHR327710 HRN327693:HRN327710 IBJ327693:IBJ327710 ILF327693:ILF327710 IVB327693:IVB327710 JEX327693:JEX327710 JOT327693:JOT327710 JYP327693:JYP327710 KIL327693:KIL327710 KSH327693:KSH327710 LCD327693:LCD327710 LLZ327693:LLZ327710 LVV327693:LVV327710 MFR327693:MFR327710 MPN327693:MPN327710 MZJ327693:MZJ327710 NJF327693:NJF327710 NTB327693:NTB327710 OCX327693:OCX327710 OMT327693:OMT327710 OWP327693:OWP327710 PGL327693:PGL327710 PQH327693:PQH327710 QAD327693:QAD327710 QJZ327693:QJZ327710 QTV327693:QTV327710 RDR327693:RDR327710 RNN327693:RNN327710 RXJ327693:RXJ327710 SHF327693:SHF327710 SRB327693:SRB327710 TAX327693:TAX327710 TKT327693:TKT327710 TUP327693:TUP327710 UEL327693:UEL327710 UOH327693:UOH327710 UYD327693:UYD327710 VHZ327693:VHZ327710 VRV327693:VRV327710 WBR327693:WBR327710 WLN327693:WLN327710 WVJ327693:WVJ327710 B393229:B393246 IX393229:IX393246 ST393229:ST393246 ACP393229:ACP393246 AML393229:AML393246 AWH393229:AWH393246 BGD393229:BGD393246 BPZ393229:BPZ393246 BZV393229:BZV393246 CJR393229:CJR393246 CTN393229:CTN393246 DDJ393229:DDJ393246 DNF393229:DNF393246 DXB393229:DXB393246 EGX393229:EGX393246 EQT393229:EQT393246 FAP393229:FAP393246 FKL393229:FKL393246 FUH393229:FUH393246 GED393229:GED393246 GNZ393229:GNZ393246 GXV393229:GXV393246 HHR393229:HHR393246 HRN393229:HRN393246 IBJ393229:IBJ393246 ILF393229:ILF393246 IVB393229:IVB393246 JEX393229:JEX393246 JOT393229:JOT393246 JYP393229:JYP393246 KIL393229:KIL393246 KSH393229:KSH393246 LCD393229:LCD393246 LLZ393229:LLZ393246 LVV393229:LVV393246 MFR393229:MFR393246 MPN393229:MPN393246 MZJ393229:MZJ393246 NJF393229:NJF393246 NTB393229:NTB393246 OCX393229:OCX393246 OMT393229:OMT393246 OWP393229:OWP393246 PGL393229:PGL393246 PQH393229:PQH393246 QAD393229:QAD393246 QJZ393229:QJZ393246 QTV393229:QTV393246 RDR393229:RDR393246 RNN393229:RNN393246 RXJ393229:RXJ393246 SHF393229:SHF393246 SRB393229:SRB393246 TAX393229:TAX393246 TKT393229:TKT393246 TUP393229:TUP393246 UEL393229:UEL393246 UOH393229:UOH393246 UYD393229:UYD393246 VHZ393229:VHZ393246 VRV393229:VRV393246 WBR393229:WBR393246 WLN393229:WLN393246 WVJ393229:WVJ393246 B458765:B458782 IX458765:IX458782 ST458765:ST458782 ACP458765:ACP458782 AML458765:AML458782 AWH458765:AWH458782 BGD458765:BGD458782 BPZ458765:BPZ458782 BZV458765:BZV458782 CJR458765:CJR458782 CTN458765:CTN458782 DDJ458765:DDJ458782 DNF458765:DNF458782 DXB458765:DXB458782 EGX458765:EGX458782 EQT458765:EQT458782 FAP458765:FAP458782 FKL458765:FKL458782 FUH458765:FUH458782 GED458765:GED458782 GNZ458765:GNZ458782 GXV458765:GXV458782 HHR458765:HHR458782 HRN458765:HRN458782 IBJ458765:IBJ458782 ILF458765:ILF458782 IVB458765:IVB458782 JEX458765:JEX458782 JOT458765:JOT458782 JYP458765:JYP458782 KIL458765:KIL458782 KSH458765:KSH458782 LCD458765:LCD458782 LLZ458765:LLZ458782 LVV458765:LVV458782 MFR458765:MFR458782 MPN458765:MPN458782 MZJ458765:MZJ458782 NJF458765:NJF458782 NTB458765:NTB458782 OCX458765:OCX458782 OMT458765:OMT458782 OWP458765:OWP458782 PGL458765:PGL458782 PQH458765:PQH458782 QAD458765:QAD458782 QJZ458765:QJZ458782 QTV458765:QTV458782 RDR458765:RDR458782 RNN458765:RNN458782 RXJ458765:RXJ458782 SHF458765:SHF458782 SRB458765:SRB458782 TAX458765:TAX458782 TKT458765:TKT458782 TUP458765:TUP458782 UEL458765:UEL458782 UOH458765:UOH458782 UYD458765:UYD458782 VHZ458765:VHZ458782 VRV458765:VRV458782 WBR458765:WBR458782 WLN458765:WLN458782 WVJ458765:WVJ458782 B524301:B524318 IX524301:IX524318 ST524301:ST524318 ACP524301:ACP524318 AML524301:AML524318 AWH524301:AWH524318 BGD524301:BGD524318 BPZ524301:BPZ524318 BZV524301:BZV524318 CJR524301:CJR524318 CTN524301:CTN524318 DDJ524301:DDJ524318 DNF524301:DNF524318 DXB524301:DXB524318 EGX524301:EGX524318 EQT524301:EQT524318 FAP524301:FAP524318 FKL524301:FKL524318 FUH524301:FUH524318 GED524301:GED524318 GNZ524301:GNZ524318 GXV524301:GXV524318 HHR524301:HHR524318 HRN524301:HRN524318 IBJ524301:IBJ524318 ILF524301:ILF524318 IVB524301:IVB524318 JEX524301:JEX524318 JOT524301:JOT524318 JYP524301:JYP524318 KIL524301:KIL524318 KSH524301:KSH524318 LCD524301:LCD524318 LLZ524301:LLZ524318 LVV524301:LVV524318 MFR524301:MFR524318 MPN524301:MPN524318 MZJ524301:MZJ524318 NJF524301:NJF524318 NTB524301:NTB524318 OCX524301:OCX524318 OMT524301:OMT524318 OWP524301:OWP524318 PGL524301:PGL524318 PQH524301:PQH524318 QAD524301:QAD524318 QJZ524301:QJZ524318 QTV524301:QTV524318 RDR524301:RDR524318 RNN524301:RNN524318 RXJ524301:RXJ524318 SHF524301:SHF524318 SRB524301:SRB524318 TAX524301:TAX524318 TKT524301:TKT524318 TUP524301:TUP524318 UEL524301:UEL524318 UOH524301:UOH524318 UYD524301:UYD524318 VHZ524301:VHZ524318 VRV524301:VRV524318 WBR524301:WBR524318 WLN524301:WLN524318 WVJ524301:WVJ524318 B589837:B589854 IX589837:IX589854 ST589837:ST589854 ACP589837:ACP589854 AML589837:AML589854 AWH589837:AWH589854 BGD589837:BGD589854 BPZ589837:BPZ589854 BZV589837:BZV589854 CJR589837:CJR589854 CTN589837:CTN589854 DDJ589837:DDJ589854 DNF589837:DNF589854 DXB589837:DXB589854 EGX589837:EGX589854 EQT589837:EQT589854 FAP589837:FAP589854 FKL589837:FKL589854 FUH589837:FUH589854 GED589837:GED589854 GNZ589837:GNZ589854 GXV589837:GXV589854 HHR589837:HHR589854 HRN589837:HRN589854 IBJ589837:IBJ589854 ILF589837:ILF589854 IVB589837:IVB589854 JEX589837:JEX589854 JOT589837:JOT589854 JYP589837:JYP589854 KIL589837:KIL589854 KSH589837:KSH589854 LCD589837:LCD589854 LLZ589837:LLZ589854 LVV589837:LVV589854 MFR589837:MFR589854 MPN589837:MPN589854 MZJ589837:MZJ589854 NJF589837:NJF589854 NTB589837:NTB589854 OCX589837:OCX589854 OMT589837:OMT589854 OWP589837:OWP589854 PGL589837:PGL589854 PQH589837:PQH589854 QAD589837:QAD589854 QJZ589837:QJZ589854 QTV589837:QTV589854 RDR589837:RDR589854 RNN589837:RNN589854 RXJ589837:RXJ589854 SHF589837:SHF589854 SRB589837:SRB589854 TAX589837:TAX589854 TKT589837:TKT589854 TUP589837:TUP589854 UEL589837:UEL589854 UOH589837:UOH589854 UYD589837:UYD589854 VHZ589837:VHZ589854 VRV589837:VRV589854 WBR589837:WBR589854 WLN589837:WLN589854 WVJ589837:WVJ589854 B655373:B655390 IX655373:IX655390 ST655373:ST655390 ACP655373:ACP655390 AML655373:AML655390 AWH655373:AWH655390 BGD655373:BGD655390 BPZ655373:BPZ655390 BZV655373:BZV655390 CJR655373:CJR655390 CTN655373:CTN655390 DDJ655373:DDJ655390 DNF655373:DNF655390 DXB655373:DXB655390 EGX655373:EGX655390 EQT655373:EQT655390 FAP655373:FAP655390 FKL655373:FKL655390 FUH655373:FUH655390 GED655373:GED655390 GNZ655373:GNZ655390 GXV655373:GXV655390 HHR655373:HHR655390 HRN655373:HRN655390 IBJ655373:IBJ655390 ILF655373:ILF655390 IVB655373:IVB655390 JEX655373:JEX655390 JOT655373:JOT655390 JYP655373:JYP655390 KIL655373:KIL655390 KSH655373:KSH655390 LCD655373:LCD655390 LLZ655373:LLZ655390 LVV655373:LVV655390 MFR655373:MFR655390 MPN655373:MPN655390 MZJ655373:MZJ655390 NJF655373:NJF655390 NTB655373:NTB655390 OCX655373:OCX655390 OMT655373:OMT655390 OWP655373:OWP655390 PGL655373:PGL655390 PQH655373:PQH655390 QAD655373:QAD655390 QJZ655373:QJZ655390 QTV655373:QTV655390 RDR655373:RDR655390 RNN655373:RNN655390 RXJ655373:RXJ655390 SHF655373:SHF655390 SRB655373:SRB655390 TAX655373:TAX655390 TKT655373:TKT655390 TUP655373:TUP655390 UEL655373:UEL655390 UOH655373:UOH655390 UYD655373:UYD655390 VHZ655373:VHZ655390 VRV655373:VRV655390 WBR655373:WBR655390 WLN655373:WLN655390 WVJ655373:WVJ655390 B720909:B720926 IX720909:IX720926 ST720909:ST720926 ACP720909:ACP720926 AML720909:AML720926 AWH720909:AWH720926 BGD720909:BGD720926 BPZ720909:BPZ720926 BZV720909:BZV720926 CJR720909:CJR720926 CTN720909:CTN720926 DDJ720909:DDJ720926 DNF720909:DNF720926 DXB720909:DXB720926 EGX720909:EGX720926 EQT720909:EQT720926 FAP720909:FAP720926 FKL720909:FKL720926 FUH720909:FUH720926 GED720909:GED720926 GNZ720909:GNZ720926 GXV720909:GXV720926 HHR720909:HHR720926 HRN720909:HRN720926 IBJ720909:IBJ720926 ILF720909:ILF720926 IVB720909:IVB720926 JEX720909:JEX720926 JOT720909:JOT720926 JYP720909:JYP720926 KIL720909:KIL720926 KSH720909:KSH720926 LCD720909:LCD720926 LLZ720909:LLZ720926 LVV720909:LVV720926 MFR720909:MFR720926 MPN720909:MPN720926 MZJ720909:MZJ720926 NJF720909:NJF720926 NTB720909:NTB720926 OCX720909:OCX720926 OMT720909:OMT720926 OWP720909:OWP720926 PGL720909:PGL720926 PQH720909:PQH720926 QAD720909:QAD720926 QJZ720909:QJZ720926 QTV720909:QTV720926 RDR720909:RDR720926 RNN720909:RNN720926 RXJ720909:RXJ720926 SHF720909:SHF720926 SRB720909:SRB720926 TAX720909:TAX720926 TKT720909:TKT720926 TUP720909:TUP720926 UEL720909:UEL720926 UOH720909:UOH720926 UYD720909:UYD720926 VHZ720909:VHZ720926 VRV720909:VRV720926 WBR720909:WBR720926 WLN720909:WLN720926 WVJ720909:WVJ720926 B786445:B786462 IX786445:IX786462 ST786445:ST786462 ACP786445:ACP786462 AML786445:AML786462 AWH786445:AWH786462 BGD786445:BGD786462 BPZ786445:BPZ786462 BZV786445:BZV786462 CJR786445:CJR786462 CTN786445:CTN786462 DDJ786445:DDJ786462 DNF786445:DNF786462 DXB786445:DXB786462 EGX786445:EGX786462 EQT786445:EQT786462 FAP786445:FAP786462 FKL786445:FKL786462 FUH786445:FUH786462 GED786445:GED786462 GNZ786445:GNZ786462 GXV786445:GXV786462 HHR786445:HHR786462 HRN786445:HRN786462 IBJ786445:IBJ786462 ILF786445:ILF786462 IVB786445:IVB786462 JEX786445:JEX786462 JOT786445:JOT786462 JYP786445:JYP786462 KIL786445:KIL786462 KSH786445:KSH786462 LCD786445:LCD786462 LLZ786445:LLZ786462 LVV786445:LVV786462 MFR786445:MFR786462 MPN786445:MPN786462 MZJ786445:MZJ786462 NJF786445:NJF786462 NTB786445:NTB786462 OCX786445:OCX786462 OMT786445:OMT786462 OWP786445:OWP786462 PGL786445:PGL786462 PQH786445:PQH786462 QAD786445:QAD786462 QJZ786445:QJZ786462 QTV786445:QTV786462 RDR786445:RDR786462 RNN786445:RNN786462 RXJ786445:RXJ786462 SHF786445:SHF786462 SRB786445:SRB786462 TAX786445:TAX786462 TKT786445:TKT786462 TUP786445:TUP786462 UEL786445:UEL786462 UOH786445:UOH786462 UYD786445:UYD786462 VHZ786445:VHZ786462 VRV786445:VRV786462 WBR786445:WBR786462 WLN786445:WLN786462 WVJ786445:WVJ786462 B851981:B851998 IX851981:IX851998 ST851981:ST851998 ACP851981:ACP851998 AML851981:AML851998 AWH851981:AWH851998 BGD851981:BGD851998 BPZ851981:BPZ851998 BZV851981:BZV851998 CJR851981:CJR851998 CTN851981:CTN851998 DDJ851981:DDJ851998 DNF851981:DNF851998 DXB851981:DXB851998 EGX851981:EGX851998 EQT851981:EQT851998 FAP851981:FAP851998 FKL851981:FKL851998 FUH851981:FUH851998 GED851981:GED851998 GNZ851981:GNZ851998 GXV851981:GXV851998 HHR851981:HHR851998 HRN851981:HRN851998 IBJ851981:IBJ851998 ILF851981:ILF851998 IVB851981:IVB851998 JEX851981:JEX851998 JOT851981:JOT851998 JYP851981:JYP851998 KIL851981:KIL851998 KSH851981:KSH851998 LCD851981:LCD851998 LLZ851981:LLZ851998 LVV851981:LVV851998 MFR851981:MFR851998 MPN851981:MPN851998 MZJ851981:MZJ851998 NJF851981:NJF851998 NTB851981:NTB851998 OCX851981:OCX851998 OMT851981:OMT851998 OWP851981:OWP851998 PGL851981:PGL851998 PQH851981:PQH851998 QAD851981:QAD851998 QJZ851981:QJZ851998 QTV851981:QTV851998 RDR851981:RDR851998 RNN851981:RNN851998 RXJ851981:RXJ851998 SHF851981:SHF851998 SRB851981:SRB851998 TAX851981:TAX851998 TKT851981:TKT851998 TUP851981:TUP851998 UEL851981:UEL851998 UOH851981:UOH851998 UYD851981:UYD851998 VHZ851981:VHZ851998 VRV851981:VRV851998 WBR851981:WBR851998 WLN851981:WLN851998 WVJ851981:WVJ851998 B917517:B917534 IX917517:IX917534 ST917517:ST917534 ACP917517:ACP917534 AML917517:AML917534 AWH917517:AWH917534 BGD917517:BGD917534 BPZ917517:BPZ917534 BZV917517:BZV917534 CJR917517:CJR917534 CTN917517:CTN917534 DDJ917517:DDJ917534 DNF917517:DNF917534 DXB917517:DXB917534 EGX917517:EGX917534 EQT917517:EQT917534 FAP917517:FAP917534 FKL917517:FKL917534 FUH917517:FUH917534 GED917517:GED917534 GNZ917517:GNZ917534 GXV917517:GXV917534 HHR917517:HHR917534 HRN917517:HRN917534 IBJ917517:IBJ917534 ILF917517:ILF917534 IVB917517:IVB917534 JEX917517:JEX917534 JOT917517:JOT917534 JYP917517:JYP917534 KIL917517:KIL917534 KSH917517:KSH917534 LCD917517:LCD917534 LLZ917517:LLZ917534 LVV917517:LVV917534 MFR917517:MFR917534 MPN917517:MPN917534 MZJ917517:MZJ917534 NJF917517:NJF917534 NTB917517:NTB917534 OCX917517:OCX917534 OMT917517:OMT917534 OWP917517:OWP917534 PGL917517:PGL917534 PQH917517:PQH917534 QAD917517:QAD917534 QJZ917517:QJZ917534 QTV917517:QTV917534 RDR917517:RDR917534 RNN917517:RNN917534 RXJ917517:RXJ917534 SHF917517:SHF917534 SRB917517:SRB917534 TAX917517:TAX917534 TKT917517:TKT917534 TUP917517:TUP917534 UEL917517:UEL917534 UOH917517:UOH917534 UYD917517:UYD917534 VHZ917517:VHZ917534 VRV917517:VRV917534 WBR917517:WBR917534 WLN917517:WLN917534 WVJ917517:WVJ917534" xr:uid="{00000000-0002-0000-4A00-000001000000}">
      <formula1>trung</formula1>
    </dataValidation>
  </dataValidations>
  <pageMargins left="0.44" right="0.31"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H334"/>
  <sheetViews>
    <sheetView topLeftCell="A7" workbookViewId="0">
      <selection activeCell="IV28" sqref="IV28"/>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202"/>
      <c r="D3" s="203"/>
      <c r="E3" s="204"/>
      <c r="F3" s="205"/>
      <c r="G3" s="206"/>
      <c r="H3" s="103"/>
    </row>
    <row r="4" spans="1:8" s="98" customFormat="1" ht="18" customHeight="1">
      <c r="A4" s="443"/>
      <c r="B4" s="443"/>
      <c r="C4" s="415" t="s">
        <v>1740</v>
      </c>
      <c r="D4" s="415"/>
      <c r="E4" s="415"/>
      <c r="F4" s="415"/>
      <c r="G4" s="415"/>
      <c r="H4" s="415"/>
    </row>
    <row r="5" spans="1:8" s="98" customFormat="1" ht="15.6">
      <c r="A5" s="207"/>
      <c r="B5" s="207"/>
      <c r="C5" s="208"/>
      <c r="D5" s="209"/>
      <c r="E5" s="210"/>
      <c r="F5" s="208"/>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30" customHeight="1">
      <c r="A8" s="420" t="s">
        <v>2264</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2265</v>
      </c>
      <c r="C13" s="425"/>
      <c r="D13" s="425"/>
      <c r="E13" s="425"/>
      <c r="F13" s="425"/>
      <c r="G13" s="73">
        <f>G14</f>
        <v>33039999.999999996</v>
      </c>
      <c r="H13" s="74"/>
    </row>
    <row r="14" spans="1:8" s="131" customFormat="1" ht="40.5" customHeight="1">
      <c r="A14" s="123"/>
      <c r="B14" s="124" t="s">
        <v>1757</v>
      </c>
      <c r="C14" s="125" t="s">
        <v>1753</v>
      </c>
      <c r="D14" s="126">
        <v>2.8</v>
      </c>
      <c r="E14" s="127">
        <v>11800000</v>
      </c>
      <c r="F14" s="128">
        <v>1</v>
      </c>
      <c r="G14" s="129">
        <f>D14*E14*F14</f>
        <v>33039999.999999996</v>
      </c>
      <c r="H14" s="130"/>
    </row>
    <row r="15" spans="1:8" ht="27" customHeight="1">
      <c r="A15" s="75" t="s">
        <v>18</v>
      </c>
      <c r="B15" s="426" t="s">
        <v>1725</v>
      </c>
      <c r="C15" s="426"/>
      <c r="D15" s="426"/>
      <c r="E15" s="426"/>
      <c r="F15" s="426"/>
      <c r="G15" s="76">
        <f>SUM(G16)</f>
        <v>0</v>
      </c>
      <c r="H15" s="11"/>
    </row>
    <row r="16" spans="1:8" ht="30.6" customHeight="1">
      <c r="A16" s="77"/>
      <c r="B16" s="78" t="s">
        <v>1728</v>
      </c>
      <c r="C16" s="13"/>
      <c r="D16" s="13"/>
      <c r="E16" s="13"/>
      <c r="F16" s="13"/>
      <c r="G16" s="79"/>
      <c r="H16" s="15"/>
    </row>
    <row r="17" spans="1:8" ht="24" customHeight="1">
      <c r="A17" s="75" t="s">
        <v>19</v>
      </c>
      <c r="B17" s="426" t="s">
        <v>1727</v>
      </c>
      <c r="C17" s="426"/>
      <c r="D17" s="426"/>
      <c r="E17" s="426"/>
      <c r="F17" s="426"/>
      <c r="G17" s="76">
        <f>SUM(G18:G18)</f>
        <v>0</v>
      </c>
      <c r="H17" s="11"/>
    </row>
    <row r="18" spans="1:8" ht="30.6" customHeight="1">
      <c r="A18" s="77"/>
      <c r="B18" s="78" t="s">
        <v>1728</v>
      </c>
      <c r="C18" s="13"/>
      <c r="D18" s="13"/>
      <c r="E18" s="13"/>
      <c r="F18" s="13"/>
      <c r="G18" s="79"/>
      <c r="H18" s="15"/>
    </row>
    <row r="19" spans="1:8" ht="15.6">
      <c r="A19" s="80"/>
      <c r="B19" s="427" t="s">
        <v>62</v>
      </c>
      <c r="C19" s="428"/>
      <c r="D19" s="428"/>
      <c r="E19" s="428"/>
      <c r="F19" s="429"/>
      <c r="G19" s="81">
        <f>G13+G15+G17</f>
        <v>33039999.999999996</v>
      </c>
      <c r="H19" s="82"/>
    </row>
    <row r="20" spans="1:8" ht="15.6">
      <c r="A20" s="80"/>
      <c r="B20" s="427" t="s">
        <v>1726</v>
      </c>
      <c r="C20" s="428"/>
      <c r="D20" s="428"/>
      <c r="E20" s="428"/>
      <c r="F20" s="429"/>
      <c r="G20" s="81">
        <f>ROUND(G19,-3)</f>
        <v>33040000</v>
      </c>
      <c r="H20" s="82"/>
    </row>
    <row r="21" spans="1:8" ht="15.6">
      <c r="A21" s="430" t="e">
        <f ca="1">[19]!vnd(G20)</f>
        <v>#NAME?</v>
      </c>
      <c r="B21" s="431"/>
      <c r="C21" s="431"/>
      <c r="D21" s="431"/>
      <c r="E21" s="431"/>
      <c r="F21" s="431"/>
      <c r="G21" s="431"/>
      <c r="H21" s="432"/>
    </row>
    <row r="22" spans="1:8">
      <c r="A22" s="17"/>
      <c r="B22" s="17"/>
      <c r="C22" s="97"/>
      <c r="D22" s="20"/>
      <c r="E22" s="19"/>
      <c r="F22" s="97"/>
      <c r="G22" s="19"/>
      <c r="H22" s="17"/>
    </row>
    <row r="23" spans="1:8" s="109" customFormat="1" ht="16.5" customHeight="1">
      <c r="A23" s="108"/>
      <c r="B23" s="108"/>
      <c r="C23" s="424" t="s">
        <v>1742</v>
      </c>
      <c r="D23" s="424"/>
      <c r="E23" s="424"/>
      <c r="F23" s="424"/>
      <c r="G23" s="424"/>
      <c r="H23" s="424"/>
    </row>
    <row r="24" spans="1:8" s="109" customFormat="1" ht="16.5" customHeight="1">
      <c r="A24" s="423" t="s">
        <v>63</v>
      </c>
      <c r="B24" s="423"/>
      <c r="C24" s="424" t="s">
        <v>1743</v>
      </c>
      <c r="D24" s="424"/>
      <c r="E24" s="424"/>
      <c r="F24" s="424" t="s">
        <v>1744</v>
      </c>
      <c r="G24" s="424"/>
      <c r="H24" s="424"/>
    </row>
    <row r="25" spans="1:8" s="109" customFormat="1" ht="15.6">
      <c r="A25" s="108"/>
      <c r="B25" s="108"/>
      <c r="C25" s="108"/>
      <c r="D25" s="110"/>
      <c r="E25" s="111"/>
      <c r="F25" s="112"/>
      <c r="G25" s="111"/>
      <c r="H25" s="113"/>
    </row>
    <row r="26" spans="1:8" s="109" customFormat="1" ht="15.6">
      <c r="A26" s="108"/>
      <c r="B26" s="108"/>
      <c r="C26" s="108"/>
      <c r="D26" s="110"/>
      <c r="E26" s="111"/>
      <c r="F26" s="112"/>
      <c r="G26" s="114"/>
      <c r="H26" s="113"/>
    </row>
    <row r="27" spans="1:8" s="109" customFormat="1" ht="15.6">
      <c r="A27" s="108"/>
      <c r="B27" s="108"/>
      <c r="C27" s="108"/>
      <c r="D27" s="110"/>
      <c r="E27" s="111"/>
      <c r="F27" s="112"/>
      <c r="G27" s="111"/>
      <c r="H27" s="113"/>
    </row>
    <row r="28" spans="1:8" s="109" customFormat="1" ht="15.6">
      <c r="A28" s="108"/>
      <c r="B28" s="108"/>
      <c r="C28" s="108"/>
      <c r="D28" s="110"/>
      <c r="E28" s="111"/>
      <c r="F28" s="112"/>
      <c r="G28" s="111"/>
      <c r="H28" s="113"/>
    </row>
    <row r="29" spans="1:8" s="109" customFormat="1" ht="15.6">
      <c r="A29" s="108"/>
      <c r="B29" s="108"/>
      <c r="C29" s="108"/>
      <c r="D29" s="110"/>
      <c r="E29" s="111"/>
      <c r="F29" s="112"/>
      <c r="G29" s="111"/>
      <c r="H29" s="113"/>
    </row>
    <row r="30" spans="1:8" s="109" customFormat="1" ht="16.5" customHeight="1">
      <c r="A30" s="108"/>
      <c r="B30" s="198" t="s">
        <v>64</v>
      </c>
      <c r="C30" s="424"/>
      <c r="D30" s="424"/>
      <c r="E30" s="424"/>
      <c r="F30" s="424" t="s">
        <v>1745</v>
      </c>
      <c r="G30" s="424"/>
      <c r="H30" s="424"/>
    </row>
    <row r="31" spans="1:8" s="109" customFormat="1" ht="15.6">
      <c r="A31" s="108"/>
      <c r="B31" s="198"/>
      <c r="C31" s="199"/>
      <c r="D31" s="199"/>
      <c r="E31" s="199"/>
      <c r="F31" s="199"/>
      <c r="G31" s="199"/>
      <c r="H31" s="199"/>
    </row>
    <row r="32" spans="1:8" s="109" customFormat="1" ht="15" customHeight="1">
      <c r="A32" s="424" t="s">
        <v>1746</v>
      </c>
      <c r="B32" s="424"/>
      <c r="C32" s="424"/>
      <c r="D32" s="424"/>
      <c r="E32" s="424" t="s">
        <v>1747</v>
      </c>
      <c r="F32" s="424"/>
      <c r="G32" s="424"/>
      <c r="H32" s="424"/>
    </row>
    <row r="33" spans="1:8" s="109" customFormat="1" ht="33.6" customHeight="1">
      <c r="A33" s="424" t="s">
        <v>1748</v>
      </c>
      <c r="B33" s="424"/>
      <c r="C33" s="424"/>
      <c r="D33" s="424"/>
      <c r="E33" s="424" t="s">
        <v>65</v>
      </c>
      <c r="F33" s="424"/>
      <c r="G33" s="424"/>
      <c r="H33" s="424"/>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ustomHeight="1">
      <c r="A39" s="108"/>
      <c r="B39" s="108"/>
      <c r="C39" s="108"/>
      <c r="D39" s="115"/>
      <c r="E39" s="439" t="s">
        <v>1749</v>
      </c>
      <c r="F39" s="439"/>
      <c r="G39" s="439"/>
      <c r="H39" s="439"/>
    </row>
    <row r="40" spans="1:8" s="109" customFormat="1" ht="16.5" customHeight="1">
      <c r="A40" s="424" t="s">
        <v>1751</v>
      </c>
      <c r="B40" s="424"/>
      <c r="C40" s="424"/>
      <c r="D40" s="424"/>
      <c r="E40" s="424" t="s">
        <v>1750</v>
      </c>
      <c r="F40" s="424"/>
      <c r="G40" s="424"/>
      <c r="H40" s="424"/>
    </row>
    <row r="41" spans="1:8" s="118" customFormat="1" ht="16.2" customHeight="1">
      <c r="A41" s="440"/>
      <c r="B41" s="440"/>
      <c r="C41" s="116"/>
      <c r="D41" s="117"/>
      <c r="E41" s="440"/>
      <c r="F41" s="440"/>
      <c r="G41" s="440"/>
      <c r="H41" s="440"/>
    </row>
    <row r="42" spans="1:8" s="118" customFormat="1" ht="15.75" customHeight="1">
      <c r="A42" s="440"/>
      <c r="B42" s="440"/>
      <c r="C42" s="440"/>
      <c r="D42" s="440"/>
      <c r="E42" s="440"/>
      <c r="F42" s="440"/>
      <c r="G42" s="440"/>
      <c r="H42" s="440"/>
    </row>
    <row r="43" spans="1:8" s="98" customFormat="1" ht="16.2" customHeight="1">
      <c r="A43" s="436"/>
      <c r="B43" s="436"/>
      <c r="C43" s="436"/>
      <c r="D43" s="436"/>
      <c r="E43" s="119"/>
      <c r="F43" s="120"/>
      <c r="G43" s="119"/>
      <c r="H43" s="121"/>
    </row>
    <row r="44" spans="1:8" s="98" customFormat="1" ht="16.2" customHeight="1">
      <c r="A44" s="436"/>
      <c r="B44" s="436"/>
      <c r="C44" s="436"/>
      <c r="D44" s="436"/>
      <c r="E44" s="119"/>
      <c r="F44" s="120"/>
      <c r="G44" s="119"/>
      <c r="H44" s="121"/>
    </row>
    <row r="45" spans="1:8" s="98" customFormat="1" ht="16.2" customHeight="1">
      <c r="A45" s="121"/>
      <c r="B45" s="121"/>
      <c r="C45" s="121"/>
      <c r="D45" s="122"/>
      <c r="E45" s="119"/>
      <c r="F45" s="120"/>
      <c r="G45" s="119"/>
      <c r="H45" s="121"/>
    </row>
    <row r="46" spans="1:8" ht="16.2" customHeight="1">
      <c r="A46" s="83"/>
      <c r="B46" s="83"/>
      <c r="C46" s="83"/>
      <c r="D46" s="84"/>
      <c r="E46" s="85"/>
      <c r="F46" s="86"/>
      <c r="G46" s="85"/>
      <c r="H46" s="83"/>
    </row>
    <row r="47" spans="1:8" ht="16.2" customHeight="1">
      <c r="A47" s="83"/>
      <c r="B47" s="83"/>
      <c r="C47" s="83"/>
      <c r="D47" s="84"/>
      <c r="E47" s="85"/>
      <c r="F47" s="86"/>
      <c r="G47" s="85"/>
      <c r="H47" s="83"/>
    </row>
    <row r="48" spans="1:8" ht="16.2" customHeight="1">
      <c r="A48" s="83"/>
      <c r="B48" s="83"/>
      <c r="C48" s="83"/>
      <c r="D48" s="84"/>
      <c r="E48" s="85"/>
      <c r="F48" s="86"/>
      <c r="G48" s="85"/>
      <c r="H48" s="83"/>
    </row>
    <row r="49" spans="1:8" ht="16.2" customHeight="1">
      <c r="A49" s="83"/>
      <c r="B49" s="83"/>
      <c r="C49" s="83"/>
      <c r="D49" s="84"/>
      <c r="E49" s="437"/>
      <c r="F49" s="437"/>
      <c r="G49" s="437"/>
      <c r="H49" s="437"/>
    </row>
    <row r="50" spans="1:8" ht="20.25" customHeight="1">
      <c r="A50" s="438"/>
      <c r="B50" s="438"/>
      <c r="C50" s="438"/>
      <c r="D50" s="438"/>
      <c r="E50" s="438"/>
      <c r="F50" s="438"/>
      <c r="G50" s="438"/>
      <c r="H50" s="438"/>
    </row>
    <row r="51" spans="1:8" s="17" customFormat="1" ht="16.2" customHeight="1">
      <c r="D51" s="18"/>
      <c r="E51" s="19"/>
      <c r="F51" s="97"/>
      <c r="G51" s="19"/>
    </row>
    <row r="52" spans="1:8" s="17" customFormat="1" ht="16.2" customHeight="1">
      <c r="D52" s="18"/>
      <c r="E52" s="19"/>
      <c r="F52" s="97"/>
      <c r="G52" s="19"/>
    </row>
    <row r="53" spans="1:8" s="17" customFormat="1" ht="16.2" customHeight="1">
      <c r="D53" s="18"/>
      <c r="E53" s="19"/>
      <c r="F53" s="97"/>
      <c r="G53" s="19"/>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C67" s="97"/>
      <c r="D67" s="20"/>
      <c r="E67" s="19"/>
      <c r="F67" s="97"/>
      <c r="G67" s="19"/>
    </row>
    <row r="68" spans="3:7" s="17" customFormat="1" ht="16.2" customHeight="1">
      <c r="C68" s="97"/>
      <c r="D68" s="20"/>
      <c r="E68" s="19"/>
      <c r="F68" s="97"/>
      <c r="G68" s="19"/>
    </row>
    <row r="69" spans="3:7" s="17" customFormat="1" ht="16.2" customHeight="1">
      <c r="C69" s="97"/>
      <c r="D69" s="20"/>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ht="16.2" customHeight="1"/>
    <row r="80" spans="3:7" ht="16.2" customHeight="1"/>
    <row r="81" ht="16.2" customHeight="1"/>
    <row r="82" ht="16.2" customHeight="1"/>
    <row r="83" ht="16.2" customHeight="1"/>
    <row r="84" ht="16.2" customHeight="1"/>
    <row r="85" ht="16.2" customHeight="1"/>
    <row r="86" ht="16.2" customHeight="1"/>
    <row r="87" ht="16.2" customHeight="1"/>
    <row r="88" ht="16.2" customHeight="1"/>
    <row r="89" ht="16.2" customHeight="1"/>
    <row r="90" ht="16.2" customHeight="1"/>
    <row r="91" ht="16.2" customHeight="1"/>
    <row r="92" ht="16.2" customHeight="1"/>
    <row r="93" ht="16.2" customHeight="1"/>
    <row r="94" ht="16.2" customHeight="1"/>
    <row r="95" ht="16.2" customHeight="1"/>
    <row r="96"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row r="226"/>
    <row r="227"/>
    <row r="228"/>
    <row r="229"/>
    <row r="230"/>
    <row r="231"/>
    <row r="232"/>
    <row r="233"/>
    <row r="234"/>
    <row r="235"/>
    <row r="236"/>
    <row r="237"/>
    <row r="238"/>
    <row r="239"/>
    <row r="240"/>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sheetData>
  <mergeCells count="40">
    <mergeCell ref="A4:B4"/>
    <mergeCell ref="C4:H4"/>
    <mergeCell ref="A1:B1"/>
    <mergeCell ref="C1:H1"/>
    <mergeCell ref="A2:B2"/>
    <mergeCell ref="C2:H2"/>
    <mergeCell ref="A3:B3"/>
    <mergeCell ref="A21:H21"/>
    <mergeCell ref="A6:H6"/>
    <mergeCell ref="A7:H7"/>
    <mergeCell ref="A8:H8"/>
    <mergeCell ref="A9:H9"/>
    <mergeCell ref="A10:H10"/>
    <mergeCell ref="A11:H11"/>
    <mergeCell ref="B13:F13"/>
    <mergeCell ref="B15:F15"/>
    <mergeCell ref="B17:F17"/>
    <mergeCell ref="B19:F19"/>
    <mergeCell ref="B20:F20"/>
    <mergeCell ref="A40:D40"/>
    <mergeCell ref="E40:H40"/>
    <mergeCell ref="C23:H23"/>
    <mergeCell ref="A24:B24"/>
    <mergeCell ref="C24:E24"/>
    <mergeCell ref="F24:H24"/>
    <mergeCell ref="C30:E30"/>
    <mergeCell ref="F30:H30"/>
    <mergeCell ref="A32:D32"/>
    <mergeCell ref="E32:H32"/>
    <mergeCell ref="A33:D33"/>
    <mergeCell ref="E33:H33"/>
    <mergeCell ref="E39:H39"/>
    <mergeCell ref="E49:H49"/>
    <mergeCell ref="A50:H50"/>
    <mergeCell ref="A41:B41"/>
    <mergeCell ref="E41:H41"/>
    <mergeCell ref="A42:D42"/>
    <mergeCell ref="E42:H42"/>
    <mergeCell ref="A43:D43"/>
    <mergeCell ref="A44:D44"/>
  </mergeCells>
  <dataValidations count="1">
    <dataValidation type="list" allowBlank="1" showInputMessage="1" showErrorMessage="1" sqref="WVJ983042:WVJ983059 B983042:B983059 IX983042:IX983059 ST983042:ST983059 ACP983042:ACP983059 AML983042:AML983059 AWH983042:AWH983059 BGD983042:BGD983059 BPZ983042:BPZ983059 BZV983042:BZV983059 CJR983042:CJR983059 CTN983042:CTN983059 DDJ983042:DDJ983059 DNF983042:DNF983059 DXB983042:DXB983059 EGX983042:EGX983059 EQT983042:EQT983059 FAP983042:FAP983059 FKL983042:FKL983059 FUH983042:FUH983059 GED983042:GED983059 GNZ983042:GNZ983059 GXV983042:GXV983059 HHR983042:HHR983059 HRN983042:HRN983059 IBJ983042:IBJ983059 ILF983042:ILF983059 IVB983042:IVB983059 JEX983042:JEX983059 JOT983042:JOT983059 JYP983042:JYP983059 KIL983042:KIL983059 KSH983042:KSH983059 LCD983042:LCD983059 LLZ983042:LLZ983059 LVV983042:LVV983059 MFR983042:MFR983059 MPN983042:MPN983059 MZJ983042:MZJ983059 NJF983042:NJF983059 NTB983042:NTB983059 OCX983042:OCX983059 OMT983042:OMT983059 OWP983042:OWP983059 PGL983042:PGL983059 PQH983042:PQH983059 QAD983042:QAD983059 QJZ983042:QJZ983059 QTV983042:QTV983059 RDR983042:RDR983059 RNN983042:RNN983059 RXJ983042:RXJ983059 SHF983042:SHF983059 SRB983042:SRB983059 TAX983042:TAX983059 TKT983042:TKT983059 TUP983042:TUP983059 UEL983042:UEL983059 UOH983042:UOH983059 UYD983042:UYD983059 VHZ983042:VHZ983059 VRV983042:VRV983059 WBR983042:WBR983059 WLN983042:WLN983059 B65538:B65555 IX65538:IX65555 ST65538:ST65555 ACP65538:ACP65555 AML65538:AML65555 AWH65538:AWH65555 BGD65538:BGD65555 BPZ65538:BPZ65555 BZV65538:BZV65555 CJR65538:CJR65555 CTN65538:CTN65555 DDJ65538:DDJ65555 DNF65538:DNF65555 DXB65538:DXB65555 EGX65538:EGX65555 EQT65538:EQT65555 FAP65538:FAP65555 FKL65538:FKL65555 FUH65538:FUH65555 GED65538:GED65555 GNZ65538:GNZ65555 GXV65538:GXV65555 HHR65538:HHR65555 HRN65538:HRN65555 IBJ65538:IBJ65555 ILF65538:ILF65555 IVB65538:IVB65555 JEX65538:JEX65555 JOT65538:JOT65555 JYP65538:JYP65555 KIL65538:KIL65555 KSH65538:KSH65555 LCD65538:LCD65555 LLZ65538:LLZ65555 LVV65538:LVV65555 MFR65538:MFR65555 MPN65538:MPN65555 MZJ65538:MZJ65555 NJF65538:NJF65555 NTB65538:NTB65555 OCX65538:OCX65555 OMT65538:OMT65555 OWP65538:OWP65555 PGL65538:PGL65555 PQH65538:PQH65555 QAD65538:QAD65555 QJZ65538:QJZ65555 QTV65538:QTV65555 RDR65538:RDR65555 RNN65538:RNN65555 RXJ65538:RXJ65555 SHF65538:SHF65555 SRB65538:SRB65555 TAX65538:TAX65555 TKT65538:TKT65555 TUP65538:TUP65555 UEL65538:UEL65555 UOH65538:UOH65555 UYD65538:UYD65555 VHZ65538:VHZ65555 VRV65538:VRV65555 WBR65538:WBR65555 WLN65538:WLN65555 WVJ65538:WVJ65555 B131074:B131091 IX131074:IX131091 ST131074:ST131091 ACP131074:ACP131091 AML131074:AML131091 AWH131074:AWH131091 BGD131074:BGD131091 BPZ131074:BPZ131091 BZV131074:BZV131091 CJR131074:CJR131091 CTN131074:CTN131091 DDJ131074:DDJ131091 DNF131074:DNF131091 DXB131074:DXB131091 EGX131074:EGX131091 EQT131074:EQT131091 FAP131074:FAP131091 FKL131074:FKL131091 FUH131074:FUH131091 GED131074:GED131091 GNZ131074:GNZ131091 GXV131074:GXV131091 HHR131074:HHR131091 HRN131074:HRN131091 IBJ131074:IBJ131091 ILF131074:ILF131091 IVB131074:IVB131091 JEX131074:JEX131091 JOT131074:JOT131091 JYP131074:JYP131091 KIL131074:KIL131091 KSH131074:KSH131091 LCD131074:LCD131091 LLZ131074:LLZ131091 LVV131074:LVV131091 MFR131074:MFR131091 MPN131074:MPN131091 MZJ131074:MZJ131091 NJF131074:NJF131091 NTB131074:NTB131091 OCX131074:OCX131091 OMT131074:OMT131091 OWP131074:OWP131091 PGL131074:PGL131091 PQH131074:PQH131091 QAD131074:QAD131091 QJZ131074:QJZ131091 QTV131074:QTV131091 RDR131074:RDR131091 RNN131074:RNN131091 RXJ131074:RXJ131091 SHF131074:SHF131091 SRB131074:SRB131091 TAX131074:TAX131091 TKT131074:TKT131091 TUP131074:TUP131091 UEL131074:UEL131091 UOH131074:UOH131091 UYD131074:UYD131091 VHZ131074:VHZ131091 VRV131074:VRV131091 WBR131074:WBR131091 WLN131074:WLN131091 WVJ131074:WVJ131091 B196610:B196627 IX196610:IX196627 ST196610:ST196627 ACP196610:ACP196627 AML196610:AML196627 AWH196610:AWH196627 BGD196610:BGD196627 BPZ196610:BPZ196627 BZV196610:BZV196627 CJR196610:CJR196627 CTN196610:CTN196627 DDJ196610:DDJ196627 DNF196610:DNF196627 DXB196610:DXB196627 EGX196610:EGX196627 EQT196610:EQT196627 FAP196610:FAP196627 FKL196610:FKL196627 FUH196610:FUH196627 GED196610:GED196627 GNZ196610:GNZ196627 GXV196610:GXV196627 HHR196610:HHR196627 HRN196610:HRN196627 IBJ196610:IBJ196627 ILF196610:ILF196627 IVB196610:IVB196627 JEX196610:JEX196627 JOT196610:JOT196627 JYP196610:JYP196627 KIL196610:KIL196627 KSH196610:KSH196627 LCD196610:LCD196627 LLZ196610:LLZ196627 LVV196610:LVV196627 MFR196610:MFR196627 MPN196610:MPN196627 MZJ196610:MZJ196627 NJF196610:NJF196627 NTB196610:NTB196627 OCX196610:OCX196627 OMT196610:OMT196627 OWP196610:OWP196627 PGL196610:PGL196627 PQH196610:PQH196627 QAD196610:QAD196627 QJZ196610:QJZ196627 QTV196610:QTV196627 RDR196610:RDR196627 RNN196610:RNN196627 RXJ196610:RXJ196627 SHF196610:SHF196627 SRB196610:SRB196627 TAX196610:TAX196627 TKT196610:TKT196627 TUP196610:TUP196627 UEL196610:UEL196627 UOH196610:UOH196627 UYD196610:UYD196627 VHZ196610:VHZ196627 VRV196610:VRV196627 WBR196610:WBR196627 WLN196610:WLN196627 WVJ196610:WVJ196627 B262146:B262163 IX262146:IX262163 ST262146:ST262163 ACP262146:ACP262163 AML262146:AML262163 AWH262146:AWH262163 BGD262146:BGD262163 BPZ262146:BPZ262163 BZV262146:BZV262163 CJR262146:CJR262163 CTN262146:CTN262163 DDJ262146:DDJ262163 DNF262146:DNF262163 DXB262146:DXB262163 EGX262146:EGX262163 EQT262146:EQT262163 FAP262146:FAP262163 FKL262146:FKL262163 FUH262146:FUH262163 GED262146:GED262163 GNZ262146:GNZ262163 GXV262146:GXV262163 HHR262146:HHR262163 HRN262146:HRN262163 IBJ262146:IBJ262163 ILF262146:ILF262163 IVB262146:IVB262163 JEX262146:JEX262163 JOT262146:JOT262163 JYP262146:JYP262163 KIL262146:KIL262163 KSH262146:KSH262163 LCD262146:LCD262163 LLZ262146:LLZ262163 LVV262146:LVV262163 MFR262146:MFR262163 MPN262146:MPN262163 MZJ262146:MZJ262163 NJF262146:NJF262163 NTB262146:NTB262163 OCX262146:OCX262163 OMT262146:OMT262163 OWP262146:OWP262163 PGL262146:PGL262163 PQH262146:PQH262163 QAD262146:QAD262163 QJZ262146:QJZ262163 QTV262146:QTV262163 RDR262146:RDR262163 RNN262146:RNN262163 RXJ262146:RXJ262163 SHF262146:SHF262163 SRB262146:SRB262163 TAX262146:TAX262163 TKT262146:TKT262163 TUP262146:TUP262163 UEL262146:UEL262163 UOH262146:UOH262163 UYD262146:UYD262163 VHZ262146:VHZ262163 VRV262146:VRV262163 WBR262146:WBR262163 WLN262146:WLN262163 WVJ262146:WVJ262163 B327682:B327699 IX327682:IX327699 ST327682:ST327699 ACP327682:ACP327699 AML327682:AML327699 AWH327682:AWH327699 BGD327682:BGD327699 BPZ327682:BPZ327699 BZV327682:BZV327699 CJR327682:CJR327699 CTN327682:CTN327699 DDJ327682:DDJ327699 DNF327682:DNF327699 DXB327682:DXB327699 EGX327682:EGX327699 EQT327682:EQT327699 FAP327682:FAP327699 FKL327682:FKL327699 FUH327682:FUH327699 GED327682:GED327699 GNZ327682:GNZ327699 GXV327682:GXV327699 HHR327682:HHR327699 HRN327682:HRN327699 IBJ327682:IBJ327699 ILF327682:ILF327699 IVB327682:IVB327699 JEX327682:JEX327699 JOT327682:JOT327699 JYP327682:JYP327699 KIL327682:KIL327699 KSH327682:KSH327699 LCD327682:LCD327699 LLZ327682:LLZ327699 LVV327682:LVV327699 MFR327682:MFR327699 MPN327682:MPN327699 MZJ327682:MZJ327699 NJF327682:NJF327699 NTB327682:NTB327699 OCX327682:OCX327699 OMT327682:OMT327699 OWP327682:OWP327699 PGL327682:PGL327699 PQH327682:PQH327699 QAD327682:QAD327699 QJZ327682:QJZ327699 QTV327682:QTV327699 RDR327682:RDR327699 RNN327682:RNN327699 RXJ327682:RXJ327699 SHF327682:SHF327699 SRB327682:SRB327699 TAX327682:TAX327699 TKT327682:TKT327699 TUP327682:TUP327699 UEL327682:UEL327699 UOH327682:UOH327699 UYD327682:UYD327699 VHZ327682:VHZ327699 VRV327682:VRV327699 WBR327682:WBR327699 WLN327682:WLN327699 WVJ327682:WVJ327699 B393218:B393235 IX393218:IX393235 ST393218:ST393235 ACP393218:ACP393235 AML393218:AML393235 AWH393218:AWH393235 BGD393218:BGD393235 BPZ393218:BPZ393235 BZV393218:BZV393235 CJR393218:CJR393235 CTN393218:CTN393235 DDJ393218:DDJ393235 DNF393218:DNF393235 DXB393218:DXB393235 EGX393218:EGX393235 EQT393218:EQT393235 FAP393218:FAP393235 FKL393218:FKL393235 FUH393218:FUH393235 GED393218:GED393235 GNZ393218:GNZ393235 GXV393218:GXV393235 HHR393218:HHR393235 HRN393218:HRN393235 IBJ393218:IBJ393235 ILF393218:ILF393235 IVB393218:IVB393235 JEX393218:JEX393235 JOT393218:JOT393235 JYP393218:JYP393235 KIL393218:KIL393235 KSH393218:KSH393235 LCD393218:LCD393235 LLZ393218:LLZ393235 LVV393218:LVV393235 MFR393218:MFR393235 MPN393218:MPN393235 MZJ393218:MZJ393235 NJF393218:NJF393235 NTB393218:NTB393235 OCX393218:OCX393235 OMT393218:OMT393235 OWP393218:OWP393235 PGL393218:PGL393235 PQH393218:PQH393235 QAD393218:QAD393235 QJZ393218:QJZ393235 QTV393218:QTV393235 RDR393218:RDR393235 RNN393218:RNN393235 RXJ393218:RXJ393235 SHF393218:SHF393235 SRB393218:SRB393235 TAX393218:TAX393235 TKT393218:TKT393235 TUP393218:TUP393235 UEL393218:UEL393235 UOH393218:UOH393235 UYD393218:UYD393235 VHZ393218:VHZ393235 VRV393218:VRV393235 WBR393218:WBR393235 WLN393218:WLN393235 WVJ393218:WVJ393235 B458754:B458771 IX458754:IX458771 ST458754:ST458771 ACP458754:ACP458771 AML458754:AML458771 AWH458754:AWH458771 BGD458754:BGD458771 BPZ458754:BPZ458771 BZV458754:BZV458771 CJR458754:CJR458771 CTN458754:CTN458771 DDJ458754:DDJ458771 DNF458754:DNF458771 DXB458754:DXB458771 EGX458754:EGX458771 EQT458754:EQT458771 FAP458754:FAP458771 FKL458754:FKL458771 FUH458754:FUH458771 GED458754:GED458771 GNZ458754:GNZ458771 GXV458754:GXV458771 HHR458754:HHR458771 HRN458754:HRN458771 IBJ458754:IBJ458771 ILF458754:ILF458771 IVB458754:IVB458771 JEX458754:JEX458771 JOT458754:JOT458771 JYP458754:JYP458771 KIL458754:KIL458771 KSH458754:KSH458771 LCD458754:LCD458771 LLZ458754:LLZ458771 LVV458754:LVV458771 MFR458754:MFR458771 MPN458754:MPN458771 MZJ458754:MZJ458771 NJF458754:NJF458771 NTB458754:NTB458771 OCX458754:OCX458771 OMT458754:OMT458771 OWP458754:OWP458771 PGL458754:PGL458771 PQH458754:PQH458771 QAD458754:QAD458771 QJZ458754:QJZ458771 QTV458754:QTV458771 RDR458754:RDR458771 RNN458754:RNN458771 RXJ458754:RXJ458771 SHF458754:SHF458771 SRB458754:SRB458771 TAX458754:TAX458771 TKT458754:TKT458771 TUP458754:TUP458771 UEL458754:UEL458771 UOH458754:UOH458771 UYD458754:UYD458771 VHZ458754:VHZ458771 VRV458754:VRV458771 WBR458754:WBR458771 WLN458754:WLN458771 WVJ458754:WVJ458771 B524290:B524307 IX524290:IX524307 ST524290:ST524307 ACP524290:ACP524307 AML524290:AML524307 AWH524290:AWH524307 BGD524290:BGD524307 BPZ524290:BPZ524307 BZV524290:BZV524307 CJR524290:CJR524307 CTN524290:CTN524307 DDJ524290:DDJ524307 DNF524290:DNF524307 DXB524290:DXB524307 EGX524290:EGX524307 EQT524290:EQT524307 FAP524290:FAP524307 FKL524290:FKL524307 FUH524290:FUH524307 GED524290:GED524307 GNZ524290:GNZ524307 GXV524290:GXV524307 HHR524290:HHR524307 HRN524290:HRN524307 IBJ524290:IBJ524307 ILF524290:ILF524307 IVB524290:IVB524307 JEX524290:JEX524307 JOT524290:JOT524307 JYP524290:JYP524307 KIL524290:KIL524307 KSH524290:KSH524307 LCD524290:LCD524307 LLZ524290:LLZ524307 LVV524290:LVV524307 MFR524290:MFR524307 MPN524290:MPN524307 MZJ524290:MZJ524307 NJF524290:NJF524307 NTB524290:NTB524307 OCX524290:OCX524307 OMT524290:OMT524307 OWP524290:OWP524307 PGL524290:PGL524307 PQH524290:PQH524307 QAD524290:QAD524307 QJZ524290:QJZ524307 QTV524290:QTV524307 RDR524290:RDR524307 RNN524290:RNN524307 RXJ524290:RXJ524307 SHF524290:SHF524307 SRB524290:SRB524307 TAX524290:TAX524307 TKT524290:TKT524307 TUP524290:TUP524307 UEL524290:UEL524307 UOH524290:UOH524307 UYD524290:UYD524307 VHZ524290:VHZ524307 VRV524290:VRV524307 WBR524290:WBR524307 WLN524290:WLN524307 WVJ524290:WVJ524307 B589826:B589843 IX589826:IX589843 ST589826:ST589843 ACP589826:ACP589843 AML589826:AML589843 AWH589826:AWH589843 BGD589826:BGD589843 BPZ589826:BPZ589843 BZV589826:BZV589843 CJR589826:CJR589843 CTN589826:CTN589843 DDJ589826:DDJ589843 DNF589826:DNF589843 DXB589826:DXB589843 EGX589826:EGX589843 EQT589826:EQT589843 FAP589826:FAP589843 FKL589826:FKL589843 FUH589826:FUH589843 GED589826:GED589843 GNZ589826:GNZ589843 GXV589826:GXV589843 HHR589826:HHR589843 HRN589826:HRN589843 IBJ589826:IBJ589843 ILF589826:ILF589843 IVB589826:IVB589843 JEX589826:JEX589843 JOT589826:JOT589843 JYP589826:JYP589843 KIL589826:KIL589843 KSH589826:KSH589843 LCD589826:LCD589843 LLZ589826:LLZ589843 LVV589826:LVV589843 MFR589826:MFR589843 MPN589826:MPN589843 MZJ589826:MZJ589843 NJF589826:NJF589843 NTB589826:NTB589843 OCX589826:OCX589843 OMT589826:OMT589843 OWP589826:OWP589843 PGL589826:PGL589843 PQH589826:PQH589843 QAD589826:QAD589843 QJZ589826:QJZ589843 QTV589826:QTV589843 RDR589826:RDR589843 RNN589826:RNN589843 RXJ589826:RXJ589843 SHF589826:SHF589843 SRB589826:SRB589843 TAX589826:TAX589843 TKT589826:TKT589843 TUP589826:TUP589843 UEL589826:UEL589843 UOH589826:UOH589843 UYD589826:UYD589843 VHZ589826:VHZ589843 VRV589826:VRV589843 WBR589826:WBR589843 WLN589826:WLN589843 WVJ589826:WVJ589843 B655362:B655379 IX655362:IX655379 ST655362:ST655379 ACP655362:ACP655379 AML655362:AML655379 AWH655362:AWH655379 BGD655362:BGD655379 BPZ655362:BPZ655379 BZV655362:BZV655379 CJR655362:CJR655379 CTN655362:CTN655379 DDJ655362:DDJ655379 DNF655362:DNF655379 DXB655362:DXB655379 EGX655362:EGX655379 EQT655362:EQT655379 FAP655362:FAP655379 FKL655362:FKL655379 FUH655362:FUH655379 GED655362:GED655379 GNZ655362:GNZ655379 GXV655362:GXV655379 HHR655362:HHR655379 HRN655362:HRN655379 IBJ655362:IBJ655379 ILF655362:ILF655379 IVB655362:IVB655379 JEX655362:JEX655379 JOT655362:JOT655379 JYP655362:JYP655379 KIL655362:KIL655379 KSH655362:KSH655379 LCD655362:LCD655379 LLZ655362:LLZ655379 LVV655362:LVV655379 MFR655362:MFR655379 MPN655362:MPN655379 MZJ655362:MZJ655379 NJF655362:NJF655379 NTB655362:NTB655379 OCX655362:OCX655379 OMT655362:OMT655379 OWP655362:OWP655379 PGL655362:PGL655379 PQH655362:PQH655379 QAD655362:QAD655379 QJZ655362:QJZ655379 QTV655362:QTV655379 RDR655362:RDR655379 RNN655362:RNN655379 RXJ655362:RXJ655379 SHF655362:SHF655379 SRB655362:SRB655379 TAX655362:TAX655379 TKT655362:TKT655379 TUP655362:TUP655379 UEL655362:UEL655379 UOH655362:UOH655379 UYD655362:UYD655379 VHZ655362:VHZ655379 VRV655362:VRV655379 WBR655362:WBR655379 WLN655362:WLN655379 WVJ655362:WVJ655379 B720898:B720915 IX720898:IX720915 ST720898:ST720915 ACP720898:ACP720915 AML720898:AML720915 AWH720898:AWH720915 BGD720898:BGD720915 BPZ720898:BPZ720915 BZV720898:BZV720915 CJR720898:CJR720915 CTN720898:CTN720915 DDJ720898:DDJ720915 DNF720898:DNF720915 DXB720898:DXB720915 EGX720898:EGX720915 EQT720898:EQT720915 FAP720898:FAP720915 FKL720898:FKL720915 FUH720898:FUH720915 GED720898:GED720915 GNZ720898:GNZ720915 GXV720898:GXV720915 HHR720898:HHR720915 HRN720898:HRN720915 IBJ720898:IBJ720915 ILF720898:ILF720915 IVB720898:IVB720915 JEX720898:JEX720915 JOT720898:JOT720915 JYP720898:JYP720915 KIL720898:KIL720915 KSH720898:KSH720915 LCD720898:LCD720915 LLZ720898:LLZ720915 LVV720898:LVV720915 MFR720898:MFR720915 MPN720898:MPN720915 MZJ720898:MZJ720915 NJF720898:NJF720915 NTB720898:NTB720915 OCX720898:OCX720915 OMT720898:OMT720915 OWP720898:OWP720915 PGL720898:PGL720915 PQH720898:PQH720915 QAD720898:QAD720915 QJZ720898:QJZ720915 QTV720898:QTV720915 RDR720898:RDR720915 RNN720898:RNN720915 RXJ720898:RXJ720915 SHF720898:SHF720915 SRB720898:SRB720915 TAX720898:TAX720915 TKT720898:TKT720915 TUP720898:TUP720915 UEL720898:UEL720915 UOH720898:UOH720915 UYD720898:UYD720915 VHZ720898:VHZ720915 VRV720898:VRV720915 WBR720898:WBR720915 WLN720898:WLN720915 WVJ720898:WVJ720915 B786434:B786451 IX786434:IX786451 ST786434:ST786451 ACP786434:ACP786451 AML786434:AML786451 AWH786434:AWH786451 BGD786434:BGD786451 BPZ786434:BPZ786451 BZV786434:BZV786451 CJR786434:CJR786451 CTN786434:CTN786451 DDJ786434:DDJ786451 DNF786434:DNF786451 DXB786434:DXB786451 EGX786434:EGX786451 EQT786434:EQT786451 FAP786434:FAP786451 FKL786434:FKL786451 FUH786434:FUH786451 GED786434:GED786451 GNZ786434:GNZ786451 GXV786434:GXV786451 HHR786434:HHR786451 HRN786434:HRN786451 IBJ786434:IBJ786451 ILF786434:ILF786451 IVB786434:IVB786451 JEX786434:JEX786451 JOT786434:JOT786451 JYP786434:JYP786451 KIL786434:KIL786451 KSH786434:KSH786451 LCD786434:LCD786451 LLZ786434:LLZ786451 LVV786434:LVV786451 MFR786434:MFR786451 MPN786434:MPN786451 MZJ786434:MZJ786451 NJF786434:NJF786451 NTB786434:NTB786451 OCX786434:OCX786451 OMT786434:OMT786451 OWP786434:OWP786451 PGL786434:PGL786451 PQH786434:PQH786451 QAD786434:QAD786451 QJZ786434:QJZ786451 QTV786434:QTV786451 RDR786434:RDR786451 RNN786434:RNN786451 RXJ786434:RXJ786451 SHF786434:SHF786451 SRB786434:SRB786451 TAX786434:TAX786451 TKT786434:TKT786451 TUP786434:TUP786451 UEL786434:UEL786451 UOH786434:UOH786451 UYD786434:UYD786451 VHZ786434:VHZ786451 VRV786434:VRV786451 WBR786434:WBR786451 WLN786434:WLN786451 WVJ786434:WVJ786451 B851970:B851987 IX851970:IX851987 ST851970:ST851987 ACP851970:ACP851987 AML851970:AML851987 AWH851970:AWH851987 BGD851970:BGD851987 BPZ851970:BPZ851987 BZV851970:BZV851987 CJR851970:CJR851987 CTN851970:CTN851987 DDJ851970:DDJ851987 DNF851970:DNF851987 DXB851970:DXB851987 EGX851970:EGX851987 EQT851970:EQT851987 FAP851970:FAP851987 FKL851970:FKL851987 FUH851970:FUH851987 GED851970:GED851987 GNZ851970:GNZ851987 GXV851970:GXV851987 HHR851970:HHR851987 HRN851970:HRN851987 IBJ851970:IBJ851987 ILF851970:ILF851987 IVB851970:IVB851987 JEX851970:JEX851987 JOT851970:JOT851987 JYP851970:JYP851987 KIL851970:KIL851987 KSH851970:KSH851987 LCD851970:LCD851987 LLZ851970:LLZ851987 LVV851970:LVV851987 MFR851970:MFR851987 MPN851970:MPN851987 MZJ851970:MZJ851987 NJF851970:NJF851987 NTB851970:NTB851987 OCX851970:OCX851987 OMT851970:OMT851987 OWP851970:OWP851987 PGL851970:PGL851987 PQH851970:PQH851987 QAD851970:QAD851987 QJZ851970:QJZ851987 QTV851970:QTV851987 RDR851970:RDR851987 RNN851970:RNN851987 RXJ851970:RXJ851987 SHF851970:SHF851987 SRB851970:SRB851987 TAX851970:TAX851987 TKT851970:TKT851987 TUP851970:TUP851987 UEL851970:UEL851987 UOH851970:UOH851987 UYD851970:UYD851987 VHZ851970:VHZ851987 VRV851970:VRV851987 WBR851970:WBR851987 WLN851970:WLN851987 WVJ851970:WVJ851987 B917506:B917523 IX917506:IX917523 ST917506:ST917523 ACP917506:ACP917523 AML917506:AML917523 AWH917506:AWH917523 BGD917506:BGD917523 BPZ917506:BPZ917523 BZV917506:BZV917523 CJR917506:CJR917523 CTN917506:CTN917523 DDJ917506:DDJ917523 DNF917506:DNF917523 DXB917506:DXB917523 EGX917506:EGX917523 EQT917506:EQT917523 FAP917506:FAP917523 FKL917506:FKL917523 FUH917506:FUH917523 GED917506:GED917523 GNZ917506:GNZ917523 GXV917506:GXV917523 HHR917506:HHR917523 HRN917506:HRN917523 IBJ917506:IBJ917523 ILF917506:ILF917523 IVB917506:IVB917523 JEX917506:JEX917523 JOT917506:JOT917523 JYP917506:JYP917523 KIL917506:KIL917523 KSH917506:KSH917523 LCD917506:LCD917523 LLZ917506:LLZ917523 LVV917506:LVV917523 MFR917506:MFR917523 MPN917506:MPN917523 MZJ917506:MZJ917523 NJF917506:NJF917523 NTB917506:NTB917523 OCX917506:OCX917523 OMT917506:OMT917523 OWP917506:OWP917523 PGL917506:PGL917523 PQH917506:PQH917523 QAD917506:QAD917523 QJZ917506:QJZ917523 QTV917506:QTV917523 RDR917506:RDR917523 RNN917506:RNN917523 RXJ917506:RXJ917523 SHF917506:SHF917523 SRB917506:SRB917523 TAX917506:TAX917523 TKT917506:TKT917523 TUP917506:TUP917523 UEL917506:UEL917523 UOH917506:UOH917523 UYD917506:UYD917523 VHZ917506:VHZ917523 VRV917506:VRV917523 WBR917506:WBR917523 WLN917506:WLN917523 WVJ917506:WVJ917523" xr:uid="{00000000-0002-0000-4B00-000000000000}">
      <formula1>trung</formula1>
    </dataValidation>
  </dataValidation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H364"/>
  <sheetViews>
    <sheetView topLeftCell="A7" workbookViewId="0">
      <selection activeCell="D56" sqref="D56"/>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360"/>
      <c r="D3" s="203"/>
      <c r="E3" s="204"/>
      <c r="F3" s="362"/>
      <c r="G3" s="206"/>
      <c r="H3" s="103"/>
    </row>
    <row r="4" spans="1:8" s="98" customFormat="1" ht="18" customHeight="1">
      <c r="A4" s="443"/>
      <c r="B4" s="443"/>
      <c r="C4" s="415" t="s">
        <v>1740</v>
      </c>
      <c r="D4" s="415"/>
      <c r="E4" s="415"/>
      <c r="F4" s="415"/>
      <c r="G4" s="415"/>
      <c r="H4" s="415"/>
    </row>
    <row r="5" spans="1:8" s="98" customFormat="1" ht="15.6">
      <c r="A5" s="207"/>
      <c r="B5" s="207"/>
      <c r="C5" s="361"/>
      <c r="D5" s="209"/>
      <c r="E5" s="210"/>
      <c r="F5" s="361"/>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2282</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2283</v>
      </c>
      <c r="C13" s="425"/>
      <c r="D13" s="425"/>
      <c r="E13" s="425"/>
      <c r="F13" s="425"/>
      <c r="G13" s="73">
        <f>G14</f>
        <v>61360000</v>
      </c>
      <c r="H13" s="74"/>
    </row>
    <row r="14" spans="1:8" s="131" customFormat="1" ht="40.5" customHeight="1">
      <c r="A14" s="123"/>
      <c r="B14" s="124" t="s">
        <v>1757</v>
      </c>
      <c r="C14" s="125" t="s">
        <v>1753</v>
      </c>
      <c r="D14" s="126">
        <v>5.2</v>
      </c>
      <c r="E14" s="127">
        <v>11800000</v>
      </c>
      <c r="F14" s="128">
        <v>1</v>
      </c>
      <c r="G14" s="129">
        <f>D14*E14*F14</f>
        <v>61360000</v>
      </c>
      <c r="H14" s="130"/>
    </row>
    <row r="15" spans="1:8" ht="27" customHeight="1">
      <c r="A15" s="75" t="s">
        <v>18</v>
      </c>
      <c r="B15" s="426" t="s">
        <v>1725</v>
      </c>
      <c r="C15" s="426"/>
      <c r="D15" s="426"/>
      <c r="E15" s="426"/>
      <c r="F15" s="426"/>
      <c r="G15" s="76">
        <f>0</f>
        <v>0</v>
      </c>
      <c r="H15" s="11"/>
    </row>
    <row r="16" spans="1:8" ht="30.6" customHeight="1">
      <c r="A16" s="77"/>
      <c r="B16" s="78" t="s">
        <v>1728</v>
      </c>
      <c r="C16" s="13"/>
      <c r="D16" s="13"/>
      <c r="E16" s="13"/>
      <c r="F16" s="13"/>
      <c r="G16" s="79"/>
      <c r="H16" s="15"/>
    </row>
    <row r="17" spans="1:8" ht="24" customHeight="1">
      <c r="A17" s="75" t="s">
        <v>19</v>
      </c>
      <c r="B17" s="426" t="s">
        <v>1727</v>
      </c>
      <c r="C17" s="426"/>
      <c r="D17" s="426"/>
      <c r="E17" s="426"/>
      <c r="F17" s="426"/>
      <c r="G17" s="76">
        <f>SUM(G18:G18)</f>
        <v>0</v>
      </c>
      <c r="H17" s="11"/>
    </row>
    <row r="18" spans="1:8" ht="30.6" customHeight="1">
      <c r="A18" s="77"/>
      <c r="B18" s="78" t="s">
        <v>1728</v>
      </c>
      <c r="C18" s="13"/>
      <c r="D18" s="13"/>
      <c r="E18" s="13"/>
      <c r="F18" s="13"/>
      <c r="G18" s="79"/>
      <c r="H18" s="15"/>
    </row>
    <row r="19" spans="1:8" ht="15.6">
      <c r="A19" s="80"/>
      <c r="B19" s="427" t="s">
        <v>62</v>
      </c>
      <c r="C19" s="428"/>
      <c r="D19" s="428"/>
      <c r="E19" s="428"/>
      <c r="F19" s="429"/>
      <c r="G19" s="81">
        <f>G13+G15+G17</f>
        <v>61360000</v>
      </c>
      <c r="H19" s="82"/>
    </row>
    <row r="20" spans="1:8" ht="15.6">
      <c r="A20" s="80"/>
      <c r="B20" s="427" t="s">
        <v>1726</v>
      </c>
      <c r="C20" s="428"/>
      <c r="D20" s="428"/>
      <c r="E20" s="428"/>
      <c r="F20" s="429"/>
      <c r="G20" s="81">
        <f>ROUND(G19,-3)</f>
        <v>61360000</v>
      </c>
      <c r="H20" s="82"/>
    </row>
    <row r="21" spans="1:8" ht="15.6">
      <c r="A21" s="430" t="e">
        <f ca="1">[19]!vnd(G20)</f>
        <v>#NAME?</v>
      </c>
      <c r="B21" s="431"/>
      <c r="C21" s="431"/>
      <c r="D21" s="431"/>
      <c r="E21" s="431"/>
      <c r="F21" s="431"/>
      <c r="G21" s="431"/>
      <c r="H21" s="432"/>
    </row>
    <row r="22" spans="1:8">
      <c r="A22" s="17"/>
      <c r="B22" s="17"/>
      <c r="C22" s="97"/>
      <c r="D22" s="20"/>
      <c r="E22" s="19"/>
      <c r="F22" s="97"/>
      <c r="G22" s="19"/>
      <c r="H22" s="17"/>
    </row>
    <row r="23" spans="1:8" s="109" customFormat="1" ht="16.5" customHeight="1">
      <c r="A23" s="108"/>
      <c r="B23" s="108"/>
      <c r="C23" s="424" t="s">
        <v>1742</v>
      </c>
      <c r="D23" s="424"/>
      <c r="E23" s="424"/>
      <c r="F23" s="424"/>
      <c r="G23" s="424"/>
      <c r="H23" s="424"/>
    </row>
    <row r="24" spans="1:8" s="109" customFormat="1" ht="16.5" customHeight="1">
      <c r="A24" s="423" t="s">
        <v>63</v>
      </c>
      <c r="B24" s="423"/>
      <c r="C24" s="424" t="s">
        <v>1743</v>
      </c>
      <c r="D24" s="424"/>
      <c r="E24" s="424"/>
      <c r="F24" s="424" t="s">
        <v>1744</v>
      </c>
      <c r="G24" s="424"/>
      <c r="H24" s="424"/>
    </row>
    <row r="25" spans="1:8" s="109" customFormat="1" ht="15.6">
      <c r="A25" s="108"/>
      <c r="B25" s="108"/>
      <c r="C25" s="108"/>
      <c r="D25" s="110"/>
      <c r="E25" s="111"/>
      <c r="F25" s="112"/>
      <c r="G25" s="111"/>
      <c r="H25" s="113"/>
    </row>
    <row r="26" spans="1:8" s="109" customFormat="1" ht="15.6">
      <c r="A26" s="108"/>
      <c r="B26" s="108"/>
      <c r="C26" s="108"/>
      <c r="D26" s="110"/>
      <c r="E26" s="111"/>
      <c r="F26" s="112"/>
      <c r="G26" s="114"/>
      <c r="H26" s="113"/>
    </row>
    <row r="27" spans="1:8" s="109" customFormat="1" ht="15.6">
      <c r="A27" s="108"/>
      <c r="B27" s="108"/>
      <c r="C27" s="108"/>
      <c r="D27" s="110"/>
      <c r="E27" s="111"/>
      <c r="F27" s="112"/>
      <c r="G27" s="111"/>
      <c r="H27" s="113"/>
    </row>
    <row r="28" spans="1:8" s="109" customFormat="1" ht="15.6">
      <c r="A28" s="108"/>
      <c r="B28" s="108"/>
      <c r="C28" s="108"/>
      <c r="D28" s="110"/>
      <c r="E28" s="111"/>
      <c r="F28" s="112"/>
      <c r="G28" s="111"/>
      <c r="H28" s="113"/>
    </row>
    <row r="29" spans="1:8" s="109" customFormat="1" ht="15.6">
      <c r="A29" s="108"/>
      <c r="B29" s="108"/>
      <c r="C29" s="108"/>
      <c r="D29" s="110"/>
      <c r="E29" s="111"/>
      <c r="F29" s="112"/>
      <c r="G29" s="111"/>
      <c r="H29" s="113"/>
    </row>
    <row r="30" spans="1:8" s="109" customFormat="1" ht="16.5" customHeight="1">
      <c r="A30" s="108"/>
      <c r="B30" s="358" t="s">
        <v>64</v>
      </c>
      <c r="C30" s="424"/>
      <c r="D30" s="424"/>
      <c r="E30" s="424"/>
      <c r="F30" s="424" t="s">
        <v>1745</v>
      </c>
      <c r="G30" s="424"/>
      <c r="H30" s="424"/>
    </row>
    <row r="31" spans="1:8" s="109" customFormat="1" ht="15.6">
      <c r="A31" s="108"/>
      <c r="B31" s="358"/>
      <c r="C31" s="359"/>
      <c r="D31" s="359"/>
      <c r="E31" s="359"/>
      <c r="F31" s="359"/>
      <c r="G31" s="359"/>
      <c r="H31" s="359"/>
    </row>
    <row r="32" spans="1:8" s="109" customFormat="1" ht="15" customHeight="1">
      <c r="A32" s="424" t="s">
        <v>1746</v>
      </c>
      <c r="B32" s="424"/>
      <c r="C32" s="424"/>
      <c r="D32" s="424"/>
      <c r="E32" s="424" t="s">
        <v>1747</v>
      </c>
      <c r="F32" s="424"/>
      <c r="G32" s="424"/>
      <c r="H32" s="424"/>
    </row>
    <row r="33" spans="1:8" s="109" customFormat="1" ht="33.6" customHeight="1">
      <c r="A33" s="424" t="s">
        <v>1748</v>
      </c>
      <c r="B33" s="424"/>
      <c r="C33" s="424"/>
      <c r="D33" s="424"/>
      <c r="E33" s="424" t="s">
        <v>65</v>
      </c>
      <c r="F33" s="424"/>
      <c r="G33" s="424"/>
      <c r="H33" s="424"/>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ustomHeight="1">
      <c r="A39" s="108"/>
      <c r="B39" s="108"/>
      <c r="C39" s="108"/>
      <c r="D39" s="115"/>
      <c r="E39" s="439" t="s">
        <v>1749</v>
      </c>
      <c r="F39" s="439"/>
      <c r="G39" s="439"/>
      <c r="H39" s="439"/>
    </row>
    <row r="40" spans="1:8" s="109" customFormat="1" ht="16.5" customHeight="1">
      <c r="A40" s="424" t="s">
        <v>1751</v>
      </c>
      <c r="B40" s="424"/>
      <c r="C40" s="424"/>
      <c r="D40" s="424"/>
      <c r="E40" s="424" t="s">
        <v>1750</v>
      </c>
      <c r="F40" s="424"/>
      <c r="G40" s="424"/>
      <c r="H40" s="424"/>
    </row>
    <row r="41" spans="1:8" s="118" customFormat="1" ht="16.2" customHeight="1">
      <c r="A41" s="440"/>
      <c r="B41" s="440"/>
      <c r="C41" s="116"/>
      <c r="D41" s="117"/>
      <c r="E41" s="440"/>
      <c r="F41" s="440"/>
      <c r="G41" s="440"/>
      <c r="H41" s="440"/>
    </row>
    <row r="42" spans="1:8" s="118" customFormat="1" ht="15.75" customHeight="1">
      <c r="A42" s="440"/>
      <c r="B42" s="440"/>
      <c r="C42" s="440"/>
      <c r="D42" s="440"/>
      <c r="E42" s="440"/>
      <c r="F42" s="440"/>
      <c r="G42" s="440"/>
      <c r="H42" s="440"/>
    </row>
    <row r="43" spans="1:8" s="98" customFormat="1" ht="16.2" customHeight="1">
      <c r="A43" s="436"/>
      <c r="B43" s="436"/>
      <c r="C43" s="436"/>
      <c r="D43" s="436"/>
      <c r="E43" s="119"/>
      <c r="F43" s="120"/>
      <c r="G43" s="119"/>
      <c r="H43" s="121"/>
    </row>
    <row r="44" spans="1:8" s="98" customFormat="1" ht="16.2" customHeight="1">
      <c r="A44" s="436"/>
      <c r="B44" s="436"/>
      <c r="C44" s="436"/>
      <c r="D44" s="436"/>
      <c r="E44" s="119"/>
      <c r="F44" s="120"/>
      <c r="G44" s="119"/>
      <c r="H44" s="121"/>
    </row>
    <row r="45" spans="1:8" s="98" customFormat="1" ht="16.2" customHeight="1">
      <c r="A45" s="121"/>
      <c r="B45" s="121"/>
      <c r="C45" s="121"/>
      <c r="D45" s="122"/>
      <c r="E45" s="119"/>
      <c r="F45" s="120"/>
      <c r="G45" s="119"/>
      <c r="H45" s="121"/>
    </row>
    <row r="46" spans="1:8" ht="16.2" customHeight="1">
      <c r="A46" s="83"/>
      <c r="B46" s="83"/>
      <c r="C46" s="83"/>
      <c r="D46" s="84"/>
      <c r="E46" s="85"/>
      <c r="F46" s="86"/>
      <c r="G46" s="85"/>
      <c r="H46" s="83"/>
    </row>
    <row r="47" spans="1:8" ht="16.2" customHeight="1">
      <c r="A47" s="83"/>
      <c r="B47" s="83"/>
      <c r="C47" s="83"/>
      <c r="D47" s="84"/>
      <c r="E47" s="85"/>
      <c r="F47" s="86"/>
      <c r="G47" s="85"/>
      <c r="H47" s="83"/>
    </row>
    <row r="48" spans="1:8" ht="16.2" customHeight="1">
      <c r="A48" s="83"/>
      <c r="B48" s="83"/>
      <c r="C48" s="83"/>
      <c r="D48" s="84"/>
      <c r="E48" s="85"/>
      <c r="F48" s="86"/>
      <c r="G48" s="85"/>
      <c r="H48" s="83"/>
    </row>
    <row r="49" spans="1:8" ht="16.2" customHeight="1">
      <c r="A49" s="83"/>
      <c r="B49" s="83"/>
      <c r="C49" s="83"/>
      <c r="D49" s="84"/>
      <c r="E49" s="437"/>
      <c r="F49" s="437"/>
      <c r="G49" s="437"/>
      <c r="H49" s="437"/>
    </row>
    <row r="50" spans="1:8" ht="20.25" customHeight="1">
      <c r="A50" s="438"/>
      <c r="B50" s="438"/>
      <c r="C50" s="438"/>
      <c r="D50" s="438"/>
      <c r="E50" s="438"/>
      <c r="F50" s="438"/>
      <c r="G50" s="438"/>
      <c r="H50" s="438"/>
    </row>
    <row r="51" spans="1:8" s="17" customFormat="1" ht="16.2" customHeight="1">
      <c r="D51" s="18"/>
      <c r="E51" s="19"/>
      <c r="F51" s="97"/>
      <c r="G51" s="19"/>
    </row>
    <row r="52" spans="1:8" s="17" customFormat="1" ht="16.2" customHeight="1">
      <c r="D52" s="18"/>
      <c r="E52" s="19"/>
      <c r="F52" s="97"/>
      <c r="G52" s="19"/>
    </row>
    <row r="53" spans="1:8" s="17" customFormat="1" ht="16.2" customHeight="1">
      <c r="D53" s="18"/>
      <c r="E53" s="19"/>
      <c r="F53" s="97"/>
      <c r="G53" s="19"/>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C67" s="97"/>
      <c r="D67" s="20"/>
      <c r="E67" s="19"/>
      <c r="F67" s="97"/>
      <c r="G67" s="19"/>
    </row>
    <row r="68" spans="3:7" s="17" customFormat="1" ht="16.2" customHeight="1">
      <c r="C68" s="97"/>
      <c r="D68" s="20"/>
      <c r="E68" s="19"/>
      <c r="F68" s="97"/>
      <c r="G68" s="19"/>
    </row>
    <row r="69" spans="3:7" s="17" customFormat="1" ht="16.2" customHeight="1">
      <c r="C69" s="97"/>
      <c r="D69" s="20"/>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ht="16.2" customHeight="1"/>
    <row r="80" spans="3:7" ht="16.2" customHeight="1"/>
    <row r="81" ht="16.2" customHeight="1"/>
    <row r="82" ht="16.2" customHeight="1"/>
    <row r="83" ht="16.2" customHeight="1"/>
    <row r="84" ht="16.2" customHeight="1"/>
    <row r="85" ht="16.2" customHeight="1"/>
    <row r="86" ht="16.2" customHeight="1"/>
    <row r="87" ht="16.2" customHeight="1"/>
    <row r="88" ht="16.2" customHeight="1"/>
    <row r="89" ht="16.2" customHeight="1"/>
    <row r="90" ht="16.2" customHeight="1"/>
    <row r="91" ht="16.2" customHeight="1"/>
    <row r="92" ht="16.2" customHeight="1"/>
    <row r="93" ht="16.2" customHeight="1"/>
    <row r="94" ht="16.2" customHeight="1"/>
    <row r="95" ht="16.2" customHeight="1"/>
    <row r="96"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row r="226"/>
    <row r="227"/>
    <row r="228"/>
    <row r="229"/>
    <row r="230"/>
    <row r="231"/>
    <row r="232"/>
    <row r="233"/>
    <row r="234"/>
    <row r="235"/>
    <row r="236"/>
    <row r="237"/>
    <row r="238"/>
    <row r="239"/>
    <row r="240"/>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sheetData>
  <mergeCells count="40">
    <mergeCell ref="A4:B4"/>
    <mergeCell ref="C4:H4"/>
    <mergeCell ref="A1:B1"/>
    <mergeCell ref="C1:H1"/>
    <mergeCell ref="A2:B2"/>
    <mergeCell ref="C2:H2"/>
    <mergeCell ref="A3:B3"/>
    <mergeCell ref="A21:H21"/>
    <mergeCell ref="A6:H6"/>
    <mergeCell ref="A7:H7"/>
    <mergeCell ref="A8:H8"/>
    <mergeCell ref="A9:H9"/>
    <mergeCell ref="A10:H10"/>
    <mergeCell ref="A11:H11"/>
    <mergeCell ref="B13:F13"/>
    <mergeCell ref="B15:F15"/>
    <mergeCell ref="B17:F17"/>
    <mergeCell ref="B19:F19"/>
    <mergeCell ref="B20:F20"/>
    <mergeCell ref="A40:D40"/>
    <mergeCell ref="E40:H40"/>
    <mergeCell ref="C23:H23"/>
    <mergeCell ref="A24:B24"/>
    <mergeCell ref="C24:E24"/>
    <mergeCell ref="F24:H24"/>
    <mergeCell ref="C30:E30"/>
    <mergeCell ref="F30:H30"/>
    <mergeCell ref="A32:D32"/>
    <mergeCell ref="E32:H32"/>
    <mergeCell ref="A33:D33"/>
    <mergeCell ref="E33:H33"/>
    <mergeCell ref="E39:H39"/>
    <mergeCell ref="E49:H49"/>
    <mergeCell ref="A50:H50"/>
    <mergeCell ref="A41:B41"/>
    <mergeCell ref="E41:H41"/>
    <mergeCell ref="A42:D42"/>
    <mergeCell ref="E42:H42"/>
    <mergeCell ref="A43:D43"/>
    <mergeCell ref="A44:D44"/>
  </mergeCells>
  <dataValidations count="1">
    <dataValidation type="list" allowBlank="1" showInputMessage="1" showErrorMessage="1" sqref="WVJ983042:WVJ983059 B983042:B983059 IX983042:IX983059 ST983042:ST983059 ACP983042:ACP983059 AML983042:AML983059 AWH983042:AWH983059 BGD983042:BGD983059 BPZ983042:BPZ983059 BZV983042:BZV983059 CJR983042:CJR983059 CTN983042:CTN983059 DDJ983042:DDJ983059 DNF983042:DNF983059 DXB983042:DXB983059 EGX983042:EGX983059 EQT983042:EQT983059 FAP983042:FAP983059 FKL983042:FKL983059 FUH983042:FUH983059 GED983042:GED983059 GNZ983042:GNZ983059 GXV983042:GXV983059 HHR983042:HHR983059 HRN983042:HRN983059 IBJ983042:IBJ983059 ILF983042:ILF983059 IVB983042:IVB983059 JEX983042:JEX983059 JOT983042:JOT983059 JYP983042:JYP983059 KIL983042:KIL983059 KSH983042:KSH983059 LCD983042:LCD983059 LLZ983042:LLZ983059 LVV983042:LVV983059 MFR983042:MFR983059 MPN983042:MPN983059 MZJ983042:MZJ983059 NJF983042:NJF983059 NTB983042:NTB983059 OCX983042:OCX983059 OMT983042:OMT983059 OWP983042:OWP983059 PGL983042:PGL983059 PQH983042:PQH983059 QAD983042:QAD983059 QJZ983042:QJZ983059 QTV983042:QTV983059 RDR983042:RDR983059 RNN983042:RNN983059 RXJ983042:RXJ983059 SHF983042:SHF983059 SRB983042:SRB983059 TAX983042:TAX983059 TKT983042:TKT983059 TUP983042:TUP983059 UEL983042:UEL983059 UOH983042:UOH983059 UYD983042:UYD983059 VHZ983042:VHZ983059 VRV983042:VRV983059 WBR983042:WBR983059 WLN983042:WLN983059 B65538:B65555 IX65538:IX65555 ST65538:ST65555 ACP65538:ACP65555 AML65538:AML65555 AWH65538:AWH65555 BGD65538:BGD65555 BPZ65538:BPZ65555 BZV65538:BZV65555 CJR65538:CJR65555 CTN65538:CTN65555 DDJ65538:DDJ65555 DNF65538:DNF65555 DXB65538:DXB65555 EGX65538:EGX65555 EQT65538:EQT65555 FAP65538:FAP65555 FKL65538:FKL65555 FUH65538:FUH65555 GED65538:GED65555 GNZ65538:GNZ65555 GXV65538:GXV65555 HHR65538:HHR65555 HRN65538:HRN65555 IBJ65538:IBJ65555 ILF65538:ILF65555 IVB65538:IVB65555 JEX65538:JEX65555 JOT65538:JOT65555 JYP65538:JYP65555 KIL65538:KIL65555 KSH65538:KSH65555 LCD65538:LCD65555 LLZ65538:LLZ65555 LVV65538:LVV65555 MFR65538:MFR65555 MPN65538:MPN65555 MZJ65538:MZJ65555 NJF65538:NJF65555 NTB65538:NTB65555 OCX65538:OCX65555 OMT65538:OMT65555 OWP65538:OWP65555 PGL65538:PGL65555 PQH65538:PQH65555 QAD65538:QAD65555 QJZ65538:QJZ65555 QTV65538:QTV65555 RDR65538:RDR65555 RNN65538:RNN65555 RXJ65538:RXJ65555 SHF65538:SHF65555 SRB65538:SRB65555 TAX65538:TAX65555 TKT65538:TKT65555 TUP65538:TUP65555 UEL65538:UEL65555 UOH65538:UOH65555 UYD65538:UYD65555 VHZ65538:VHZ65555 VRV65538:VRV65555 WBR65538:WBR65555 WLN65538:WLN65555 WVJ65538:WVJ65555 B131074:B131091 IX131074:IX131091 ST131074:ST131091 ACP131074:ACP131091 AML131074:AML131091 AWH131074:AWH131091 BGD131074:BGD131091 BPZ131074:BPZ131091 BZV131074:BZV131091 CJR131074:CJR131091 CTN131074:CTN131091 DDJ131074:DDJ131091 DNF131074:DNF131091 DXB131074:DXB131091 EGX131074:EGX131091 EQT131074:EQT131091 FAP131074:FAP131091 FKL131074:FKL131091 FUH131074:FUH131091 GED131074:GED131091 GNZ131074:GNZ131091 GXV131074:GXV131091 HHR131074:HHR131091 HRN131074:HRN131091 IBJ131074:IBJ131091 ILF131074:ILF131091 IVB131074:IVB131091 JEX131074:JEX131091 JOT131074:JOT131091 JYP131074:JYP131091 KIL131074:KIL131091 KSH131074:KSH131091 LCD131074:LCD131091 LLZ131074:LLZ131091 LVV131074:LVV131091 MFR131074:MFR131091 MPN131074:MPN131091 MZJ131074:MZJ131091 NJF131074:NJF131091 NTB131074:NTB131091 OCX131074:OCX131091 OMT131074:OMT131091 OWP131074:OWP131091 PGL131074:PGL131091 PQH131074:PQH131091 QAD131074:QAD131091 QJZ131074:QJZ131091 QTV131074:QTV131091 RDR131074:RDR131091 RNN131074:RNN131091 RXJ131074:RXJ131091 SHF131074:SHF131091 SRB131074:SRB131091 TAX131074:TAX131091 TKT131074:TKT131091 TUP131074:TUP131091 UEL131074:UEL131091 UOH131074:UOH131091 UYD131074:UYD131091 VHZ131074:VHZ131091 VRV131074:VRV131091 WBR131074:WBR131091 WLN131074:WLN131091 WVJ131074:WVJ131091 B196610:B196627 IX196610:IX196627 ST196610:ST196627 ACP196610:ACP196627 AML196610:AML196627 AWH196610:AWH196627 BGD196610:BGD196627 BPZ196610:BPZ196627 BZV196610:BZV196627 CJR196610:CJR196627 CTN196610:CTN196627 DDJ196610:DDJ196627 DNF196610:DNF196627 DXB196610:DXB196627 EGX196610:EGX196627 EQT196610:EQT196627 FAP196610:FAP196627 FKL196610:FKL196627 FUH196610:FUH196627 GED196610:GED196627 GNZ196610:GNZ196627 GXV196610:GXV196627 HHR196610:HHR196627 HRN196610:HRN196627 IBJ196610:IBJ196627 ILF196610:ILF196627 IVB196610:IVB196627 JEX196610:JEX196627 JOT196610:JOT196627 JYP196610:JYP196627 KIL196610:KIL196627 KSH196610:KSH196627 LCD196610:LCD196627 LLZ196610:LLZ196627 LVV196610:LVV196627 MFR196610:MFR196627 MPN196610:MPN196627 MZJ196610:MZJ196627 NJF196610:NJF196627 NTB196610:NTB196627 OCX196610:OCX196627 OMT196610:OMT196627 OWP196610:OWP196627 PGL196610:PGL196627 PQH196610:PQH196627 QAD196610:QAD196627 QJZ196610:QJZ196627 QTV196610:QTV196627 RDR196610:RDR196627 RNN196610:RNN196627 RXJ196610:RXJ196627 SHF196610:SHF196627 SRB196610:SRB196627 TAX196610:TAX196627 TKT196610:TKT196627 TUP196610:TUP196627 UEL196610:UEL196627 UOH196610:UOH196627 UYD196610:UYD196627 VHZ196610:VHZ196627 VRV196610:VRV196627 WBR196610:WBR196627 WLN196610:WLN196627 WVJ196610:WVJ196627 B262146:B262163 IX262146:IX262163 ST262146:ST262163 ACP262146:ACP262163 AML262146:AML262163 AWH262146:AWH262163 BGD262146:BGD262163 BPZ262146:BPZ262163 BZV262146:BZV262163 CJR262146:CJR262163 CTN262146:CTN262163 DDJ262146:DDJ262163 DNF262146:DNF262163 DXB262146:DXB262163 EGX262146:EGX262163 EQT262146:EQT262163 FAP262146:FAP262163 FKL262146:FKL262163 FUH262146:FUH262163 GED262146:GED262163 GNZ262146:GNZ262163 GXV262146:GXV262163 HHR262146:HHR262163 HRN262146:HRN262163 IBJ262146:IBJ262163 ILF262146:ILF262163 IVB262146:IVB262163 JEX262146:JEX262163 JOT262146:JOT262163 JYP262146:JYP262163 KIL262146:KIL262163 KSH262146:KSH262163 LCD262146:LCD262163 LLZ262146:LLZ262163 LVV262146:LVV262163 MFR262146:MFR262163 MPN262146:MPN262163 MZJ262146:MZJ262163 NJF262146:NJF262163 NTB262146:NTB262163 OCX262146:OCX262163 OMT262146:OMT262163 OWP262146:OWP262163 PGL262146:PGL262163 PQH262146:PQH262163 QAD262146:QAD262163 QJZ262146:QJZ262163 QTV262146:QTV262163 RDR262146:RDR262163 RNN262146:RNN262163 RXJ262146:RXJ262163 SHF262146:SHF262163 SRB262146:SRB262163 TAX262146:TAX262163 TKT262146:TKT262163 TUP262146:TUP262163 UEL262146:UEL262163 UOH262146:UOH262163 UYD262146:UYD262163 VHZ262146:VHZ262163 VRV262146:VRV262163 WBR262146:WBR262163 WLN262146:WLN262163 WVJ262146:WVJ262163 B327682:B327699 IX327682:IX327699 ST327682:ST327699 ACP327682:ACP327699 AML327682:AML327699 AWH327682:AWH327699 BGD327682:BGD327699 BPZ327682:BPZ327699 BZV327682:BZV327699 CJR327682:CJR327699 CTN327682:CTN327699 DDJ327682:DDJ327699 DNF327682:DNF327699 DXB327682:DXB327699 EGX327682:EGX327699 EQT327682:EQT327699 FAP327682:FAP327699 FKL327682:FKL327699 FUH327682:FUH327699 GED327682:GED327699 GNZ327682:GNZ327699 GXV327682:GXV327699 HHR327682:HHR327699 HRN327682:HRN327699 IBJ327682:IBJ327699 ILF327682:ILF327699 IVB327682:IVB327699 JEX327682:JEX327699 JOT327682:JOT327699 JYP327682:JYP327699 KIL327682:KIL327699 KSH327682:KSH327699 LCD327682:LCD327699 LLZ327682:LLZ327699 LVV327682:LVV327699 MFR327682:MFR327699 MPN327682:MPN327699 MZJ327682:MZJ327699 NJF327682:NJF327699 NTB327682:NTB327699 OCX327682:OCX327699 OMT327682:OMT327699 OWP327682:OWP327699 PGL327682:PGL327699 PQH327682:PQH327699 QAD327682:QAD327699 QJZ327682:QJZ327699 QTV327682:QTV327699 RDR327682:RDR327699 RNN327682:RNN327699 RXJ327682:RXJ327699 SHF327682:SHF327699 SRB327682:SRB327699 TAX327682:TAX327699 TKT327682:TKT327699 TUP327682:TUP327699 UEL327682:UEL327699 UOH327682:UOH327699 UYD327682:UYD327699 VHZ327682:VHZ327699 VRV327682:VRV327699 WBR327682:WBR327699 WLN327682:WLN327699 WVJ327682:WVJ327699 B393218:B393235 IX393218:IX393235 ST393218:ST393235 ACP393218:ACP393235 AML393218:AML393235 AWH393218:AWH393235 BGD393218:BGD393235 BPZ393218:BPZ393235 BZV393218:BZV393235 CJR393218:CJR393235 CTN393218:CTN393235 DDJ393218:DDJ393235 DNF393218:DNF393235 DXB393218:DXB393235 EGX393218:EGX393235 EQT393218:EQT393235 FAP393218:FAP393235 FKL393218:FKL393235 FUH393218:FUH393235 GED393218:GED393235 GNZ393218:GNZ393235 GXV393218:GXV393235 HHR393218:HHR393235 HRN393218:HRN393235 IBJ393218:IBJ393235 ILF393218:ILF393235 IVB393218:IVB393235 JEX393218:JEX393235 JOT393218:JOT393235 JYP393218:JYP393235 KIL393218:KIL393235 KSH393218:KSH393235 LCD393218:LCD393235 LLZ393218:LLZ393235 LVV393218:LVV393235 MFR393218:MFR393235 MPN393218:MPN393235 MZJ393218:MZJ393235 NJF393218:NJF393235 NTB393218:NTB393235 OCX393218:OCX393235 OMT393218:OMT393235 OWP393218:OWP393235 PGL393218:PGL393235 PQH393218:PQH393235 QAD393218:QAD393235 QJZ393218:QJZ393235 QTV393218:QTV393235 RDR393218:RDR393235 RNN393218:RNN393235 RXJ393218:RXJ393235 SHF393218:SHF393235 SRB393218:SRB393235 TAX393218:TAX393235 TKT393218:TKT393235 TUP393218:TUP393235 UEL393218:UEL393235 UOH393218:UOH393235 UYD393218:UYD393235 VHZ393218:VHZ393235 VRV393218:VRV393235 WBR393218:WBR393235 WLN393218:WLN393235 WVJ393218:WVJ393235 B458754:B458771 IX458754:IX458771 ST458754:ST458771 ACP458754:ACP458771 AML458754:AML458771 AWH458754:AWH458771 BGD458754:BGD458771 BPZ458754:BPZ458771 BZV458754:BZV458771 CJR458754:CJR458771 CTN458754:CTN458771 DDJ458754:DDJ458771 DNF458754:DNF458771 DXB458754:DXB458771 EGX458754:EGX458771 EQT458754:EQT458771 FAP458754:FAP458771 FKL458754:FKL458771 FUH458754:FUH458771 GED458754:GED458771 GNZ458754:GNZ458771 GXV458754:GXV458771 HHR458754:HHR458771 HRN458754:HRN458771 IBJ458754:IBJ458771 ILF458754:ILF458771 IVB458754:IVB458771 JEX458754:JEX458771 JOT458754:JOT458771 JYP458754:JYP458771 KIL458754:KIL458771 KSH458754:KSH458771 LCD458754:LCD458771 LLZ458754:LLZ458771 LVV458754:LVV458771 MFR458754:MFR458771 MPN458754:MPN458771 MZJ458754:MZJ458771 NJF458754:NJF458771 NTB458754:NTB458771 OCX458754:OCX458771 OMT458754:OMT458771 OWP458754:OWP458771 PGL458754:PGL458771 PQH458754:PQH458771 QAD458754:QAD458771 QJZ458754:QJZ458771 QTV458754:QTV458771 RDR458754:RDR458771 RNN458754:RNN458771 RXJ458754:RXJ458771 SHF458754:SHF458771 SRB458754:SRB458771 TAX458754:TAX458771 TKT458754:TKT458771 TUP458754:TUP458771 UEL458754:UEL458771 UOH458754:UOH458771 UYD458754:UYD458771 VHZ458754:VHZ458771 VRV458754:VRV458771 WBR458754:WBR458771 WLN458754:WLN458771 WVJ458754:WVJ458771 B524290:B524307 IX524290:IX524307 ST524290:ST524307 ACP524290:ACP524307 AML524290:AML524307 AWH524290:AWH524307 BGD524290:BGD524307 BPZ524290:BPZ524307 BZV524290:BZV524307 CJR524290:CJR524307 CTN524290:CTN524307 DDJ524290:DDJ524307 DNF524290:DNF524307 DXB524290:DXB524307 EGX524290:EGX524307 EQT524290:EQT524307 FAP524290:FAP524307 FKL524290:FKL524307 FUH524290:FUH524307 GED524290:GED524307 GNZ524290:GNZ524307 GXV524290:GXV524307 HHR524290:HHR524307 HRN524290:HRN524307 IBJ524290:IBJ524307 ILF524290:ILF524307 IVB524290:IVB524307 JEX524290:JEX524307 JOT524290:JOT524307 JYP524290:JYP524307 KIL524290:KIL524307 KSH524290:KSH524307 LCD524290:LCD524307 LLZ524290:LLZ524307 LVV524290:LVV524307 MFR524290:MFR524307 MPN524290:MPN524307 MZJ524290:MZJ524307 NJF524290:NJF524307 NTB524290:NTB524307 OCX524290:OCX524307 OMT524290:OMT524307 OWP524290:OWP524307 PGL524290:PGL524307 PQH524290:PQH524307 QAD524290:QAD524307 QJZ524290:QJZ524307 QTV524290:QTV524307 RDR524290:RDR524307 RNN524290:RNN524307 RXJ524290:RXJ524307 SHF524290:SHF524307 SRB524290:SRB524307 TAX524290:TAX524307 TKT524290:TKT524307 TUP524290:TUP524307 UEL524290:UEL524307 UOH524290:UOH524307 UYD524290:UYD524307 VHZ524290:VHZ524307 VRV524290:VRV524307 WBR524290:WBR524307 WLN524290:WLN524307 WVJ524290:WVJ524307 B589826:B589843 IX589826:IX589843 ST589826:ST589843 ACP589826:ACP589843 AML589826:AML589843 AWH589826:AWH589843 BGD589826:BGD589843 BPZ589826:BPZ589843 BZV589826:BZV589843 CJR589826:CJR589843 CTN589826:CTN589843 DDJ589826:DDJ589843 DNF589826:DNF589843 DXB589826:DXB589843 EGX589826:EGX589843 EQT589826:EQT589843 FAP589826:FAP589843 FKL589826:FKL589843 FUH589826:FUH589843 GED589826:GED589843 GNZ589826:GNZ589843 GXV589826:GXV589843 HHR589826:HHR589843 HRN589826:HRN589843 IBJ589826:IBJ589843 ILF589826:ILF589843 IVB589826:IVB589843 JEX589826:JEX589843 JOT589826:JOT589843 JYP589826:JYP589843 KIL589826:KIL589843 KSH589826:KSH589843 LCD589826:LCD589843 LLZ589826:LLZ589843 LVV589826:LVV589843 MFR589826:MFR589843 MPN589826:MPN589843 MZJ589826:MZJ589843 NJF589826:NJF589843 NTB589826:NTB589843 OCX589826:OCX589843 OMT589826:OMT589843 OWP589826:OWP589843 PGL589826:PGL589843 PQH589826:PQH589843 QAD589826:QAD589843 QJZ589826:QJZ589843 QTV589826:QTV589843 RDR589826:RDR589843 RNN589826:RNN589843 RXJ589826:RXJ589843 SHF589826:SHF589843 SRB589826:SRB589843 TAX589826:TAX589843 TKT589826:TKT589843 TUP589826:TUP589843 UEL589826:UEL589843 UOH589826:UOH589843 UYD589826:UYD589843 VHZ589826:VHZ589843 VRV589826:VRV589843 WBR589826:WBR589843 WLN589826:WLN589843 WVJ589826:WVJ589843 B655362:B655379 IX655362:IX655379 ST655362:ST655379 ACP655362:ACP655379 AML655362:AML655379 AWH655362:AWH655379 BGD655362:BGD655379 BPZ655362:BPZ655379 BZV655362:BZV655379 CJR655362:CJR655379 CTN655362:CTN655379 DDJ655362:DDJ655379 DNF655362:DNF655379 DXB655362:DXB655379 EGX655362:EGX655379 EQT655362:EQT655379 FAP655362:FAP655379 FKL655362:FKL655379 FUH655362:FUH655379 GED655362:GED655379 GNZ655362:GNZ655379 GXV655362:GXV655379 HHR655362:HHR655379 HRN655362:HRN655379 IBJ655362:IBJ655379 ILF655362:ILF655379 IVB655362:IVB655379 JEX655362:JEX655379 JOT655362:JOT655379 JYP655362:JYP655379 KIL655362:KIL655379 KSH655362:KSH655379 LCD655362:LCD655379 LLZ655362:LLZ655379 LVV655362:LVV655379 MFR655362:MFR655379 MPN655362:MPN655379 MZJ655362:MZJ655379 NJF655362:NJF655379 NTB655362:NTB655379 OCX655362:OCX655379 OMT655362:OMT655379 OWP655362:OWP655379 PGL655362:PGL655379 PQH655362:PQH655379 QAD655362:QAD655379 QJZ655362:QJZ655379 QTV655362:QTV655379 RDR655362:RDR655379 RNN655362:RNN655379 RXJ655362:RXJ655379 SHF655362:SHF655379 SRB655362:SRB655379 TAX655362:TAX655379 TKT655362:TKT655379 TUP655362:TUP655379 UEL655362:UEL655379 UOH655362:UOH655379 UYD655362:UYD655379 VHZ655362:VHZ655379 VRV655362:VRV655379 WBR655362:WBR655379 WLN655362:WLN655379 WVJ655362:WVJ655379 B720898:B720915 IX720898:IX720915 ST720898:ST720915 ACP720898:ACP720915 AML720898:AML720915 AWH720898:AWH720915 BGD720898:BGD720915 BPZ720898:BPZ720915 BZV720898:BZV720915 CJR720898:CJR720915 CTN720898:CTN720915 DDJ720898:DDJ720915 DNF720898:DNF720915 DXB720898:DXB720915 EGX720898:EGX720915 EQT720898:EQT720915 FAP720898:FAP720915 FKL720898:FKL720915 FUH720898:FUH720915 GED720898:GED720915 GNZ720898:GNZ720915 GXV720898:GXV720915 HHR720898:HHR720915 HRN720898:HRN720915 IBJ720898:IBJ720915 ILF720898:ILF720915 IVB720898:IVB720915 JEX720898:JEX720915 JOT720898:JOT720915 JYP720898:JYP720915 KIL720898:KIL720915 KSH720898:KSH720915 LCD720898:LCD720915 LLZ720898:LLZ720915 LVV720898:LVV720915 MFR720898:MFR720915 MPN720898:MPN720915 MZJ720898:MZJ720915 NJF720898:NJF720915 NTB720898:NTB720915 OCX720898:OCX720915 OMT720898:OMT720915 OWP720898:OWP720915 PGL720898:PGL720915 PQH720898:PQH720915 QAD720898:QAD720915 QJZ720898:QJZ720915 QTV720898:QTV720915 RDR720898:RDR720915 RNN720898:RNN720915 RXJ720898:RXJ720915 SHF720898:SHF720915 SRB720898:SRB720915 TAX720898:TAX720915 TKT720898:TKT720915 TUP720898:TUP720915 UEL720898:UEL720915 UOH720898:UOH720915 UYD720898:UYD720915 VHZ720898:VHZ720915 VRV720898:VRV720915 WBR720898:WBR720915 WLN720898:WLN720915 WVJ720898:WVJ720915 B786434:B786451 IX786434:IX786451 ST786434:ST786451 ACP786434:ACP786451 AML786434:AML786451 AWH786434:AWH786451 BGD786434:BGD786451 BPZ786434:BPZ786451 BZV786434:BZV786451 CJR786434:CJR786451 CTN786434:CTN786451 DDJ786434:DDJ786451 DNF786434:DNF786451 DXB786434:DXB786451 EGX786434:EGX786451 EQT786434:EQT786451 FAP786434:FAP786451 FKL786434:FKL786451 FUH786434:FUH786451 GED786434:GED786451 GNZ786434:GNZ786451 GXV786434:GXV786451 HHR786434:HHR786451 HRN786434:HRN786451 IBJ786434:IBJ786451 ILF786434:ILF786451 IVB786434:IVB786451 JEX786434:JEX786451 JOT786434:JOT786451 JYP786434:JYP786451 KIL786434:KIL786451 KSH786434:KSH786451 LCD786434:LCD786451 LLZ786434:LLZ786451 LVV786434:LVV786451 MFR786434:MFR786451 MPN786434:MPN786451 MZJ786434:MZJ786451 NJF786434:NJF786451 NTB786434:NTB786451 OCX786434:OCX786451 OMT786434:OMT786451 OWP786434:OWP786451 PGL786434:PGL786451 PQH786434:PQH786451 QAD786434:QAD786451 QJZ786434:QJZ786451 QTV786434:QTV786451 RDR786434:RDR786451 RNN786434:RNN786451 RXJ786434:RXJ786451 SHF786434:SHF786451 SRB786434:SRB786451 TAX786434:TAX786451 TKT786434:TKT786451 TUP786434:TUP786451 UEL786434:UEL786451 UOH786434:UOH786451 UYD786434:UYD786451 VHZ786434:VHZ786451 VRV786434:VRV786451 WBR786434:WBR786451 WLN786434:WLN786451 WVJ786434:WVJ786451 B851970:B851987 IX851970:IX851987 ST851970:ST851987 ACP851970:ACP851987 AML851970:AML851987 AWH851970:AWH851987 BGD851970:BGD851987 BPZ851970:BPZ851987 BZV851970:BZV851987 CJR851970:CJR851987 CTN851970:CTN851987 DDJ851970:DDJ851987 DNF851970:DNF851987 DXB851970:DXB851987 EGX851970:EGX851987 EQT851970:EQT851987 FAP851970:FAP851987 FKL851970:FKL851987 FUH851970:FUH851987 GED851970:GED851987 GNZ851970:GNZ851987 GXV851970:GXV851987 HHR851970:HHR851987 HRN851970:HRN851987 IBJ851970:IBJ851987 ILF851970:ILF851987 IVB851970:IVB851987 JEX851970:JEX851987 JOT851970:JOT851987 JYP851970:JYP851987 KIL851970:KIL851987 KSH851970:KSH851987 LCD851970:LCD851987 LLZ851970:LLZ851987 LVV851970:LVV851987 MFR851970:MFR851987 MPN851970:MPN851987 MZJ851970:MZJ851987 NJF851970:NJF851987 NTB851970:NTB851987 OCX851970:OCX851987 OMT851970:OMT851987 OWP851970:OWP851987 PGL851970:PGL851987 PQH851970:PQH851987 QAD851970:QAD851987 QJZ851970:QJZ851987 QTV851970:QTV851987 RDR851970:RDR851987 RNN851970:RNN851987 RXJ851970:RXJ851987 SHF851970:SHF851987 SRB851970:SRB851987 TAX851970:TAX851987 TKT851970:TKT851987 TUP851970:TUP851987 UEL851970:UEL851987 UOH851970:UOH851987 UYD851970:UYD851987 VHZ851970:VHZ851987 VRV851970:VRV851987 WBR851970:WBR851987 WLN851970:WLN851987 WVJ851970:WVJ851987 B917506:B917523 IX917506:IX917523 ST917506:ST917523 ACP917506:ACP917523 AML917506:AML917523 AWH917506:AWH917523 BGD917506:BGD917523 BPZ917506:BPZ917523 BZV917506:BZV917523 CJR917506:CJR917523 CTN917506:CTN917523 DDJ917506:DDJ917523 DNF917506:DNF917523 DXB917506:DXB917523 EGX917506:EGX917523 EQT917506:EQT917523 FAP917506:FAP917523 FKL917506:FKL917523 FUH917506:FUH917523 GED917506:GED917523 GNZ917506:GNZ917523 GXV917506:GXV917523 HHR917506:HHR917523 HRN917506:HRN917523 IBJ917506:IBJ917523 ILF917506:ILF917523 IVB917506:IVB917523 JEX917506:JEX917523 JOT917506:JOT917523 JYP917506:JYP917523 KIL917506:KIL917523 KSH917506:KSH917523 LCD917506:LCD917523 LLZ917506:LLZ917523 LVV917506:LVV917523 MFR917506:MFR917523 MPN917506:MPN917523 MZJ917506:MZJ917523 NJF917506:NJF917523 NTB917506:NTB917523 OCX917506:OCX917523 OMT917506:OMT917523 OWP917506:OWP917523 PGL917506:PGL917523 PQH917506:PQH917523 QAD917506:QAD917523 QJZ917506:QJZ917523 QTV917506:QTV917523 RDR917506:RDR917523 RNN917506:RNN917523 RXJ917506:RXJ917523 SHF917506:SHF917523 SRB917506:SRB917523 TAX917506:TAX917523 TKT917506:TKT917523 TUP917506:TUP917523 UEL917506:UEL917523 UOH917506:UOH917523 UYD917506:UYD917523 VHZ917506:VHZ917523 VRV917506:VRV917523 WBR917506:WBR917523 WLN917506:WLN917523 WVJ917506:WVJ917523" xr:uid="{00000000-0002-0000-4C00-000000000000}">
      <formula1>trung</formula1>
    </dataValidation>
  </dataValidation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H364"/>
  <sheetViews>
    <sheetView topLeftCell="A13" workbookViewId="0">
      <selection activeCell="IS42" sqref="IS42"/>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360"/>
      <c r="D3" s="203"/>
      <c r="E3" s="204"/>
      <c r="F3" s="362"/>
      <c r="G3" s="206"/>
      <c r="H3" s="103"/>
    </row>
    <row r="4" spans="1:8" s="98" customFormat="1" ht="18" customHeight="1">
      <c r="A4" s="443"/>
      <c r="B4" s="443"/>
      <c r="C4" s="415" t="s">
        <v>1740</v>
      </c>
      <c r="D4" s="415"/>
      <c r="E4" s="415"/>
      <c r="F4" s="415"/>
      <c r="G4" s="415"/>
      <c r="H4" s="415"/>
    </row>
    <row r="5" spans="1:8" s="98" customFormat="1" ht="15.6">
      <c r="A5" s="207"/>
      <c r="B5" s="207"/>
      <c r="C5" s="361"/>
      <c r="D5" s="209"/>
      <c r="E5" s="210"/>
      <c r="F5" s="361"/>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2284</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2285</v>
      </c>
      <c r="C13" s="425"/>
      <c r="D13" s="425"/>
      <c r="E13" s="425"/>
      <c r="F13" s="425"/>
      <c r="G13" s="73">
        <f>G14</f>
        <v>67260000</v>
      </c>
      <c r="H13" s="74"/>
    </row>
    <row r="14" spans="1:8" s="131" customFormat="1" ht="40.5" customHeight="1">
      <c r="A14" s="123"/>
      <c r="B14" s="124" t="s">
        <v>1757</v>
      </c>
      <c r="C14" s="125" t="s">
        <v>1753</v>
      </c>
      <c r="D14" s="126">
        <v>5.7</v>
      </c>
      <c r="E14" s="127">
        <v>11800000</v>
      </c>
      <c r="F14" s="128">
        <v>1</v>
      </c>
      <c r="G14" s="129">
        <f>D14*E14*F14</f>
        <v>67260000</v>
      </c>
      <c r="H14" s="130"/>
    </row>
    <row r="15" spans="1:8" ht="27" customHeight="1">
      <c r="A15" s="75" t="s">
        <v>18</v>
      </c>
      <c r="B15" s="426" t="s">
        <v>1725</v>
      </c>
      <c r="C15" s="426"/>
      <c r="D15" s="426"/>
      <c r="E15" s="426"/>
      <c r="F15" s="426"/>
      <c r="G15" s="76">
        <f>SUM(G16:G22)</f>
        <v>24306305.243050002</v>
      </c>
      <c r="H15" s="11"/>
    </row>
    <row r="16" spans="1:8" ht="46.8">
      <c r="A16" s="77">
        <v>1</v>
      </c>
      <c r="B16" s="78" t="s">
        <v>2286</v>
      </c>
      <c r="C16" s="14" t="s">
        <v>1754</v>
      </c>
      <c r="D16" s="132">
        <f>(1.8*1.2*0.11)+(5.1*1.85*0.11)</f>
        <v>1.2754500000000002</v>
      </c>
      <c r="E16" s="15">
        <v>1081965</v>
      </c>
      <c r="F16" s="14">
        <v>1</v>
      </c>
      <c r="G16" s="79">
        <f t="shared" ref="G16:G22" si="0">D16*E16*F16</f>
        <v>1379992.2592500001</v>
      </c>
      <c r="H16" s="15"/>
    </row>
    <row r="17" spans="1:8" ht="15.6">
      <c r="A17" s="77">
        <v>2</v>
      </c>
      <c r="B17" s="78" t="s">
        <v>2287</v>
      </c>
      <c r="C17" s="14" t="s">
        <v>66</v>
      </c>
      <c r="D17" s="132">
        <f>10*2</f>
        <v>20</v>
      </c>
      <c r="E17" s="15">
        <v>214934</v>
      </c>
      <c r="F17" s="14">
        <v>1</v>
      </c>
      <c r="G17" s="79">
        <f t="shared" si="0"/>
        <v>4298680</v>
      </c>
      <c r="H17" s="15"/>
    </row>
    <row r="18" spans="1:8" ht="46.8">
      <c r="A18" s="77">
        <v>3</v>
      </c>
      <c r="B18" s="78" t="s">
        <v>2288</v>
      </c>
      <c r="C18" s="14" t="s">
        <v>1754</v>
      </c>
      <c r="D18" s="132">
        <f>(0.8*2.6*0.11)+(13.6*0.9*0.11)</f>
        <v>1.5752000000000002</v>
      </c>
      <c r="E18" s="15">
        <v>2126713</v>
      </c>
      <c r="F18" s="14">
        <v>1</v>
      </c>
      <c r="G18" s="79">
        <f t="shared" si="0"/>
        <v>3349998.3176000002</v>
      </c>
      <c r="H18" s="15"/>
    </row>
    <row r="19" spans="1:8" ht="31.2">
      <c r="A19" s="77">
        <v>4</v>
      </c>
      <c r="B19" s="78" t="s">
        <v>2289</v>
      </c>
      <c r="C19" s="14" t="s">
        <v>1754</v>
      </c>
      <c r="D19" s="132">
        <f>16.7*2*0.15</f>
        <v>5.01</v>
      </c>
      <c r="E19" s="15">
        <v>1081965</v>
      </c>
      <c r="F19" s="14">
        <v>1</v>
      </c>
      <c r="G19" s="79">
        <f t="shared" si="0"/>
        <v>5420644.6499999994</v>
      </c>
      <c r="H19" s="15"/>
    </row>
    <row r="20" spans="1:8" ht="31.2">
      <c r="A20" s="77">
        <v>5</v>
      </c>
      <c r="B20" s="78" t="s">
        <v>2290</v>
      </c>
      <c r="C20" s="14" t="s">
        <v>1754</v>
      </c>
      <c r="D20" s="132">
        <f>(0.65*0.45*3)*2</f>
        <v>1.7550000000000003</v>
      </c>
      <c r="E20" s="15">
        <v>2623803</v>
      </c>
      <c r="F20" s="14">
        <v>1</v>
      </c>
      <c r="G20" s="79">
        <f t="shared" si="0"/>
        <v>4604774.2650000006</v>
      </c>
      <c r="H20" s="15"/>
    </row>
    <row r="21" spans="1:8" ht="15.6">
      <c r="A21" s="77">
        <v>6</v>
      </c>
      <c r="B21" s="78" t="s">
        <v>2291</v>
      </c>
      <c r="C21" s="14" t="s">
        <v>66</v>
      </c>
      <c r="D21" s="132">
        <f>4.4*1.8</f>
        <v>7.9200000000000008</v>
      </c>
      <c r="E21" s="15">
        <v>550000</v>
      </c>
      <c r="F21" s="14">
        <v>1</v>
      </c>
      <c r="G21" s="79">
        <f t="shared" si="0"/>
        <v>4356000</v>
      </c>
      <c r="H21" s="15"/>
    </row>
    <row r="22" spans="1:8" ht="31.2">
      <c r="A22" s="77">
        <v>7</v>
      </c>
      <c r="B22" s="78" t="s">
        <v>2292</v>
      </c>
      <c r="C22" s="14" t="s">
        <v>1754</v>
      </c>
      <c r="D22" s="132">
        <f>0.35*13.6*0.11</f>
        <v>0.52359999999999995</v>
      </c>
      <c r="E22" s="15">
        <v>1711642</v>
      </c>
      <c r="F22" s="14">
        <v>1</v>
      </c>
      <c r="G22" s="79">
        <f t="shared" si="0"/>
        <v>896215.75119999994</v>
      </c>
      <c r="H22" s="15"/>
    </row>
    <row r="23" spans="1:8" ht="24" customHeight="1">
      <c r="A23" s="75" t="s">
        <v>19</v>
      </c>
      <c r="B23" s="426" t="s">
        <v>1727</v>
      </c>
      <c r="C23" s="426"/>
      <c r="D23" s="426"/>
      <c r="E23" s="426"/>
      <c r="F23" s="426"/>
      <c r="G23" s="76">
        <f>SUM(G24:G26)</f>
        <v>3508000</v>
      </c>
      <c r="H23" s="11"/>
    </row>
    <row r="24" spans="1:8" s="12" customFormat="1" ht="34.200000000000003" customHeight="1">
      <c r="A24" s="94">
        <v>1</v>
      </c>
      <c r="B24" s="154" t="s">
        <v>817</v>
      </c>
      <c r="C24" s="14" t="s">
        <v>1724</v>
      </c>
      <c r="D24" s="14">
        <v>1</v>
      </c>
      <c r="E24" s="79" t="str">
        <f>VLOOKUP(B24,'[20]Đơn giá cây cối'!$A$2:$C$1361,3,0)</f>
        <v>336.000</v>
      </c>
      <c r="F24" s="14">
        <v>1</v>
      </c>
      <c r="G24" s="79">
        <f>D24*E24*F24</f>
        <v>336000</v>
      </c>
      <c r="H24" s="95"/>
    </row>
    <row r="25" spans="1:8" s="12" customFormat="1" ht="34.200000000000003" customHeight="1">
      <c r="A25" s="94">
        <v>2</v>
      </c>
      <c r="B25" s="154" t="s">
        <v>820</v>
      </c>
      <c r="C25" s="14" t="s">
        <v>1724</v>
      </c>
      <c r="D25" s="14">
        <v>2</v>
      </c>
      <c r="E25" s="79" t="str">
        <f>VLOOKUP(B25,'[20]Đơn giá cây cối'!$A$2:$C$1361,3,0)</f>
        <v>1.555.000</v>
      </c>
      <c r="F25" s="14">
        <v>1</v>
      </c>
      <c r="G25" s="79">
        <f>D25*E25*F25</f>
        <v>3110000</v>
      </c>
      <c r="H25" s="95"/>
    </row>
    <row r="26" spans="1:8" s="12" customFormat="1" ht="34.200000000000003" customHeight="1">
      <c r="A26" s="94">
        <v>3</v>
      </c>
      <c r="B26" s="47" t="s">
        <v>1436</v>
      </c>
      <c r="C26" s="14" t="s">
        <v>1724</v>
      </c>
      <c r="D26" s="14">
        <v>1</v>
      </c>
      <c r="E26" s="79" t="str">
        <f>VLOOKUP(B26,'[20]Đơn giá cây cối'!$A$2:$C$1361,3,0)</f>
        <v>62.000</v>
      </c>
      <c r="F26" s="14">
        <v>1</v>
      </c>
      <c r="G26" s="79">
        <f t="shared" ref="G26" si="1">D26*E26*F26</f>
        <v>62000</v>
      </c>
      <c r="H26" s="95"/>
    </row>
    <row r="27" spans="1:8" ht="15.6">
      <c r="A27" s="80"/>
      <c r="B27" s="427" t="s">
        <v>62</v>
      </c>
      <c r="C27" s="428"/>
      <c r="D27" s="428"/>
      <c r="E27" s="428"/>
      <c r="F27" s="429"/>
      <c r="G27" s="81">
        <f>G13+G15+G23</f>
        <v>95074305.243050009</v>
      </c>
      <c r="H27" s="82"/>
    </row>
    <row r="28" spans="1:8" ht="15.6">
      <c r="A28" s="80"/>
      <c r="B28" s="427" t="s">
        <v>1726</v>
      </c>
      <c r="C28" s="428"/>
      <c r="D28" s="428"/>
      <c r="E28" s="428"/>
      <c r="F28" s="429"/>
      <c r="G28" s="81">
        <f>ROUND(G27,-3)</f>
        <v>95074000</v>
      </c>
      <c r="H28" s="82"/>
    </row>
    <row r="29" spans="1:8" ht="15.6">
      <c r="A29" s="430" t="e">
        <f ca="1">[19]!vnd(G28)</f>
        <v>#NAME?</v>
      </c>
      <c r="B29" s="431"/>
      <c r="C29" s="431"/>
      <c r="D29" s="431"/>
      <c r="E29" s="431"/>
      <c r="F29" s="431"/>
      <c r="G29" s="431"/>
      <c r="H29" s="432"/>
    </row>
    <row r="30" spans="1:8">
      <c r="A30" s="17"/>
      <c r="B30" s="17"/>
      <c r="C30" s="97"/>
      <c r="D30" s="20"/>
      <c r="E30" s="19"/>
      <c r="F30" s="97"/>
      <c r="G30" s="19"/>
      <c r="H30" s="17"/>
    </row>
    <row r="31" spans="1:8" s="109" customFormat="1" ht="16.5" customHeight="1">
      <c r="A31" s="108"/>
      <c r="B31" s="108"/>
      <c r="C31" s="424" t="s">
        <v>1742</v>
      </c>
      <c r="D31" s="424"/>
      <c r="E31" s="424"/>
      <c r="F31" s="424"/>
      <c r="G31" s="424"/>
      <c r="H31" s="424"/>
    </row>
    <row r="32" spans="1:8" s="109" customFormat="1" ht="16.5" customHeight="1">
      <c r="A32" s="423" t="s">
        <v>63</v>
      </c>
      <c r="B32" s="423"/>
      <c r="C32" s="424" t="s">
        <v>1743</v>
      </c>
      <c r="D32" s="424"/>
      <c r="E32" s="424"/>
      <c r="F32" s="424" t="s">
        <v>1744</v>
      </c>
      <c r="G32" s="424"/>
      <c r="H32" s="424"/>
    </row>
    <row r="33" spans="1:8" s="109" customFormat="1" ht="15.6">
      <c r="A33" s="108"/>
      <c r="B33" s="108"/>
      <c r="C33" s="108"/>
      <c r="D33" s="110"/>
      <c r="E33" s="111"/>
      <c r="F33" s="112"/>
      <c r="G33" s="111"/>
      <c r="H33" s="113"/>
    </row>
    <row r="34" spans="1:8" s="109" customFormat="1" ht="15.6">
      <c r="A34" s="108"/>
      <c r="B34" s="108"/>
      <c r="C34" s="108"/>
      <c r="D34" s="110"/>
      <c r="E34" s="111"/>
      <c r="F34" s="112"/>
      <c r="G34" s="114"/>
      <c r="H34" s="113"/>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6.5" customHeight="1">
      <c r="A38" s="108"/>
      <c r="B38" s="358" t="s">
        <v>64</v>
      </c>
      <c r="C38" s="424"/>
      <c r="D38" s="424"/>
      <c r="E38" s="424"/>
      <c r="F38" s="424" t="s">
        <v>1745</v>
      </c>
      <c r="G38" s="424"/>
      <c r="H38" s="424"/>
    </row>
    <row r="39" spans="1:8" s="109" customFormat="1" ht="15.6">
      <c r="A39" s="108"/>
      <c r="B39" s="358"/>
      <c r="C39" s="359"/>
      <c r="D39" s="359"/>
      <c r="E39" s="359"/>
      <c r="F39" s="359"/>
      <c r="G39" s="359"/>
      <c r="H39" s="359"/>
    </row>
    <row r="40" spans="1:8" s="109" customFormat="1" ht="15" customHeight="1">
      <c r="A40" s="424" t="s">
        <v>1746</v>
      </c>
      <c r="B40" s="424"/>
      <c r="C40" s="424"/>
      <c r="D40" s="424"/>
      <c r="E40" s="424" t="s">
        <v>1747</v>
      </c>
      <c r="F40" s="424"/>
      <c r="G40" s="424"/>
      <c r="H40" s="424"/>
    </row>
    <row r="41" spans="1:8" s="109" customFormat="1" ht="33.6" customHeight="1">
      <c r="A41" s="424" t="s">
        <v>1748</v>
      </c>
      <c r="B41" s="424"/>
      <c r="C41" s="424"/>
      <c r="D41" s="424"/>
      <c r="E41" s="424" t="s">
        <v>65</v>
      </c>
      <c r="F41" s="424"/>
      <c r="G41" s="424"/>
      <c r="H41" s="424"/>
    </row>
    <row r="42" spans="1:8" s="109" customFormat="1" ht="15.6">
      <c r="A42" s="108"/>
      <c r="B42" s="108"/>
      <c r="C42" s="108"/>
      <c r="D42" s="110"/>
      <c r="E42" s="111"/>
      <c r="F42" s="112"/>
      <c r="G42" s="111"/>
      <c r="H42" s="113"/>
    </row>
    <row r="43" spans="1:8" s="109" customFormat="1" ht="15.6">
      <c r="A43" s="108"/>
      <c r="B43" s="108"/>
      <c r="C43" s="108"/>
      <c r="D43" s="110"/>
      <c r="E43" s="111"/>
      <c r="F43" s="112"/>
      <c r="G43" s="111"/>
      <c r="H43" s="113"/>
    </row>
    <row r="44" spans="1:8" s="109" customFormat="1" ht="15.6">
      <c r="A44" s="108"/>
      <c r="B44" s="108"/>
      <c r="C44" s="108"/>
      <c r="D44" s="110"/>
      <c r="E44" s="111"/>
      <c r="F44" s="112"/>
      <c r="G44" s="111"/>
      <c r="H44" s="113"/>
    </row>
    <row r="45" spans="1:8" s="109" customFormat="1" ht="15.6">
      <c r="A45" s="108"/>
      <c r="B45" s="108"/>
      <c r="C45" s="108"/>
      <c r="D45" s="110"/>
      <c r="E45" s="111"/>
      <c r="F45" s="112"/>
      <c r="G45" s="111"/>
      <c r="H45" s="113"/>
    </row>
    <row r="46" spans="1:8" s="109" customFormat="1" ht="15.6">
      <c r="A46" s="108"/>
      <c r="B46" s="108"/>
      <c r="C46" s="108"/>
      <c r="D46" s="110"/>
      <c r="E46" s="111"/>
      <c r="F46" s="112"/>
      <c r="G46" s="111"/>
      <c r="H46" s="113"/>
    </row>
    <row r="47" spans="1:8" s="109" customFormat="1" ht="15.6" customHeight="1">
      <c r="A47" s="108"/>
      <c r="B47" s="108"/>
      <c r="C47" s="108"/>
      <c r="D47" s="115"/>
      <c r="E47" s="439" t="s">
        <v>1749</v>
      </c>
      <c r="F47" s="439"/>
      <c r="G47" s="439"/>
      <c r="H47" s="439"/>
    </row>
    <row r="48" spans="1:8" s="109" customFormat="1" ht="16.5" customHeight="1">
      <c r="A48" s="424" t="s">
        <v>1751</v>
      </c>
      <c r="B48" s="424"/>
      <c r="C48" s="424"/>
      <c r="D48" s="424"/>
      <c r="E48" s="424" t="s">
        <v>1750</v>
      </c>
      <c r="F48" s="424"/>
      <c r="G48" s="424"/>
      <c r="H48" s="424"/>
    </row>
    <row r="49" spans="1:8" s="118" customFormat="1" ht="16.2" customHeight="1">
      <c r="A49" s="440"/>
      <c r="B49" s="440"/>
      <c r="C49" s="116"/>
      <c r="D49" s="117"/>
      <c r="E49" s="440"/>
      <c r="F49" s="440"/>
      <c r="G49" s="440"/>
      <c r="H49" s="440"/>
    </row>
    <row r="50" spans="1:8" s="118" customFormat="1" ht="15.75" customHeight="1">
      <c r="A50" s="440"/>
      <c r="B50" s="440"/>
      <c r="C50" s="440"/>
      <c r="D50" s="440"/>
      <c r="E50" s="440"/>
      <c r="F50" s="440"/>
      <c r="G50" s="440"/>
      <c r="H50" s="440"/>
    </row>
    <row r="51" spans="1:8" s="98" customFormat="1" ht="16.2" customHeight="1">
      <c r="A51" s="436"/>
      <c r="B51" s="436"/>
      <c r="C51" s="436"/>
      <c r="D51" s="436"/>
      <c r="E51" s="119"/>
      <c r="F51" s="120"/>
      <c r="G51" s="119"/>
      <c r="H51" s="121"/>
    </row>
    <row r="52" spans="1:8" s="98" customFormat="1" ht="16.2" customHeight="1">
      <c r="A52" s="436"/>
      <c r="B52" s="436"/>
      <c r="C52" s="436"/>
      <c r="D52" s="436"/>
      <c r="E52" s="119"/>
      <c r="F52" s="120"/>
      <c r="G52" s="119"/>
      <c r="H52" s="121"/>
    </row>
    <row r="53" spans="1:8" s="98" customFormat="1" ht="16.2" customHeight="1">
      <c r="A53" s="121"/>
      <c r="B53" s="121"/>
      <c r="C53" s="121"/>
      <c r="D53" s="122"/>
      <c r="E53" s="119"/>
      <c r="F53" s="120"/>
      <c r="G53" s="119"/>
      <c r="H53" s="121"/>
    </row>
    <row r="54" spans="1:8" ht="16.2" customHeight="1">
      <c r="A54" s="83"/>
      <c r="B54" s="83"/>
      <c r="C54" s="83"/>
      <c r="D54" s="84"/>
      <c r="E54" s="85"/>
      <c r="F54" s="86"/>
      <c r="G54" s="85"/>
      <c r="H54" s="83"/>
    </row>
    <row r="55" spans="1:8" ht="16.2" customHeight="1">
      <c r="A55" s="83"/>
      <c r="B55" s="83"/>
      <c r="C55" s="83"/>
      <c r="D55" s="84"/>
      <c r="E55" s="85"/>
      <c r="F55" s="86"/>
      <c r="G55" s="85"/>
      <c r="H55" s="83"/>
    </row>
    <row r="56" spans="1:8" ht="16.2" customHeight="1">
      <c r="A56" s="83"/>
      <c r="B56" s="83"/>
      <c r="C56" s="83"/>
      <c r="D56" s="84"/>
      <c r="E56" s="85"/>
      <c r="F56" s="86"/>
      <c r="G56" s="85"/>
      <c r="H56" s="83"/>
    </row>
    <row r="57" spans="1:8" ht="16.2" customHeight="1">
      <c r="A57" s="83"/>
      <c r="B57" s="83"/>
      <c r="C57" s="83"/>
      <c r="D57" s="84"/>
      <c r="E57" s="437"/>
      <c r="F57" s="437"/>
      <c r="G57" s="437"/>
      <c r="H57" s="437"/>
    </row>
    <row r="58" spans="1:8" ht="20.25" customHeight="1">
      <c r="A58" s="438"/>
      <c r="B58" s="438"/>
      <c r="C58" s="438"/>
      <c r="D58" s="438"/>
      <c r="E58" s="438"/>
      <c r="F58" s="438"/>
      <c r="G58" s="438"/>
      <c r="H58" s="438"/>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D71" s="18"/>
      <c r="E71" s="19"/>
      <c r="F71" s="97"/>
      <c r="G71" s="19"/>
    </row>
    <row r="72" spans="3:7" s="17" customFormat="1" ht="16.2" customHeight="1">
      <c r="D72" s="18"/>
      <c r="E72" s="19"/>
      <c r="F72" s="97"/>
      <c r="G72" s="19"/>
    </row>
    <row r="73" spans="3:7" s="17" customFormat="1" ht="16.2" customHeight="1">
      <c r="D73" s="18"/>
      <c r="E73" s="19"/>
      <c r="F73" s="97"/>
      <c r="G73" s="19"/>
    </row>
    <row r="74" spans="3:7" s="17" customFormat="1" ht="16.2" customHeight="1">
      <c r="D74" s="18"/>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s="17" customFormat="1" ht="16.2" customHeight="1">
      <c r="C83" s="97"/>
      <c r="D83" s="20"/>
      <c r="E83" s="19"/>
      <c r="F83" s="97"/>
      <c r="G83" s="19"/>
    </row>
    <row r="84" spans="3:7" s="17" customFormat="1" ht="16.2" customHeight="1">
      <c r="C84" s="97"/>
      <c r="D84" s="20"/>
      <c r="E84" s="19"/>
      <c r="F84" s="97"/>
      <c r="G84" s="19"/>
    </row>
    <row r="85" spans="3:7" s="17" customFormat="1" ht="16.2" customHeight="1">
      <c r="C85" s="97"/>
      <c r="D85" s="20"/>
      <c r="E85" s="19"/>
      <c r="F85" s="97"/>
      <c r="G85" s="19"/>
    </row>
    <row r="86" spans="3:7" s="17" customFormat="1" ht="16.2" customHeight="1">
      <c r="C86" s="97"/>
      <c r="D86" s="20"/>
      <c r="E86" s="19"/>
      <c r="F86" s="97"/>
      <c r="G86" s="19"/>
    </row>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ht="16.2" customHeight="1"/>
    <row r="230" ht="16.2" customHeight="1"/>
    <row r="231" ht="16.2" customHeight="1"/>
    <row r="232" ht="16.2" customHeight="1"/>
    <row r="233"/>
    <row r="234"/>
    <row r="235"/>
    <row r="236"/>
    <row r="237"/>
    <row r="238"/>
    <row r="239"/>
    <row r="240"/>
    <row r="241"/>
    <row r="242"/>
    <row r="243"/>
    <row r="244"/>
    <row r="245"/>
    <row r="246"/>
    <row r="247"/>
    <row r="248"/>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sheetData>
  <mergeCells count="40">
    <mergeCell ref="A4:B4"/>
    <mergeCell ref="C4:H4"/>
    <mergeCell ref="A1:B1"/>
    <mergeCell ref="C1:H1"/>
    <mergeCell ref="A2:B2"/>
    <mergeCell ref="C2:H2"/>
    <mergeCell ref="A3:B3"/>
    <mergeCell ref="A29:H29"/>
    <mergeCell ref="A6:H6"/>
    <mergeCell ref="A7:H7"/>
    <mergeCell ref="A8:H8"/>
    <mergeCell ref="A9:H9"/>
    <mergeCell ref="A10:H10"/>
    <mergeCell ref="A11:H11"/>
    <mergeCell ref="B13:F13"/>
    <mergeCell ref="B15:F15"/>
    <mergeCell ref="B23:F23"/>
    <mergeCell ref="B27:F27"/>
    <mergeCell ref="B28:F28"/>
    <mergeCell ref="A48:D48"/>
    <mergeCell ref="E48:H48"/>
    <mergeCell ref="C31:H31"/>
    <mergeCell ref="A32:B32"/>
    <mergeCell ref="C32:E32"/>
    <mergeCell ref="F32:H32"/>
    <mergeCell ref="C38:E38"/>
    <mergeCell ref="F38:H38"/>
    <mergeCell ref="A40:D40"/>
    <mergeCell ref="E40:H40"/>
    <mergeCell ref="A41:D41"/>
    <mergeCell ref="E41:H41"/>
    <mergeCell ref="E47:H47"/>
    <mergeCell ref="E57:H57"/>
    <mergeCell ref="A58:H58"/>
    <mergeCell ref="A49:B49"/>
    <mergeCell ref="E49:H49"/>
    <mergeCell ref="A50:D50"/>
    <mergeCell ref="E50:H50"/>
    <mergeCell ref="A51:D51"/>
    <mergeCell ref="A52:D52"/>
  </mergeCells>
  <dataValidations count="2">
    <dataValidation type="list" allowBlank="1" showInputMessage="1" showErrorMessage="1" sqref="WVJ983050:WVJ983067 B983050:B983067 IX983050:IX983067 ST983050:ST983067 ACP983050:ACP983067 AML983050:AML983067 AWH983050:AWH983067 BGD983050:BGD983067 BPZ983050:BPZ983067 BZV983050:BZV983067 CJR983050:CJR983067 CTN983050:CTN983067 DDJ983050:DDJ983067 DNF983050:DNF983067 DXB983050:DXB983067 EGX983050:EGX983067 EQT983050:EQT983067 FAP983050:FAP983067 FKL983050:FKL983067 FUH983050:FUH983067 GED983050:GED983067 GNZ983050:GNZ983067 GXV983050:GXV983067 HHR983050:HHR983067 HRN983050:HRN983067 IBJ983050:IBJ983067 ILF983050:ILF983067 IVB983050:IVB983067 JEX983050:JEX983067 JOT983050:JOT983067 JYP983050:JYP983067 KIL983050:KIL983067 KSH983050:KSH983067 LCD983050:LCD983067 LLZ983050:LLZ983067 LVV983050:LVV983067 MFR983050:MFR983067 MPN983050:MPN983067 MZJ983050:MZJ983067 NJF983050:NJF983067 NTB983050:NTB983067 OCX983050:OCX983067 OMT983050:OMT983067 OWP983050:OWP983067 PGL983050:PGL983067 PQH983050:PQH983067 QAD983050:QAD983067 QJZ983050:QJZ983067 QTV983050:QTV983067 RDR983050:RDR983067 RNN983050:RNN983067 RXJ983050:RXJ983067 SHF983050:SHF983067 SRB983050:SRB983067 TAX983050:TAX983067 TKT983050:TKT983067 TUP983050:TUP983067 UEL983050:UEL983067 UOH983050:UOH983067 UYD983050:UYD983067 VHZ983050:VHZ983067 VRV983050:VRV983067 WBR983050:WBR983067 WLN983050:WLN983067 B65546:B65563 IX65546:IX65563 ST65546:ST65563 ACP65546:ACP65563 AML65546:AML65563 AWH65546:AWH65563 BGD65546:BGD65563 BPZ65546:BPZ65563 BZV65546:BZV65563 CJR65546:CJR65563 CTN65546:CTN65563 DDJ65546:DDJ65563 DNF65546:DNF65563 DXB65546:DXB65563 EGX65546:EGX65563 EQT65546:EQT65563 FAP65546:FAP65563 FKL65546:FKL65563 FUH65546:FUH65563 GED65546:GED65563 GNZ65546:GNZ65563 GXV65546:GXV65563 HHR65546:HHR65563 HRN65546:HRN65563 IBJ65546:IBJ65563 ILF65546:ILF65563 IVB65546:IVB65563 JEX65546:JEX65563 JOT65546:JOT65563 JYP65546:JYP65563 KIL65546:KIL65563 KSH65546:KSH65563 LCD65546:LCD65563 LLZ65546:LLZ65563 LVV65546:LVV65563 MFR65546:MFR65563 MPN65546:MPN65563 MZJ65546:MZJ65563 NJF65546:NJF65563 NTB65546:NTB65563 OCX65546:OCX65563 OMT65546:OMT65563 OWP65546:OWP65563 PGL65546:PGL65563 PQH65546:PQH65563 QAD65546:QAD65563 QJZ65546:QJZ65563 QTV65546:QTV65563 RDR65546:RDR65563 RNN65546:RNN65563 RXJ65546:RXJ65563 SHF65546:SHF65563 SRB65546:SRB65563 TAX65546:TAX65563 TKT65546:TKT65563 TUP65546:TUP65563 UEL65546:UEL65563 UOH65546:UOH65563 UYD65546:UYD65563 VHZ65546:VHZ65563 VRV65546:VRV65563 WBR65546:WBR65563 WLN65546:WLN65563 WVJ65546:WVJ65563 B131082:B131099 IX131082:IX131099 ST131082:ST131099 ACP131082:ACP131099 AML131082:AML131099 AWH131082:AWH131099 BGD131082:BGD131099 BPZ131082:BPZ131099 BZV131082:BZV131099 CJR131082:CJR131099 CTN131082:CTN131099 DDJ131082:DDJ131099 DNF131082:DNF131099 DXB131082:DXB131099 EGX131082:EGX131099 EQT131082:EQT131099 FAP131082:FAP131099 FKL131082:FKL131099 FUH131082:FUH131099 GED131082:GED131099 GNZ131082:GNZ131099 GXV131082:GXV131099 HHR131082:HHR131099 HRN131082:HRN131099 IBJ131082:IBJ131099 ILF131082:ILF131099 IVB131082:IVB131099 JEX131082:JEX131099 JOT131082:JOT131099 JYP131082:JYP131099 KIL131082:KIL131099 KSH131082:KSH131099 LCD131082:LCD131099 LLZ131082:LLZ131099 LVV131082:LVV131099 MFR131082:MFR131099 MPN131082:MPN131099 MZJ131082:MZJ131099 NJF131082:NJF131099 NTB131082:NTB131099 OCX131082:OCX131099 OMT131082:OMT131099 OWP131082:OWP131099 PGL131082:PGL131099 PQH131082:PQH131099 QAD131082:QAD131099 QJZ131082:QJZ131099 QTV131082:QTV131099 RDR131082:RDR131099 RNN131082:RNN131099 RXJ131082:RXJ131099 SHF131082:SHF131099 SRB131082:SRB131099 TAX131082:TAX131099 TKT131082:TKT131099 TUP131082:TUP131099 UEL131082:UEL131099 UOH131082:UOH131099 UYD131082:UYD131099 VHZ131082:VHZ131099 VRV131082:VRV131099 WBR131082:WBR131099 WLN131082:WLN131099 WVJ131082:WVJ131099 B196618:B196635 IX196618:IX196635 ST196618:ST196635 ACP196618:ACP196635 AML196618:AML196635 AWH196618:AWH196635 BGD196618:BGD196635 BPZ196618:BPZ196635 BZV196618:BZV196635 CJR196618:CJR196635 CTN196618:CTN196635 DDJ196618:DDJ196635 DNF196618:DNF196635 DXB196618:DXB196635 EGX196618:EGX196635 EQT196618:EQT196635 FAP196618:FAP196635 FKL196618:FKL196635 FUH196618:FUH196635 GED196618:GED196635 GNZ196618:GNZ196635 GXV196618:GXV196635 HHR196618:HHR196635 HRN196618:HRN196635 IBJ196618:IBJ196635 ILF196618:ILF196635 IVB196618:IVB196635 JEX196618:JEX196635 JOT196618:JOT196635 JYP196618:JYP196635 KIL196618:KIL196635 KSH196618:KSH196635 LCD196618:LCD196635 LLZ196618:LLZ196635 LVV196618:LVV196635 MFR196618:MFR196635 MPN196618:MPN196635 MZJ196618:MZJ196635 NJF196618:NJF196635 NTB196618:NTB196635 OCX196618:OCX196635 OMT196618:OMT196635 OWP196618:OWP196635 PGL196618:PGL196635 PQH196618:PQH196635 QAD196618:QAD196635 QJZ196618:QJZ196635 QTV196618:QTV196635 RDR196618:RDR196635 RNN196618:RNN196635 RXJ196618:RXJ196635 SHF196618:SHF196635 SRB196618:SRB196635 TAX196618:TAX196635 TKT196618:TKT196635 TUP196618:TUP196635 UEL196618:UEL196635 UOH196618:UOH196635 UYD196618:UYD196635 VHZ196618:VHZ196635 VRV196618:VRV196635 WBR196618:WBR196635 WLN196618:WLN196635 WVJ196618:WVJ196635 B262154:B262171 IX262154:IX262171 ST262154:ST262171 ACP262154:ACP262171 AML262154:AML262171 AWH262154:AWH262171 BGD262154:BGD262171 BPZ262154:BPZ262171 BZV262154:BZV262171 CJR262154:CJR262171 CTN262154:CTN262171 DDJ262154:DDJ262171 DNF262154:DNF262171 DXB262154:DXB262171 EGX262154:EGX262171 EQT262154:EQT262171 FAP262154:FAP262171 FKL262154:FKL262171 FUH262154:FUH262171 GED262154:GED262171 GNZ262154:GNZ262171 GXV262154:GXV262171 HHR262154:HHR262171 HRN262154:HRN262171 IBJ262154:IBJ262171 ILF262154:ILF262171 IVB262154:IVB262171 JEX262154:JEX262171 JOT262154:JOT262171 JYP262154:JYP262171 KIL262154:KIL262171 KSH262154:KSH262171 LCD262154:LCD262171 LLZ262154:LLZ262171 LVV262154:LVV262171 MFR262154:MFR262171 MPN262154:MPN262171 MZJ262154:MZJ262171 NJF262154:NJF262171 NTB262154:NTB262171 OCX262154:OCX262171 OMT262154:OMT262171 OWP262154:OWP262171 PGL262154:PGL262171 PQH262154:PQH262171 QAD262154:QAD262171 QJZ262154:QJZ262171 QTV262154:QTV262171 RDR262154:RDR262171 RNN262154:RNN262171 RXJ262154:RXJ262171 SHF262154:SHF262171 SRB262154:SRB262171 TAX262154:TAX262171 TKT262154:TKT262171 TUP262154:TUP262171 UEL262154:UEL262171 UOH262154:UOH262171 UYD262154:UYD262171 VHZ262154:VHZ262171 VRV262154:VRV262171 WBR262154:WBR262171 WLN262154:WLN262171 WVJ262154:WVJ262171 B327690:B327707 IX327690:IX327707 ST327690:ST327707 ACP327690:ACP327707 AML327690:AML327707 AWH327690:AWH327707 BGD327690:BGD327707 BPZ327690:BPZ327707 BZV327690:BZV327707 CJR327690:CJR327707 CTN327690:CTN327707 DDJ327690:DDJ327707 DNF327690:DNF327707 DXB327690:DXB327707 EGX327690:EGX327707 EQT327690:EQT327707 FAP327690:FAP327707 FKL327690:FKL327707 FUH327690:FUH327707 GED327690:GED327707 GNZ327690:GNZ327707 GXV327690:GXV327707 HHR327690:HHR327707 HRN327690:HRN327707 IBJ327690:IBJ327707 ILF327690:ILF327707 IVB327690:IVB327707 JEX327690:JEX327707 JOT327690:JOT327707 JYP327690:JYP327707 KIL327690:KIL327707 KSH327690:KSH327707 LCD327690:LCD327707 LLZ327690:LLZ327707 LVV327690:LVV327707 MFR327690:MFR327707 MPN327690:MPN327707 MZJ327690:MZJ327707 NJF327690:NJF327707 NTB327690:NTB327707 OCX327690:OCX327707 OMT327690:OMT327707 OWP327690:OWP327707 PGL327690:PGL327707 PQH327690:PQH327707 QAD327690:QAD327707 QJZ327690:QJZ327707 QTV327690:QTV327707 RDR327690:RDR327707 RNN327690:RNN327707 RXJ327690:RXJ327707 SHF327690:SHF327707 SRB327690:SRB327707 TAX327690:TAX327707 TKT327690:TKT327707 TUP327690:TUP327707 UEL327690:UEL327707 UOH327690:UOH327707 UYD327690:UYD327707 VHZ327690:VHZ327707 VRV327690:VRV327707 WBR327690:WBR327707 WLN327690:WLN327707 WVJ327690:WVJ327707 B393226:B393243 IX393226:IX393243 ST393226:ST393243 ACP393226:ACP393243 AML393226:AML393243 AWH393226:AWH393243 BGD393226:BGD393243 BPZ393226:BPZ393243 BZV393226:BZV393243 CJR393226:CJR393243 CTN393226:CTN393243 DDJ393226:DDJ393243 DNF393226:DNF393243 DXB393226:DXB393243 EGX393226:EGX393243 EQT393226:EQT393243 FAP393226:FAP393243 FKL393226:FKL393243 FUH393226:FUH393243 GED393226:GED393243 GNZ393226:GNZ393243 GXV393226:GXV393243 HHR393226:HHR393243 HRN393226:HRN393243 IBJ393226:IBJ393243 ILF393226:ILF393243 IVB393226:IVB393243 JEX393226:JEX393243 JOT393226:JOT393243 JYP393226:JYP393243 KIL393226:KIL393243 KSH393226:KSH393243 LCD393226:LCD393243 LLZ393226:LLZ393243 LVV393226:LVV393243 MFR393226:MFR393243 MPN393226:MPN393243 MZJ393226:MZJ393243 NJF393226:NJF393243 NTB393226:NTB393243 OCX393226:OCX393243 OMT393226:OMT393243 OWP393226:OWP393243 PGL393226:PGL393243 PQH393226:PQH393243 QAD393226:QAD393243 QJZ393226:QJZ393243 QTV393226:QTV393243 RDR393226:RDR393243 RNN393226:RNN393243 RXJ393226:RXJ393243 SHF393226:SHF393243 SRB393226:SRB393243 TAX393226:TAX393243 TKT393226:TKT393243 TUP393226:TUP393243 UEL393226:UEL393243 UOH393226:UOH393243 UYD393226:UYD393243 VHZ393226:VHZ393243 VRV393226:VRV393243 WBR393226:WBR393243 WLN393226:WLN393243 WVJ393226:WVJ393243 B458762:B458779 IX458762:IX458779 ST458762:ST458779 ACP458762:ACP458779 AML458762:AML458779 AWH458762:AWH458779 BGD458762:BGD458779 BPZ458762:BPZ458779 BZV458762:BZV458779 CJR458762:CJR458779 CTN458762:CTN458779 DDJ458762:DDJ458779 DNF458762:DNF458779 DXB458762:DXB458779 EGX458762:EGX458779 EQT458762:EQT458779 FAP458762:FAP458779 FKL458762:FKL458779 FUH458762:FUH458779 GED458762:GED458779 GNZ458762:GNZ458779 GXV458762:GXV458779 HHR458762:HHR458779 HRN458762:HRN458779 IBJ458762:IBJ458779 ILF458762:ILF458779 IVB458762:IVB458779 JEX458762:JEX458779 JOT458762:JOT458779 JYP458762:JYP458779 KIL458762:KIL458779 KSH458762:KSH458779 LCD458762:LCD458779 LLZ458762:LLZ458779 LVV458762:LVV458779 MFR458762:MFR458779 MPN458762:MPN458779 MZJ458762:MZJ458779 NJF458762:NJF458779 NTB458762:NTB458779 OCX458762:OCX458779 OMT458762:OMT458779 OWP458762:OWP458779 PGL458762:PGL458779 PQH458762:PQH458779 QAD458762:QAD458779 QJZ458762:QJZ458779 QTV458762:QTV458779 RDR458762:RDR458779 RNN458762:RNN458779 RXJ458762:RXJ458779 SHF458762:SHF458779 SRB458762:SRB458779 TAX458762:TAX458779 TKT458762:TKT458779 TUP458762:TUP458779 UEL458762:UEL458779 UOH458762:UOH458779 UYD458762:UYD458779 VHZ458762:VHZ458779 VRV458762:VRV458779 WBR458762:WBR458779 WLN458762:WLN458779 WVJ458762:WVJ458779 B524298:B524315 IX524298:IX524315 ST524298:ST524315 ACP524298:ACP524315 AML524298:AML524315 AWH524298:AWH524315 BGD524298:BGD524315 BPZ524298:BPZ524315 BZV524298:BZV524315 CJR524298:CJR524315 CTN524298:CTN524315 DDJ524298:DDJ524315 DNF524298:DNF524315 DXB524298:DXB524315 EGX524298:EGX524315 EQT524298:EQT524315 FAP524298:FAP524315 FKL524298:FKL524315 FUH524298:FUH524315 GED524298:GED524315 GNZ524298:GNZ524315 GXV524298:GXV524315 HHR524298:HHR524315 HRN524298:HRN524315 IBJ524298:IBJ524315 ILF524298:ILF524315 IVB524298:IVB524315 JEX524298:JEX524315 JOT524298:JOT524315 JYP524298:JYP524315 KIL524298:KIL524315 KSH524298:KSH524315 LCD524298:LCD524315 LLZ524298:LLZ524315 LVV524298:LVV524315 MFR524298:MFR524315 MPN524298:MPN524315 MZJ524298:MZJ524315 NJF524298:NJF524315 NTB524298:NTB524315 OCX524298:OCX524315 OMT524298:OMT524315 OWP524298:OWP524315 PGL524298:PGL524315 PQH524298:PQH524315 QAD524298:QAD524315 QJZ524298:QJZ524315 QTV524298:QTV524315 RDR524298:RDR524315 RNN524298:RNN524315 RXJ524298:RXJ524315 SHF524298:SHF524315 SRB524298:SRB524315 TAX524298:TAX524315 TKT524298:TKT524315 TUP524298:TUP524315 UEL524298:UEL524315 UOH524298:UOH524315 UYD524298:UYD524315 VHZ524298:VHZ524315 VRV524298:VRV524315 WBR524298:WBR524315 WLN524298:WLN524315 WVJ524298:WVJ524315 B589834:B589851 IX589834:IX589851 ST589834:ST589851 ACP589834:ACP589851 AML589834:AML589851 AWH589834:AWH589851 BGD589834:BGD589851 BPZ589834:BPZ589851 BZV589834:BZV589851 CJR589834:CJR589851 CTN589834:CTN589851 DDJ589834:DDJ589851 DNF589834:DNF589851 DXB589834:DXB589851 EGX589834:EGX589851 EQT589834:EQT589851 FAP589834:FAP589851 FKL589834:FKL589851 FUH589834:FUH589851 GED589834:GED589851 GNZ589834:GNZ589851 GXV589834:GXV589851 HHR589834:HHR589851 HRN589834:HRN589851 IBJ589834:IBJ589851 ILF589834:ILF589851 IVB589834:IVB589851 JEX589834:JEX589851 JOT589834:JOT589851 JYP589834:JYP589851 KIL589834:KIL589851 KSH589834:KSH589851 LCD589834:LCD589851 LLZ589834:LLZ589851 LVV589834:LVV589851 MFR589834:MFR589851 MPN589834:MPN589851 MZJ589834:MZJ589851 NJF589834:NJF589851 NTB589834:NTB589851 OCX589834:OCX589851 OMT589834:OMT589851 OWP589834:OWP589851 PGL589834:PGL589851 PQH589834:PQH589851 QAD589834:QAD589851 QJZ589834:QJZ589851 QTV589834:QTV589851 RDR589834:RDR589851 RNN589834:RNN589851 RXJ589834:RXJ589851 SHF589834:SHF589851 SRB589834:SRB589851 TAX589834:TAX589851 TKT589834:TKT589851 TUP589834:TUP589851 UEL589834:UEL589851 UOH589834:UOH589851 UYD589834:UYD589851 VHZ589834:VHZ589851 VRV589834:VRV589851 WBR589834:WBR589851 WLN589834:WLN589851 WVJ589834:WVJ589851 B655370:B655387 IX655370:IX655387 ST655370:ST655387 ACP655370:ACP655387 AML655370:AML655387 AWH655370:AWH655387 BGD655370:BGD655387 BPZ655370:BPZ655387 BZV655370:BZV655387 CJR655370:CJR655387 CTN655370:CTN655387 DDJ655370:DDJ655387 DNF655370:DNF655387 DXB655370:DXB655387 EGX655370:EGX655387 EQT655370:EQT655387 FAP655370:FAP655387 FKL655370:FKL655387 FUH655370:FUH655387 GED655370:GED655387 GNZ655370:GNZ655387 GXV655370:GXV655387 HHR655370:HHR655387 HRN655370:HRN655387 IBJ655370:IBJ655387 ILF655370:ILF655387 IVB655370:IVB655387 JEX655370:JEX655387 JOT655370:JOT655387 JYP655370:JYP655387 KIL655370:KIL655387 KSH655370:KSH655387 LCD655370:LCD655387 LLZ655370:LLZ655387 LVV655370:LVV655387 MFR655370:MFR655387 MPN655370:MPN655387 MZJ655370:MZJ655387 NJF655370:NJF655387 NTB655370:NTB655387 OCX655370:OCX655387 OMT655370:OMT655387 OWP655370:OWP655387 PGL655370:PGL655387 PQH655370:PQH655387 QAD655370:QAD655387 QJZ655370:QJZ655387 QTV655370:QTV655387 RDR655370:RDR655387 RNN655370:RNN655387 RXJ655370:RXJ655387 SHF655370:SHF655387 SRB655370:SRB655387 TAX655370:TAX655387 TKT655370:TKT655387 TUP655370:TUP655387 UEL655370:UEL655387 UOH655370:UOH655387 UYD655370:UYD655387 VHZ655370:VHZ655387 VRV655370:VRV655387 WBR655370:WBR655387 WLN655370:WLN655387 WVJ655370:WVJ655387 B720906:B720923 IX720906:IX720923 ST720906:ST720923 ACP720906:ACP720923 AML720906:AML720923 AWH720906:AWH720923 BGD720906:BGD720923 BPZ720906:BPZ720923 BZV720906:BZV720923 CJR720906:CJR720923 CTN720906:CTN720923 DDJ720906:DDJ720923 DNF720906:DNF720923 DXB720906:DXB720923 EGX720906:EGX720923 EQT720906:EQT720923 FAP720906:FAP720923 FKL720906:FKL720923 FUH720906:FUH720923 GED720906:GED720923 GNZ720906:GNZ720923 GXV720906:GXV720923 HHR720906:HHR720923 HRN720906:HRN720923 IBJ720906:IBJ720923 ILF720906:ILF720923 IVB720906:IVB720923 JEX720906:JEX720923 JOT720906:JOT720923 JYP720906:JYP720923 KIL720906:KIL720923 KSH720906:KSH720923 LCD720906:LCD720923 LLZ720906:LLZ720923 LVV720906:LVV720923 MFR720906:MFR720923 MPN720906:MPN720923 MZJ720906:MZJ720923 NJF720906:NJF720923 NTB720906:NTB720923 OCX720906:OCX720923 OMT720906:OMT720923 OWP720906:OWP720923 PGL720906:PGL720923 PQH720906:PQH720923 QAD720906:QAD720923 QJZ720906:QJZ720923 QTV720906:QTV720923 RDR720906:RDR720923 RNN720906:RNN720923 RXJ720906:RXJ720923 SHF720906:SHF720923 SRB720906:SRB720923 TAX720906:TAX720923 TKT720906:TKT720923 TUP720906:TUP720923 UEL720906:UEL720923 UOH720906:UOH720923 UYD720906:UYD720923 VHZ720906:VHZ720923 VRV720906:VRV720923 WBR720906:WBR720923 WLN720906:WLN720923 WVJ720906:WVJ720923 B786442:B786459 IX786442:IX786459 ST786442:ST786459 ACP786442:ACP786459 AML786442:AML786459 AWH786442:AWH786459 BGD786442:BGD786459 BPZ786442:BPZ786459 BZV786442:BZV786459 CJR786442:CJR786459 CTN786442:CTN786459 DDJ786442:DDJ786459 DNF786442:DNF786459 DXB786442:DXB786459 EGX786442:EGX786459 EQT786442:EQT786459 FAP786442:FAP786459 FKL786442:FKL786459 FUH786442:FUH786459 GED786442:GED786459 GNZ786442:GNZ786459 GXV786442:GXV786459 HHR786442:HHR786459 HRN786442:HRN786459 IBJ786442:IBJ786459 ILF786442:ILF786459 IVB786442:IVB786459 JEX786442:JEX786459 JOT786442:JOT786459 JYP786442:JYP786459 KIL786442:KIL786459 KSH786442:KSH786459 LCD786442:LCD786459 LLZ786442:LLZ786459 LVV786442:LVV786459 MFR786442:MFR786459 MPN786442:MPN786459 MZJ786442:MZJ786459 NJF786442:NJF786459 NTB786442:NTB786459 OCX786442:OCX786459 OMT786442:OMT786459 OWP786442:OWP786459 PGL786442:PGL786459 PQH786442:PQH786459 QAD786442:QAD786459 QJZ786442:QJZ786459 QTV786442:QTV786459 RDR786442:RDR786459 RNN786442:RNN786459 RXJ786442:RXJ786459 SHF786442:SHF786459 SRB786442:SRB786459 TAX786442:TAX786459 TKT786442:TKT786459 TUP786442:TUP786459 UEL786442:UEL786459 UOH786442:UOH786459 UYD786442:UYD786459 VHZ786442:VHZ786459 VRV786442:VRV786459 WBR786442:WBR786459 WLN786442:WLN786459 WVJ786442:WVJ786459 B851978:B851995 IX851978:IX851995 ST851978:ST851995 ACP851978:ACP851995 AML851978:AML851995 AWH851978:AWH851995 BGD851978:BGD851995 BPZ851978:BPZ851995 BZV851978:BZV851995 CJR851978:CJR851995 CTN851978:CTN851995 DDJ851978:DDJ851995 DNF851978:DNF851995 DXB851978:DXB851995 EGX851978:EGX851995 EQT851978:EQT851995 FAP851978:FAP851995 FKL851978:FKL851995 FUH851978:FUH851995 GED851978:GED851995 GNZ851978:GNZ851995 GXV851978:GXV851995 HHR851978:HHR851995 HRN851978:HRN851995 IBJ851978:IBJ851995 ILF851978:ILF851995 IVB851978:IVB851995 JEX851978:JEX851995 JOT851978:JOT851995 JYP851978:JYP851995 KIL851978:KIL851995 KSH851978:KSH851995 LCD851978:LCD851995 LLZ851978:LLZ851995 LVV851978:LVV851995 MFR851978:MFR851995 MPN851978:MPN851995 MZJ851978:MZJ851995 NJF851978:NJF851995 NTB851978:NTB851995 OCX851978:OCX851995 OMT851978:OMT851995 OWP851978:OWP851995 PGL851978:PGL851995 PQH851978:PQH851995 QAD851978:QAD851995 QJZ851978:QJZ851995 QTV851978:QTV851995 RDR851978:RDR851995 RNN851978:RNN851995 RXJ851978:RXJ851995 SHF851978:SHF851995 SRB851978:SRB851995 TAX851978:TAX851995 TKT851978:TKT851995 TUP851978:TUP851995 UEL851978:UEL851995 UOH851978:UOH851995 UYD851978:UYD851995 VHZ851978:VHZ851995 VRV851978:VRV851995 WBR851978:WBR851995 WLN851978:WLN851995 WVJ851978:WVJ851995 B917514:B917531 IX917514:IX917531 ST917514:ST917531 ACP917514:ACP917531 AML917514:AML917531 AWH917514:AWH917531 BGD917514:BGD917531 BPZ917514:BPZ917531 BZV917514:BZV917531 CJR917514:CJR917531 CTN917514:CTN917531 DDJ917514:DDJ917531 DNF917514:DNF917531 DXB917514:DXB917531 EGX917514:EGX917531 EQT917514:EQT917531 FAP917514:FAP917531 FKL917514:FKL917531 FUH917514:FUH917531 GED917514:GED917531 GNZ917514:GNZ917531 GXV917514:GXV917531 HHR917514:HHR917531 HRN917514:HRN917531 IBJ917514:IBJ917531 ILF917514:ILF917531 IVB917514:IVB917531 JEX917514:JEX917531 JOT917514:JOT917531 JYP917514:JYP917531 KIL917514:KIL917531 KSH917514:KSH917531 LCD917514:LCD917531 LLZ917514:LLZ917531 LVV917514:LVV917531 MFR917514:MFR917531 MPN917514:MPN917531 MZJ917514:MZJ917531 NJF917514:NJF917531 NTB917514:NTB917531 OCX917514:OCX917531 OMT917514:OMT917531 OWP917514:OWP917531 PGL917514:PGL917531 PQH917514:PQH917531 QAD917514:QAD917531 QJZ917514:QJZ917531 QTV917514:QTV917531 RDR917514:RDR917531 RNN917514:RNN917531 RXJ917514:RXJ917531 SHF917514:SHF917531 SRB917514:SRB917531 TAX917514:TAX917531 TKT917514:TKT917531 TUP917514:TUP917531 UEL917514:UEL917531 UOH917514:UOH917531 UYD917514:UYD917531 VHZ917514:VHZ917531 VRV917514:VRV917531 WBR917514:WBR917531 WLN917514:WLN917531 WVJ917514:WVJ917531" xr:uid="{00000000-0002-0000-4D00-000000000000}">
      <formula1>trung</formula1>
    </dataValidation>
    <dataValidation type="list" allowBlank="1" showInputMessage="1" showErrorMessage="1" sqref="B24:B26" xr:uid="{00000000-0002-0000-4D00-000001000000}">
      <formula1>bichphuong</formula1>
    </dataValidation>
  </dataValidation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C00000"/>
  </sheetPr>
  <dimension ref="A1:H368"/>
  <sheetViews>
    <sheetView topLeftCell="A11" zoomScaleNormal="100" workbookViewId="0">
      <selection activeCell="IV19" sqref="IV19"/>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6.5976562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43" t="s">
        <v>1737</v>
      </c>
      <c r="B1" s="444"/>
      <c r="C1" s="445" t="s">
        <v>56</v>
      </c>
      <c r="D1" s="445"/>
      <c r="E1" s="445"/>
      <c r="F1" s="445"/>
      <c r="G1" s="445"/>
      <c r="H1" s="445"/>
    </row>
    <row r="2" spans="1:8" s="98" customFormat="1" ht="16.95" customHeight="1">
      <c r="A2" s="445" t="s">
        <v>67</v>
      </c>
      <c r="B2" s="412"/>
      <c r="C2" s="445" t="s">
        <v>13</v>
      </c>
      <c r="D2" s="445"/>
      <c r="E2" s="445"/>
      <c r="F2" s="445"/>
      <c r="G2" s="445"/>
      <c r="H2" s="445"/>
    </row>
    <row r="3" spans="1:8" s="98" customFormat="1" ht="17.399999999999999">
      <c r="A3" s="418" t="s">
        <v>1738</v>
      </c>
      <c r="B3" s="418"/>
      <c r="C3" s="363"/>
      <c r="D3" s="203"/>
      <c r="E3" s="204"/>
      <c r="F3" s="367"/>
      <c r="G3" s="206"/>
      <c r="H3" s="103"/>
    </row>
    <row r="4" spans="1:8" s="98" customFormat="1" ht="18" customHeight="1">
      <c r="A4" s="443"/>
      <c r="B4" s="443"/>
      <c r="C4" s="415" t="s">
        <v>1740</v>
      </c>
      <c r="D4" s="415"/>
      <c r="E4" s="415"/>
      <c r="F4" s="415"/>
      <c r="G4" s="415"/>
      <c r="H4" s="415"/>
    </row>
    <row r="5" spans="1:8" s="98" customFormat="1" ht="15.6">
      <c r="A5" s="207"/>
      <c r="B5" s="207"/>
      <c r="C5" s="366"/>
      <c r="D5" s="209"/>
      <c r="E5" s="210"/>
      <c r="F5" s="366"/>
      <c r="G5" s="206"/>
      <c r="H5" s="211"/>
    </row>
    <row r="6" spans="1:8" s="98" customFormat="1" ht="17.399999999999999">
      <c r="A6" s="441" t="s">
        <v>14</v>
      </c>
      <c r="B6" s="441"/>
      <c r="C6" s="441"/>
      <c r="D6" s="441"/>
      <c r="E6" s="441"/>
      <c r="F6" s="441"/>
      <c r="G6" s="441"/>
      <c r="H6" s="441"/>
    </row>
    <row r="7" spans="1:8" s="98" customFormat="1" ht="57.75" customHeight="1">
      <c r="A7" s="418" t="s">
        <v>1739</v>
      </c>
      <c r="B7" s="418"/>
      <c r="C7" s="418"/>
      <c r="D7" s="418"/>
      <c r="E7" s="418"/>
      <c r="F7" s="418"/>
      <c r="G7" s="418"/>
      <c r="H7" s="418"/>
    </row>
    <row r="8" spans="1:8" s="98" customFormat="1" ht="24.75" customHeight="1">
      <c r="A8" s="420" t="s">
        <v>2525</v>
      </c>
      <c r="B8" s="420"/>
      <c r="C8" s="420"/>
      <c r="D8" s="420"/>
      <c r="E8" s="420"/>
      <c r="F8" s="420"/>
      <c r="G8" s="420"/>
      <c r="H8" s="420"/>
    </row>
    <row r="9" spans="1:8" s="98" customFormat="1" ht="23.25" customHeight="1">
      <c r="A9" s="420" t="s">
        <v>1752</v>
      </c>
      <c r="B9" s="420"/>
      <c r="C9" s="420"/>
      <c r="D9" s="420"/>
      <c r="E9" s="420"/>
      <c r="F9" s="420"/>
      <c r="G9" s="420"/>
      <c r="H9" s="420"/>
    </row>
    <row r="10" spans="1:8" s="98" customFormat="1" ht="73.2" customHeight="1">
      <c r="A10" s="421" t="s">
        <v>1741</v>
      </c>
      <c r="B10" s="421"/>
      <c r="C10" s="421"/>
      <c r="D10" s="421"/>
      <c r="E10" s="421"/>
      <c r="F10" s="421"/>
      <c r="G10" s="421"/>
      <c r="H10" s="421"/>
    </row>
    <row r="11" spans="1:8" s="98" customFormat="1" ht="37.200000000000003" customHeight="1">
      <c r="A11" s="442" t="s">
        <v>1723</v>
      </c>
      <c r="B11" s="442"/>
      <c r="C11" s="442"/>
      <c r="D11" s="442"/>
      <c r="E11" s="442"/>
      <c r="F11" s="442"/>
      <c r="G11" s="442"/>
      <c r="H11" s="442"/>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2532</v>
      </c>
      <c r="C13" s="425"/>
      <c r="D13" s="425"/>
      <c r="E13" s="425"/>
      <c r="F13" s="425"/>
      <c r="G13" s="73">
        <f>G14+G15</f>
        <v>11210000</v>
      </c>
      <c r="H13" s="74"/>
    </row>
    <row r="14" spans="1:8" s="131" customFormat="1" ht="40.5" customHeight="1">
      <c r="A14" s="123"/>
      <c r="B14" s="124" t="s">
        <v>1757</v>
      </c>
      <c r="C14" s="125" t="s">
        <v>1753</v>
      </c>
      <c r="D14" s="126">
        <v>0.1</v>
      </c>
      <c r="E14" s="127">
        <v>11800000</v>
      </c>
      <c r="F14" s="128">
        <v>1</v>
      </c>
      <c r="G14" s="129">
        <f>D14*E14*F14</f>
        <v>1180000</v>
      </c>
      <c r="H14" s="130"/>
    </row>
    <row r="15" spans="1:8" s="131" customFormat="1" ht="183" customHeight="1">
      <c r="A15" s="123"/>
      <c r="B15" s="124" t="s">
        <v>2054</v>
      </c>
      <c r="C15" s="125" t="s">
        <v>1753</v>
      </c>
      <c r="D15" s="126">
        <v>1.7</v>
      </c>
      <c r="E15" s="127">
        <v>11800000</v>
      </c>
      <c r="F15" s="188">
        <v>0.5</v>
      </c>
      <c r="G15" s="129">
        <f>D15*E15*F15</f>
        <v>10030000</v>
      </c>
      <c r="H15" s="130"/>
    </row>
    <row r="16" spans="1:8" ht="27" customHeight="1">
      <c r="A16" s="75" t="s">
        <v>18</v>
      </c>
      <c r="B16" s="426" t="s">
        <v>1725</v>
      </c>
      <c r="C16" s="426"/>
      <c r="D16" s="426"/>
      <c r="E16" s="426"/>
      <c r="F16" s="426"/>
      <c r="G16" s="76">
        <f>SUM(G17:G20)</f>
        <v>1108235.4400000002</v>
      </c>
      <c r="H16" s="11"/>
    </row>
    <row r="17" spans="1:8" ht="15.6">
      <c r="A17" s="77">
        <v>1</v>
      </c>
      <c r="B17" s="78" t="s">
        <v>2526</v>
      </c>
      <c r="C17" s="14" t="s">
        <v>1754</v>
      </c>
      <c r="D17" s="132">
        <f>3*9.5*0.1</f>
        <v>2.85</v>
      </c>
      <c r="E17" s="15"/>
      <c r="F17" s="14"/>
      <c r="G17" s="79"/>
      <c r="H17" s="15"/>
    </row>
    <row r="18" spans="1:8" ht="46.8">
      <c r="A18" s="77"/>
      <c r="B18" s="78" t="s">
        <v>2530</v>
      </c>
      <c r="C18" s="14" t="s">
        <v>1754</v>
      </c>
      <c r="D18" s="132">
        <f>0.1*0.1</f>
        <v>1.0000000000000002E-2</v>
      </c>
      <c r="E18" s="15">
        <v>1629758</v>
      </c>
      <c r="F18" s="14">
        <v>1</v>
      </c>
      <c r="G18" s="79">
        <f t="shared" ref="G18:G20" si="0">D18*E18*F18</f>
        <v>16297.580000000004</v>
      </c>
      <c r="H18" s="15"/>
    </row>
    <row r="19" spans="1:8" ht="31.2">
      <c r="A19" s="77"/>
      <c r="B19" s="78" t="s">
        <v>2531</v>
      </c>
      <c r="C19" s="14" t="s">
        <v>1754</v>
      </c>
      <c r="D19" s="132">
        <f>1.7*0.1</f>
        <v>0.17</v>
      </c>
      <c r="E19" s="15">
        <v>1629758</v>
      </c>
      <c r="F19" s="187">
        <v>0.8</v>
      </c>
      <c r="G19" s="79">
        <f t="shared" ref="G19" si="1">D19*E19*F19</f>
        <v>221647.08800000005</v>
      </c>
      <c r="H19" s="15"/>
    </row>
    <row r="20" spans="1:8" ht="46.8">
      <c r="A20" s="77"/>
      <c r="B20" s="78" t="s">
        <v>2527</v>
      </c>
      <c r="C20" s="14" t="s">
        <v>1754</v>
      </c>
      <c r="D20" s="132">
        <f>D17-D18-D19</f>
        <v>2.6700000000000004</v>
      </c>
      <c r="E20" s="15">
        <v>1629758</v>
      </c>
      <c r="F20" s="187">
        <v>0.2</v>
      </c>
      <c r="G20" s="79">
        <f t="shared" si="0"/>
        <v>870290.77200000011</v>
      </c>
      <c r="H20" s="15"/>
    </row>
    <row r="21" spans="1:8" ht="24" customHeight="1">
      <c r="A21" s="75" t="s">
        <v>19</v>
      </c>
      <c r="B21" s="426" t="s">
        <v>1727</v>
      </c>
      <c r="C21" s="426"/>
      <c r="D21" s="426"/>
      <c r="E21" s="426"/>
      <c r="F21" s="426"/>
      <c r="G21" s="76">
        <f>SUM(G22:G22)</f>
        <v>0</v>
      </c>
      <c r="H21" s="11"/>
    </row>
    <row r="22" spans="1:8" ht="15.6">
      <c r="A22" s="77"/>
      <c r="B22" s="78" t="s">
        <v>1728</v>
      </c>
      <c r="C22" s="13"/>
      <c r="D22" s="13"/>
      <c r="E22" s="13"/>
      <c r="F22" s="13"/>
      <c r="G22" s="79"/>
      <c r="H22" s="15"/>
    </row>
    <row r="23" spans="1:8" ht="15.6">
      <c r="A23" s="80"/>
      <c r="B23" s="427" t="s">
        <v>62</v>
      </c>
      <c r="C23" s="428"/>
      <c r="D23" s="428"/>
      <c r="E23" s="428"/>
      <c r="F23" s="429"/>
      <c r="G23" s="81">
        <f>G13+G16+G21</f>
        <v>12318235.439999999</v>
      </c>
      <c r="H23" s="82"/>
    </row>
    <row r="24" spans="1:8" ht="15.6">
      <c r="A24" s="80"/>
      <c r="B24" s="427" t="s">
        <v>1726</v>
      </c>
      <c r="C24" s="428"/>
      <c r="D24" s="428"/>
      <c r="E24" s="428"/>
      <c r="F24" s="429"/>
      <c r="G24" s="81">
        <f>ROUND(G23,-3)</f>
        <v>12318000</v>
      </c>
      <c r="H24" s="82"/>
    </row>
    <row r="25" spans="1:8" ht="15.6">
      <c r="A25" s="430" t="str">
        <f>[18]!uni(G24)</f>
        <v xml:space="preserve">Mười hai triệu ba trăm mười tám nghìn đồng </v>
      </c>
      <c r="B25" s="431"/>
      <c r="C25" s="431"/>
      <c r="D25" s="431"/>
      <c r="E25" s="431"/>
      <c r="F25" s="431"/>
      <c r="G25" s="431"/>
      <c r="H25" s="432"/>
    </row>
    <row r="26" spans="1:8">
      <c r="A26" s="17"/>
      <c r="B26" s="17"/>
      <c r="C26" s="97"/>
      <c r="D26" s="20"/>
      <c r="E26" s="19"/>
      <c r="F26" s="97"/>
      <c r="G26" s="19"/>
      <c r="H26" s="17"/>
    </row>
    <row r="27" spans="1:8" s="109" customFormat="1" ht="16.5" customHeight="1">
      <c r="A27" s="108"/>
      <c r="B27" s="108"/>
      <c r="C27" s="424" t="s">
        <v>1742</v>
      </c>
      <c r="D27" s="424"/>
      <c r="E27" s="424"/>
      <c r="F27" s="424"/>
      <c r="G27" s="424"/>
      <c r="H27" s="424"/>
    </row>
    <row r="28" spans="1:8" s="109" customFormat="1" ht="16.5" customHeight="1">
      <c r="A28" s="423" t="s">
        <v>63</v>
      </c>
      <c r="B28" s="423"/>
      <c r="C28" s="424" t="s">
        <v>1743</v>
      </c>
      <c r="D28" s="424"/>
      <c r="E28" s="424"/>
      <c r="F28" s="424" t="s">
        <v>1744</v>
      </c>
      <c r="G28" s="424"/>
      <c r="H28" s="424"/>
    </row>
    <row r="29" spans="1:8" s="109" customFormat="1" ht="15.6">
      <c r="A29" s="108"/>
      <c r="B29" s="108"/>
      <c r="C29" s="108"/>
      <c r="D29" s="110"/>
      <c r="E29" s="111"/>
      <c r="F29" s="112"/>
      <c r="G29" s="111"/>
      <c r="H29" s="113"/>
    </row>
    <row r="30" spans="1:8" s="109" customFormat="1" ht="15.6">
      <c r="A30" s="108"/>
      <c r="B30" s="108"/>
      <c r="C30" s="108"/>
      <c r="D30" s="110"/>
      <c r="E30" s="111"/>
      <c r="F30" s="112"/>
      <c r="G30" s="114"/>
      <c r="H30" s="113"/>
    </row>
    <row r="31" spans="1:8" s="109" customFormat="1" ht="15.6">
      <c r="A31" s="108"/>
      <c r="B31" s="108"/>
      <c r="C31" s="108"/>
      <c r="D31" s="110"/>
      <c r="E31" s="111"/>
      <c r="F31" s="112"/>
      <c r="G31" s="111"/>
      <c r="H31" s="113"/>
    </row>
    <row r="32" spans="1:8" s="109" customFormat="1" ht="15.6">
      <c r="A32" s="108"/>
      <c r="B32" s="108"/>
      <c r="C32" s="108"/>
      <c r="D32" s="110"/>
      <c r="E32" s="111"/>
      <c r="F32" s="112"/>
      <c r="G32" s="111"/>
      <c r="H32" s="113"/>
    </row>
    <row r="33" spans="1:8" s="109" customFormat="1" ht="15.6">
      <c r="A33" s="108"/>
      <c r="B33" s="108"/>
      <c r="C33" s="108"/>
      <c r="D33" s="110"/>
      <c r="E33" s="111"/>
      <c r="F33" s="112"/>
      <c r="G33" s="111"/>
      <c r="H33" s="113"/>
    </row>
    <row r="34" spans="1:8" s="109" customFormat="1" ht="16.5" customHeight="1">
      <c r="A34" s="108"/>
      <c r="B34" s="365" t="s">
        <v>64</v>
      </c>
      <c r="C34" s="424"/>
      <c r="D34" s="424"/>
      <c r="E34" s="424"/>
      <c r="F34" s="424" t="s">
        <v>1745</v>
      </c>
      <c r="G34" s="424"/>
      <c r="H34" s="424"/>
    </row>
    <row r="35" spans="1:8" s="109" customFormat="1" ht="15.6">
      <c r="A35" s="108"/>
      <c r="B35" s="365"/>
      <c r="C35" s="364"/>
      <c r="D35" s="364"/>
      <c r="E35" s="364"/>
      <c r="F35" s="364"/>
      <c r="G35" s="364"/>
      <c r="H35" s="364"/>
    </row>
    <row r="36" spans="1:8" s="109" customFormat="1" ht="15" customHeight="1">
      <c r="A36" s="424" t="s">
        <v>1746</v>
      </c>
      <c r="B36" s="424"/>
      <c r="C36" s="424"/>
      <c r="D36" s="424"/>
      <c r="E36" s="424" t="s">
        <v>1747</v>
      </c>
      <c r="F36" s="424"/>
      <c r="G36" s="424"/>
      <c r="H36" s="424"/>
    </row>
    <row r="37" spans="1:8" s="109" customFormat="1" ht="33.6" customHeight="1">
      <c r="A37" s="424" t="s">
        <v>1748</v>
      </c>
      <c r="B37" s="424"/>
      <c r="C37" s="424"/>
      <c r="D37" s="424"/>
      <c r="E37" s="424" t="s">
        <v>65</v>
      </c>
      <c r="F37" s="424"/>
      <c r="G37" s="424"/>
      <c r="H37" s="424"/>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 r="A42" s="108"/>
      <c r="B42" s="108"/>
      <c r="C42" s="108"/>
      <c r="D42" s="110"/>
      <c r="E42" s="111"/>
      <c r="F42" s="112"/>
      <c r="G42" s="111"/>
      <c r="H42" s="113"/>
    </row>
    <row r="43" spans="1:8" s="109" customFormat="1" ht="15.6" customHeight="1">
      <c r="A43" s="108"/>
      <c r="B43" s="108"/>
      <c r="C43" s="108"/>
      <c r="D43" s="115"/>
      <c r="E43" s="439" t="s">
        <v>1749</v>
      </c>
      <c r="F43" s="439"/>
      <c r="G43" s="439"/>
      <c r="H43" s="439"/>
    </row>
    <row r="44" spans="1:8" s="109" customFormat="1" ht="16.5" customHeight="1">
      <c r="A44" s="424" t="s">
        <v>1751</v>
      </c>
      <c r="B44" s="424"/>
      <c r="C44" s="424"/>
      <c r="D44" s="424"/>
      <c r="E44" s="424" t="s">
        <v>1750</v>
      </c>
      <c r="F44" s="424"/>
      <c r="G44" s="424"/>
      <c r="H44" s="424"/>
    </row>
    <row r="45" spans="1:8" s="118" customFormat="1" ht="16.2" customHeight="1">
      <c r="A45" s="440"/>
      <c r="B45" s="440"/>
      <c r="C45" s="116"/>
      <c r="D45" s="117"/>
      <c r="E45" s="440"/>
      <c r="F45" s="440"/>
      <c r="G45" s="440"/>
      <c r="H45" s="440"/>
    </row>
    <row r="46" spans="1:8" s="118" customFormat="1" ht="15.75" customHeight="1">
      <c r="A46" s="440"/>
      <c r="B46" s="440"/>
      <c r="C46" s="440"/>
      <c r="D46" s="440"/>
      <c r="E46" s="440"/>
      <c r="F46" s="440"/>
      <c r="G46" s="440"/>
      <c r="H46" s="440"/>
    </row>
    <row r="47" spans="1:8" s="98" customFormat="1" ht="16.2" customHeight="1">
      <c r="A47" s="436"/>
      <c r="B47" s="436"/>
      <c r="C47" s="436"/>
      <c r="D47" s="436"/>
      <c r="E47" s="119"/>
      <c r="F47" s="120"/>
      <c r="G47" s="119"/>
      <c r="H47" s="121"/>
    </row>
    <row r="48" spans="1:8" s="98" customFormat="1" ht="16.2" customHeight="1">
      <c r="A48" s="436"/>
      <c r="B48" s="436"/>
      <c r="C48" s="436"/>
      <c r="D48" s="436"/>
      <c r="E48" s="119"/>
      <c r="F48" s="120"/>
      <c r="G48" s="119"/>
      <c r="H48" s="121"/>
    </row>
    <row r="49" spans="1:8" s="98" customFormat="1" ht="16.2" customHeight="1">
      <c r="A49" s="121"/>
      <c r="B49" s="121"/>
      <c r="C49" s="121"/>
      <c r="D49" s="122"/>
      <c r="E49" s="119"/>
      <c r="F49" s="120"/>
      <c r="G49" s="119"/>
      <c r="H49" s="121"/>
    </row>
    <row r="50" spans="1:8" ht="16.2" customHeight="1">
      <c r="A50" s="83"/>
      <c r="B50" s="83"/>
      <c r="C50" s="83"/>
      <c r="D50" s="84"/>
      <c r="E50" s="85"/>
      <c r="F50" s="86"/>
      <c r="G50" s="85"/>
      <c r="H50" s="83"/>
    </row>
    <row r="51" spans="1:8" ht="16.2" customHeight="1">
      <c r="A51" s="83"/>
      <c r="B51" s="83"/>
      <c r="C51" s="83"/>
      <c r="D51" s="84"/>
      <c r="E51" s="85"/>
      <c r="F51" s="86"/>
      <c r="G51" s="85"/>
      <c r="H51" s="83"/>
    </row>
    <row r="52" spans="1:8" ht="16.2" customHeight="1">
      <c r="A52" s="83"/>
      <c r="B52" s="83"/>
      <c r="C52" s="83"/>
      <c r="D52" s="84"/>
      <c r="E52" s="85"/>
      <c r="F52" s="86"/>
      <c r="G52" s="85"/>
      <c r="H52" s="83"/>
    </row>
    <row r="53" spans="1:8" ht="16.2" customHeight="1">
      <c r="A53" s="83"/>
      <c r="B53" s="83"/>
      <c r="C53" s="83"/>
      <c r="D53" s="84"/>
      <c r="E53" s="437"/>
      <c r="F53" s="437"/>
      <c r="G53" s="437"/>
      <c r="H53" s="437"/>
    </row>
    <row r="54" spans="1:8" ht="20.25" customHeight="1">
      <c r="A54" s="438"/>
      <c r="B54" s="438"/>
      <c r="C54" s="438"/>
      <c r="D54" s="438"/>
      <c r="E54" s="438"/>
      <c r="F54" s="438"/>
      <c r="G54" s="438"/>
      <c r="H54" s="438"/>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D70" s="18"/>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s="17" customFormat="1" ht="16.2" customHeight="1">
      <c r="C82" s="97"/>
      <c r="D82" s="20"/>
      <c r="E82" s="19"/>
      <c r="F82" s="97"/>
      <c r="G82" s="19"/>
    </row>
    <row r="83" spans="3:7" ht="16.2" customHeight="1"/>
    <row r="84" spans="3:7" ht="16.2" customHeight="1"/>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ht="16.2" customHeight="1"/>
    <row r="229"/>
    <row r="230"/>
    <row r="231"/>
    <row r="232"/>
    <row r="233"/>
    <row r="234"/>
    <row r="235"/>
    <row r="236"/>
    <row r="237"/>
    <row r="238"/>
    <row r="239"/>
    <row r="240"/>
    <row r="241"/>
    <row r="242"/>
    <row r="243"/>
    <row r="244"/>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sheetData>
  <mergeCells count="40">
    <mergeCell ref="E53:H53"/>
    <mergeCell ref="A54:H54"/>
    <mergeCell ref="A45:B45"/>
    <mergeCell ref="E45:H45"/>
    <mergeCell ref="A46:D46"/>
    <mergeCell ref="E46:H46"/>
    <mergeCell ref="A47:D47"/>
    <mergeCell ref="A48:D48"/>
    <mergeCell ref="A44:D44"/>
    <mergeCell ref="E44:H44"/>
    <mergeCell ref="C27:H27"/>
    <mergeCell ref="A28:B28"/>
    <mergeCell ref="C28:E28"/>
    <mergeCell ref="F28:H28"/>
    <mergeCell ref="C34:E34"/>
    <mergeCell ref="F34:H34"/>
    <mergeCell ref="A36:D36"/>
    <mergeCell ref="E36:H36"/>
    <mergeCell ref="A37:D37"/>
    <mergeCell ref="E37:H37"/>
    <mergeCell ref="E43:H43"/>
    <mergeCell ref="A25:H25"/>
    <mergeCell ref="A6:H6"/>
    <mergeCell ref="A7:H7"/>
    <mergeCell ref="A8:H8"/>
    <mergeCell ref="A9:H9"/>
    <mergeCell ref="A10:H10"/>
    <mergeCell ref="A11:H11"/>
    <mergeCell ref="B13:F13"/>
    <mergeCell ref="B16:F16"/>
    <mergeCell ref="B21:F21"/>
    <mergeCell ref="B23:F23"/>
    <mergeCell ref="B24:F24"/>
    <mergeCell ref="A4:B4"/>
    <mergeCell ref="C4:H4"/>
    <mergeCell ref="A1:B1"/>
    <mergeCell ref="C1:H1"/>
    <mergeCell ref="A2:B2"/>
    <mergeCell ref="C2:H2"/>
    <mergeCell ref="A3:B3"/>
  </mergeCells>
  <dataValidations disablePrompts="1" count="1">
    <dataValidation type="list" allowBlank="1" showInputMessage="1" showErrorMessage="1" sqref="WVJ983046:WVJ983063 B983046:B983063 IX983046:IX983063 ST983046:ST983063 ACP983046:ACP983063 AML983046:AML983063 AWH983046:AWH983063 BGD983046:BGD983063 BPZ983046:BPZ983063 BZV983046:BZV983063 CJR983046:CJR983063 CTN983046:CTN983063 DDJ983046:DDJ983063 DNF983046:DNF983063 DXB983046:DXB983063 EGX983046:EGX983063 EQT983046:EQT983063 FAP983046:FAP983063 FKL983046:FKL983063 FUH983046:FUH983063 GED983046:GED983063 GNZ983046:GNZ983063 GXV983046:GXV983063 HHR983046:HHR983063 HRN983046:HRN983063 IBJ983046:IBJ983063 ILF983046:ILF983063 IVB983046:IVB983063 JEX983046:JEX983063 JOT983046:JOT983063 JYP983046:JYP983063 KIL983046:KIL983063 KSH983046:KSH983063 LCD983046:LCD983063 LLZ983046:LLZ983063 LVV983046:LVV983063 MFR983046:MFR983063 MPN983046:MPN983063 MZJ983046:MZJ983063 NJF983046:NJF983063 NTB983046:NTB983063 OCX983046:OCX983063 OMT983046:OMT983063 OWP983046:OWP983063 PGL983046:PGL983063 PQH983046:PQH983063 QAD983046:QAD983063 QJZ983046:QJZ983063 QTV983046:QTV983063 RDR983046:RDR983063 RNN983046:RNN983063 RXJ983046:RXJ983063 SHF983046:SHF983063 SRB983046:SRB983063 TAX983046:TAX983063 TKT983046:TKT983063 TUP983046:TUP983063 UEL983046:UEL983063 UOH983046:UOH983063 UYD983046:UYD983063 VHZ983046:VHZ983063 VRV983046:VRV983063 WBR983046:WBR983063 WLN983046:WLN983063 B65542:B65559 IX65542:IX65559 ST65542:ST65559 ACP65542:ACP65559 AML65542:AML65559 AWH65542:AWH65559 BGD65542:BGD65559 BPZ65542:BPZ65559 BZV65542:BZV65559 CJR65542:CJR65559 CTN65542:CTN65559 DDJ65542:DDJ65559 DNF65542:DNF65559 DXB65542:DXB65559 EGX65542:EGX65559 EQT65542:EQT65559 FAP65542:FAP65559 FKL65542:FKL65559 FUH65542:FUH65559 GED65542:GED65559 GNZ65542:GNZ65559 GXV65542:GXV65559 HHR65542:HHR65559 HRN65542:HRN65559 IBJ65542:IBJ65559 ILF65542:ILF65559 IVB65542:IVB65559 JEX65542:JEX65559 JOT65542:JOT65559 JYP65542:JYP65559 KIL65542:KIL65559 KSH65542:KSH65559 LCD65542:LCD65559 LLZ65542:LLZ65559 LVV65542:LVV65559 MFR65542:MFR65559 MPN65542:MPN65559 MZJ65542:MZJ65559 NJF65542:NJF65559 NTB65542:NTB65559 OCX65542:OCX65559 OMT65542:OMT65559 OWP65542:OWP65559 PGL65542:PGL65559 PQH65542:PQH65559 QAD65542:QAD65559 QJZ65542:QJZ65559 QTV65542:QTV65559 RDR65542:RDR65559 RNN65542:RNN65559 RXJ65542:RXJ65559 SHF65542:SHF65559 SRB65542:SRB65559 TAX65542:TAX65559 TKT65542:TKT65559 TUP65542:TUP65559 UEL65542:UEL65559 UOH65542:UOH65559 UYD65542:UYD65559 VHZ65542:VHZ65559 VRV65542:VRV65559 WBR65542:WBR65559 WLN65542:WLN65559 WVJ65542:WVJ65559 B131078:B131095 IX131078:IX131095 ST131078:ST131095 ACP131078:ACP131095 AML131078:AML131095 AWH131078:AWH131095 BGD131078:BGD131095 BPZ131078:BPZ131095 BZV131078:BZV131095 CJR131078:CJR131095 CTN131078:CTN131095 DDJ131078:DDJ131095 DNF131078:DNF131095 DXB131078:DXB131095 EGX131078:EGX131095 EQT131078:EQT131095 FAP131078:FAP131095 FKL131078:FKL131095 FUH131078:FUH131095 GED131078:GED131095 GNZ131078:GNZ131095 GXV131078:GXV131095 HHR131078:HHR131095 HRN131078:HRN131095 IBJ131078:IBJ131095 ILF131078:ILF131095 IVB131078:IVB131095 JEX131078:JEX131095 JOT131078:JOT131095 JYP131078:JYP131095 KIL131078:KIL131095 KSH131078:KSH131095 LCD131078:LCD131095 LLZ131078:LLZ131095 LVV131078:LVV131095 MFR131078:MFR131095 MPN131078:MPN131095 MZJ131078:MZJ131095 NJF131078:NJF131095 NTB131078:NTB131095 OCX131078:OCX131095 OMT131078:OMT131095 OWP131078:OWP131095 PGL131078:PGL131095 PQH131078:PQH131095 QAD131078:QAD131095 QJZ131078:QJZ131095 QTV131078:QTV131095 RDR131078:RDR131095 RNN131078:RNN131095 RXJ131078:RXJ131095 SHF131078:SHF131095 SRB131078:SRB131095 TAX131078:TAX131095 TKT131078:TKT131095 TUP131078:TUP131095 UEL131078:UEL131095 UOH131078:UOH131095 UYD131078:UYD131095 VHZ131078:VHZ131095 VRV131078:VRV131095 WBR131078:WBR131095 WLN131078:WLN131095 WVJ131078:WVJ131095 B196614:B196631 IX196614:IX196631 ST196614:ST196631 ACP196614:ACP196631 AML196614:AML196631 AWH196614:AWH196631 BGD196614:BGD196631 BPZ196614:BPZ196631 BZV196614:BZV196631 CJR196614:CJR196631 CTN196614:CTN196631 DDJ196614:DDJ196631 DNF196614:DNF196631 DXB196614:DXB196631 EGX196614:EGX196631 EQT196614:EQT196631 FAP196614:FAP196631 FKL196614:FKL196631 FUH196614:FUH196631 GED196614:GED196631 GNZ196614:GNZ196631 GXV196614:GXV196631 HHR196614:HHR196631 HRN196614:HRN196631 IBJ196614:IBJ196631 ILF196614:ILF196631 IVB196614:IVB196631 JEX196614:JEX196631 JOT196614:JOT196631 JYP196614:JYP196631 KIL196614:KIL196631 KSH196614:KSH196631 LCD196614:LCD196631 LLZ196614:LLZ196631 LVV196614:LVV196631 MFR196614:MFR196631 MPN196614:MPN196631 MZJ196614:MZJ196631 NJF196614:NJF196631 NTB196614:NTB196631 OCX196614:OCX196631 OMT196614:OMT196631 OWP196614:OWP196631 PGL196614:PGL196631 PQH196614:PQH196631 QAD196614:QAD196631 QJZ196614:QJZ196631 QTV196614:QTV196631 RDR196614:RDR196631 RNN196614:RNN196631 RXJ196614:RXJ196631 SHF196614:SHF196631 SRB196614:SRB196631 TAX196614:TAX196631 TKT196614:TKT196631 TUP196614:TUP196631 UEL196614:UEL196631 UOH196614:UOH196631 UYD196614:UYD196631 VHZ196614:VHZ196631 VRV196614:VRV196631 WBR196614:WBR196631 WLN196614:WLN196631 WVJ196614:WVJ196631 B262150:B262167 IX262150:IX262167 ST262150:ST262167 ACP262150:ACP262167 AML262150:AML262167 AWH262150:AWH262167 BGD262150:BGD262167 BPZ262150:BPZ262167 BZV262150:BZV262167 CJR262150:CJR262167 CTN262150:CTN262167 DDJ262150:DDJ262167 DNF262150:DNF262167 DXB262150:DXB262167 EGX262150:EGX262167 EQT262150:EQT262167 FAP262150:FAP262167 FKL262150:FKL262167 FUH262150:FUH262167 GED262150:GED262167 GNZ262150:GNZ262167 GXV262150:GXV262167 HHR262150:HHR262167 HRN262150:HRN262167 IBJ262150:IBJ262167 ILF262150:ILF262167 IVB262150:IVB262167 JEX262150:JEX262167 JOT262150:JOT262167 JYP262150:JYP262167 KIL262150:KIL262167 KSH262150:KSH262167 LCD262150:LCD262167 LLZ262150:LLZ262167 LVV262150:LVV262167 MFR262150:MFR262167 MPN262150:MPN262167 MZJ262150:MZJ262167 NJF262150:NJF262167 NTB262150:NTB262167 OCX262150:OCX262167 OMT262150:OMT262167 OWP262150:OWP262167 PGL262150:PGL262167 PQH262150:PQH262167 QAD262150:QAD262167 QJZ262150:QJZ262167 QTV262150:QTV262167 RDR262150:RDR262167 RNN262150:RNN262167 RXJ262150:RXJ262167 SHF262150:SHF262167 SRB262150:SRB262167 TAX262150:TAX262167 TKT262150:TKT262167 TUP262150:TUP262167 UEL262150:UEL262167 UOH262150:UOH262167 UYD262150:UYD262167 VHZ262150:VHZ262167 VRV262150:VRV262167 WBR262150:WBR262167 WLN262150:WLN262167 WVJ262150:WVJ262167 B327686:B327703 IX327686:IX327703 ST327686:ST327703 ACP327686:ACP327703 AML327686:AML327703 AWH327686:AWH327703 BGD327686:BGD327703 BPZ327686:BPZ327703 BZV327686:BZV327703 CJR327686:CJR327703 CTN327686:CTN327703 DDJ327686:DDJ327703 DNF327686:DNF327703 DXB327686:DXB327703 EGX327686:EGX327703 EQT327686:EQT327703 FAP327686:FAP327703 FKL327686:FKL327703 FUH327686:FUH327703 GED327686:GED327703 GNZ327686:GNZ327703 GXV327686:GXV327703 HHR327686:HHR327703 HRN327686:HRN327703 IBJ327686:IBJ327703 ILF327686:ILF327703 IVB327686:IVB327703 JEX327686:JEX327703 JOT327686:JOT327703 JYP327686:JYP327703 KIL327686:KIL327703 KSH327686:KSH327703 LCD327686:LCD327703 LLZ327686:LLZ327703 LVV327686:LVV327703 MFR327686:MFR327703 MPN327686:MPN327703 MZJ327686:MZJ327703 NJF327686:NJF327703 NTB327686:NTB327703 OCX327686:OCX327703 OMT327686:OMT327703 OWP327686:OWP327703 PGL327686:PGL327703 PQH327686:PQH327703 QAD327686:QAD327703 QJZ327686:QJZ327703 QTV327686:QTV327703 RDR327686:RDR327703 RNN327686:RNN327703 RXJ327686:RXJ327703 SHF327686:SHF327703 SRB327686:SRB327703 TAX327686:TAX327703 TKT327686:TKT327703 TUP327686:TUP327703 UEL327686:UEL327703 UOH327686:UOH327703 UYD327686:UYD327703 VHZ327686:VHZ327703 VRV327686:VRV327703 WBR327686:WBR327703 WLN327686:WLN327703 WVJ327686:WVJ327703 B393222:B393239 IX393222:IX393239 ST393222:ST393239 ACP393222:ACP393239 AML393222:AML393239 AWH393222:AWH393239 BGD393222:BGD393239 BPZ393222:BPZ393239 BZV393222:BZV393239 CJR393222:CJR393239 CTN393222:CTN393239 DDJ393222:DDJ393239 DNF393222:DNF393239 DXB393222:DXB393239 EGX393222:EGX393239 EQT393222:EQT393239 FAP393222:FAP393239 FKL393222:FKL393239 FUH393222:FUH393239 GED393222:GED393239 GNZ393222:GNZ393239 GXV393222:GXV393239 HHR393222:HHR393239 HRN393222:HRN393239 IBJ393222:IBJ393239 ILF393222:ILF393239 IVB393222:IVB393239 JEX393222:JEX393239 JOT393222:JOT393239 JYP393222:JYP393239 KIL393222:KIL393239 KSH393222:KSH393239 LCD393222:LCD393239 LLZ393222:LLZ393239 LVV393222:LVV393239 MFR393222:MFR393239 MPN393222:MPN393239 MZJ393222:MZJ393239 NJF393222:NJF393239 NTB393222:NTB393239 OCX393222:OCX393239 OMT393222:OMT393239 OWP393222:OWP393239 PGL393222:PGL393239 PQH393222:PQH393239 QAD393222:QAD393239 QJZ393222:QJZ393239 QTV393222:QTV393239 RDR393222:RDR393239 RNN393222:RNN393239 RXJ393222:RXJ393239 SHF393222:SHF393239 SRB393222:SRB393239 TAX393222:TAX393239 TKT393222:TKT393239 TUP393222:TUP393239 UEL393222:UEL393239 UOH393222:UOH393239 UYD393222:UYD393239 VHZ393222:VHZ393239 VRV393222:VRV393239 WBR393222:WBR393239 WLN393222:WLN393239 WVJ393222:WVJ393239 B458758:B458775 IX458758:IX458775 ST458758:ST458775 ACP458758:ACP458775 AML458758:AML458775 AWH458758:AWH458775 BGD458758:BGD458775 BPZ458758:BPZ458775 BZV458758:BZV458775 CJR458758:CJR458775 CTN458758:CTN458775 DDJ458758:DDJ458775 DNF458758:DNF458775 DXB458758:DXB458775 EGX458758:EGX458775 EQT458758:EQT458775 FAP458758:FAP458775 FKL458758:FKL458775 FUH458758:FUH458775 GED458758:GED458775 GNZ458758:GNZ458775 GXV458758:GXV458775 HHR458758:HHR458775 HRN458758:HRN458775 IBJ458758:IBJ458775 ILF458758:ILF458775 IVB458758:IVB458775 JEX458758:JEX458775 JOT458758:JOT458775 JYP458758:JYP458775 KIL458758:KIL458775 KSH458758:KSH458775 LCD458758:LCD458775 LLZ458758:LLZ458775 LVV458758:LVV458775 MFR458758:MFR458775 MPN458758:MPN458775 MZJ458758:MZJ458775 NJF458758:NJF458775 NTB458758:NTB458775 OCX458758:OCX458775 OMT458758:OMT458775 OWP458758:OWP458775 PGL458758:PGL458775 PQH458758:PQH458775 QAD458758:QAD458775 QJZ458758:QJZ458775 QTV458758:QTV458775 RDR458758:RDR458775 RNN458758:RNN458775 RXJ458758:RXJ458775 SHF458758:SHF458775 SRB458758:SRB458775 TAX458758:TAX458775 TKT458758:TKT458775 TUP458758:TUP458775 UEL458758:UEL458775 UOH458758:UOH458775 UYD458758:UYD458775 VHZ458758:VHZ458775 VRV458758:VRV458775 WBR458758:WBR458775 WLN458758:WLN458775 WVJ458758:WVJ458775 B524294:B524311 IX524294:IX524311 ST524294:ST524311 ACP524294:ACP524311 AML524294:AML524311 AWH524294:AWH524311 BGD524294:BGD524311 BPZ524294:BPZ524311 BZV524294:BZV524311 CJR524294:CJR524311 CTN524294:CTN524311 DDJ524294:DDJ524311 DNF524294:DNF524311 DXB524294:DXB524311 EGX524294:EGX524311 EQT524294:EQT524311 FAP524294:FAP524311 FKL524294:FKL524311 FUH524294:FUH524311 GED524294:GED524311 GNZ524294:GNZ524311 GXV524294:GXV524311 HHR524294:HHR524311 HRN524294:HRN524311 IBJ524294:IBJ524311 ILF524294:ILF524311 IVB524294:IVB524311 JEX524294:JEX524311 JOT524294:JOT524311 JYP524294:JYP524311 KIL524294:KIL524311 KSH524294:KSH524311 LCD524294:LCD524311 LLZ524294:LLZ524311 LVV524294:LVV524311 MFR524294:MFR524311 MPN524294:MPN524311 MZJ524294:MZJ524311 NJF524294:NJF524311 NTB524294:NTB524311 OCX524294:OCX524311 OMT524294:OMT524311 OWP524294:OWP524311 PGL524294:PGL524311 PQH524294:PQH524311 QAD524294:QAD524311 QJZ524294:QJZ524311 QTV524294:QTV524311 RDR524294:RDR524311 RNN524294:RNN524311 RXJ524294:RXJ524311 SHF524294:SHF524311 SRB524294:SRB524311 TAX524294:TAX524311 TKT524294:TKT524311 TUP524294:TUP524311 UEL524294:UEL524311 UOH524294:UOH524311 UYD524294:UYD524311 VHZ524294:VHZ524311 VRV524294:VRV524311 WBR524294:WBR524311 WLN524294:WLN524311 WVJ524294:WVJ524311 B589830:B589847 IX589830:IX589847 ST589830:ST589847 ACP589830:ACP589847 AML589830:AML589847 AWH589830:AWH589847 BGD589830:BGD589847 BPZ589830:BPZ589847 BZV589830:BZV589847 CJR589830:CJR589847 CTN589830:CTN589847 DDJ589830:DDJ589847 DNF589830:DNF589847 DXB589830:DXB589847 EGX589830:EGX589847 EQT589830:EQT589847 FAP589830:FAP589847 FKL589830:FKL589847 FUH589830:FUH589847 GED589830:GED589847 GNZ589830:GNZ589847 GXV589830:GXV589847 HHR589830:HHR589847 HRN589830:HRN589847 IBJ589830:IBJ589847 ILF589830:ILF589847 IVB589830:IVB589847 JEX589830:JEX589847 JOT589830:JOT589847 JYP589830:JYP589847 KIL589830:KIL589847 KSH589830:KSH589847 LCD589830:LCD589847 LLZ589830:LLZ589847 LVV589830:LVV589847 MFR589830:MFR589847 MPN589830:MPN589847 MZJ589830:MZJ589847 NJF589830:NJF589847 NTB589830:NTB589847 OCX589830:OCX589847 OMT589830:OMT589847 OWP589830:OWP589847 PGL589830:PGL589847 PQH589830:PQH589847 QAD589830:QAD589847 QJZ589830:QJZ589847 QTV589830:QTV589847 RDR589830:RDR589847 RNN589830:RNN589847 RXJ589830:RXJ589847 SHF589830:SHF589847 SRB589830:SRB589847 TAX589830:TAX589847 TKT589830:TKT589847 TUP589830:TUP589847 UEL589830:UEL589847 UOH589830:UOH589847 UYD589830:UYD589847 VHZ589830:VHZ589847 VRV589830:VRV589847 WBR589830:WBR589847 WLN589830:WLN589847 WVJ589830:WVJ589847 B655366:B655383 IX655366:IX655383 ST655366:ST655383 ACP655366:ACP655383 AML655366:AML655383 AWH655366:AWH655383 BGD655366:BGD655383 BPZ655366:BPZ655383 BZV655366:BZV655383 CJR655366:CJR655383 CTN655366:CTN655383 DDJ655366:DDJ655383 DNF655366:DNF655383 DXB655366:DXB655383 EGX655366:EGX655383 EQT655366:EQT655383 FAP655366:FAP655383 FKL655366:FKL655383 FUH655366:FUH655383 GED655366:GED655383 GNZ655366:GNZ655383 GXV655366:GXV655383 HHR655366:HHR655383 HRN655366:HRN655383 IBJ655366:IBJ655383 ILF655366:ILF655383 IVB655366:IVB655383 JEX655366:JEX655383 JOT655366:JOT655383 JYP655366:JYP655383 KIL655366:KIL655383 KSH655366:KSH655383 LCD655366:LCD655383 LLZ655366:LLZ655383 LVV655366:LVV655383 MFR655366:MFR655383 MPN655366:MPN655383 MZJ655366:MZJ655383 NJF655366:NJF655383 NTB655366:NTB655383 OCX655366:OCX655383 OMT655366:OMT655383 OWP655366:OWP655383 PGL655366:PGL655383 PQH655366:PQH655383 QAD655366:QAD655383 QJZ655366:QJZ655383 QTV655366:QTV655383 RDR655366:RDR655383 RNN655366:RNN655383 RXJ655366:RXJ655383 SHF655366:SHF655383 SRB655366:SRB655383 TAX655366:TAX655383 TKT655366:TKT655383 TUP655366:TUP655383 UEL655366:UEL655383 UOH655366:UOH655383 UYD655366:UYD655383 VHZ655366:VHZ655383 VRV655366:VRV655383 WBR655366:WBR655383 WLN655366:WLN655383 WVJ655366:WVJ655383 B720902:B720919 IX720902:IX720919 ST720902:ST720919 ACP720902:ACP720919 AML720902:AML720919 AWH720902:AWH720919 BGD720902:BGD720919 BPZ720902:BPZ720919 BZV720902:BZV720919 CJR720902:CJR720919 CTN720902:CTN720919 DDJ720902:DDJ720919 DNF720902:DNF720919 DXB720902:DXB720919 EGX720902:EGX720919 EQT720902:EQT720919 FAP720902:FAP720919 FKL720902:FKL720919 FUH720902:FUH720919 GED720902:GED720919 GNZ720902:GNZ720919 GXV720902:GXV720919 HHR720902:HHR720919 HRN720902:HRN720919 IBJ720902:IBJ720919 ILF720902:ILF720919 IVB720902:IVB720919 JEX720902:JEX720919 JOT720902:JOT720919 JYP720902:JYP720919 KIL720902:KIL720919 KSH720902:KSH720919 LCD720902:LCD720919 LLZ720902:LLZ720919 LVV720902:LVV720919 MFR720902:MFR720919 MPN720902:MPN720919 MZJ720902:MZJ720919 NJF720902:NJF720919 NTB720902:NTB720919 OCX720902:OCX720919 OMT720902:OMT720919 OWP720902:OWP720919 PGL720902:PGL720919 PQH720902:PQH720919 QAD720902:QAD720919 QJZ720902:QJZ720919 QTV720902:QTV720919 RDR720902:RDR720919 RNN720902:RNN720919 RXJ720902:RXJ720919 SHF720902:SHF720919 SRB720902:SRB720919 TAX720902:TAX720919 TKT720902:TKT720919 TUP720902:TUP720919 UEL720902:UEL720919 UOH720902:UOH720919 UYD720902:UYD720919 VHZ720902:VHZ720919 VRV720902:VRV720919 WBR720902:WBR720919 WLN720902:WLN720919 WVJ720902:WVJ720919 B786438:B786455 IX786438:IX786455 ST786438:ST786455 ACP786438:ACP786455 AML786438:AML786455 AWH786438:AWH786455 BGD786438:BGD786455 BPZ786438:BPZ786455 BZV786438:BZV786455 CJR786438:CJR786455 CTN786438:CTN786455 DDJ786438:DDJ786455 DNF786438:DNF786455 DXB786438:DXB786455 EGX786438:EGX786455 EQT786438:EQT786455 FAP786438:FAP786455 FKL786438:FKL786455 FUH786438:FUH786455 GED786438:GED786455 GNZ786438:GNZ786455 GXV786438:GXV786455 HHR786438:HHR786455 HRN786438:HRN786455 IBJ786438:IBJ786455 ILF786438:ILF786455 IVB786438:IVB786455 JEX786438:JEX786455 JOT786438:JOT786455 JYP786438:JYP786455 KIL786438:KIL786455 KSH786438:KSH786455 LCD786438:LCD786455 LLZ786438:LLZ786455 LVV786438:LVV786455 MFR786438:MFR786455 MPN786438:MPN786455 MZJ786438:MZJ786455 NJF786438:NJF786455 NTB786438:NTB786455 OCX786438:OCX786455 OMT786438:OMT786455 OWP786438:OWP786455 PGL786438:PGL786455 PQH786438:PQH786455 QAD786438:QAD786455 QJZ786438:QJZ786455 QTV786438:QTV786455 RDR786438:RDR786455 RNN786438:RNN786455 RXJ786438:RXJ786455 SHF786438:SHF786455 SRB786438:SRB786455 TAX786438:TAX786455 TKT786438:TKT786455 TUP786438:TUP786455 UEL786438:UEL786455 UOH786438:UOH786455 UYD786438:UYD786455 VHZ786438:VHZ786455 VRV786438:VRV786455 WBR786438:WBR786455 WLN786438:WLN786455 WVJ786438:WVJ786455 B851974:B851991 IX851974:IX851991 ST851974:ST851991 ACP851974:ACP851991 AML851974:AML851991 AWH851974:AWH851991 BGD851974:BGD851991 BPZ851974:BPZ851991 BZV851974:BZV851991 CJR851974:CJR851991 CTN851974:CTN851991 DDJ851974:DDJ851991 DNF851974:DNF851991 DXB851974:DXB851991 EGX851974:EGX851991 EQT851974:EQT851991 FAP851974:FAP851991 FKL851974:FKL851991 FUH851974:FUH851991 GED851974:GED851991 GNZ851974:GNZ851991 GXV851974:GXV851991 HHR851974:HHR851991 HRN851974:HRN851991 IBJ851974:IBJ851991 ILF851974:ILF851991 IVB851974:IVB851991 JEX851974:JEX851991 JOT851974:JOT851991 JYP851974:JYP851991 KIL851974:KIL851991 KSH851974:KSH851991 LCD851974:LCD851991 LLZ851974:LLZ851991 LVV851974:LVV851991 MFR851974:MFR851991 MPN851974:MPN851991 MZJ851974:MZJ851991 NJF851974:NJF851991 NTB851974:NTB851991 OCX851974:OCX851991 OMT851974:OMT851991 OWP851974:OWP851991 PGL851974:PGL851991 PQH851974:PQH851991 QAD851974:QAD851991 QJZ851974:QJZ851991 QTV851974:QTV851991 RDR851974:RDR851991 RNN851974:RNN851991 RXJ851974:RXJ851991 SHF851974:SHF851991 SRB851974:SRB851991 TAX851974:TAX851991 TKT851974:TKT851991 TUP851974:TUP851991 UEL851974:UEL851991 UOH851974:UOH851991 UYD851974:UYD851991 VHZ851974:VHZ851991 VRV851974:VRV851991 WBR851974:WBR851991 WLN851974:WLN851991 WVJ851974:WVJ851991 B917510:B917527 IX917510:IX917527 ST917510:ST917527 ACP917510:ACP917527 AML917510:AML917527 AWH917510:AWH917527 BGD917510:BGD917527 BPZ917510:BPZ917527 BZV917510:BZV917527 CJR917510:CJR917527 CTN917510:CTN917527 DDJ917510:DDJ917527 DNF917510:DNF917527 DXB917510:DXB917527 EGX917510:EGX917527 EQT917510:EQT917527 FAP917510:FAP917527 FKL917510:FKL917527 FUH917510:FUH917527 GED917510:GED917527 GNZ917510:GNZ917527 GXV917510:GXV917527 HHR917510:HHR917527 HRN917510:HRN917527 IBJ917510:IBJ917527 ILF917510:ILF917527 IVB917510:IVB917527 JEX917510:JEX917527 JOT917510:JOT917527 JYP917510:JYP917527 KIL917510:KIL917527 KSH917510:KSH917527 LCD917510:LCD917527 LLZ917510:LLZ917527 LVV917510:LVV917527 MFR917510:MFR917527 MPN917510:MPN917527 MZJ917510:MZJ917527 NJF917510:NJF917527 NTB917510:NTB917527 OCX917510:OCX917527 OMT917510:OMT917527 OWP917510:OWP917527 PGL917510:PGL917527 PQH917510:PQH917527 QAD917510:QAD917527 QJZ917510:QJZ917527 QTV917510:QTV917527 RDR917510:RDR917527 RNN917510:RNN917527 RXJ917510:RXJ917527 SHF917510:SHF917527 SRB917510:SRB917527 TAX917510:TAX917527 TKT917510:TKT917527 TUP917510:TUP917527 UEL917510:UEL917527 UOH917510:UOH917527 UYD917510:UYD917527 VHZ917510:VHZ917527 VRV917510:VRV917527 WBR917510:WBR917527 WLN917510:WLN917527 WVJ917510:WVJ917527" xr:uid="{00000000-0002-0000-4E00-000000000000}">
      <formula1>trung</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319"/>
  <sheetViews>
    <sheetView topLeftCell="A8" workbookViewId="0">
      <selection activeCell="A35" sqref="A35:D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8" s="98" customFormat="1" ht="16.8">
      <c r="A1" s="408" t="s">
        <v>1737</v>
      </c>
      <c r="B1" s="409"/>
      <c r="C1" s="410" t="s">
        <v>56</v>
      </c>
      <c r="D1" s="410"/>
      <c r="E1" s="410"/>
      <c r="F1" s="410"/>
      <c r="G1" s="410"/>
      <c r="H1" s="410"/>
    </row>
    <row r="2" spans="1:8" s="98" customFormat="1" ht="16.95" customHeight="1">
      <c r="A2" s="411" t="s">
        <v>67</v>
      </c>
      <c r="B2" s="412"/>
      <c r="C2" s="410" t="s">
        <v>13</v>
      </c>
      <c r="D2" s="410"/>
      <c r="E2" s="410"/>
      <c r="F2" s="410"/>
      <c r="G2" s="410"/>
      <c r="H2" s="410"/>
    </row>
    <row r="3" spans="1:8" s="98" customFormat="1" ht="17.399999999999999">
      <c r="A3" s="413" t="s">
        <v>1738</v>
      </c>
      <c r="B3" s="413"/>
      <c r="C3" s="99"/>
      <c r="D3" s="100"/>
      <c r="E3" s="101"/>
      <c r="F3" s="140"/>
      <c r="G3" s="102"/>
      <c r="H3" s="103"/>
    </row>
    <row r="4" spans="1:8" s="98" customFormat="1" ht="18" customHeight="1">
      <c r="A4" s="414"/>
      <c r="B4" s="414"/>
      <c r="C4" s="415" t="s">
        <v>1740</v>
      </c>
      <c r="D4" s="416"/>
      <c r="E4" s="416"/>
      <c r="F4" s="416"/>
      <c r="G4" s="416"/>
      <c r="H4" s="416"/>
    </row>
    <row r="5" spans="1:8" s="98" customFormat="1" ht="15.6">
      <c r="A5" s="104"/>
      <c r="B5" s="104"/>
      <c r="C5" s="139"/>
      <c r="D5" s="105"/>
      <c r="E5" s="106"/>
      <c r="F5" s="139"/>
      <c r="G5" s="102"/>
      <c r="H5" s="107"/>
    </row>
    <row r="6" spans="1:8" s="98" customFormat="1" ht="17.399999999999999">
      <c r="A6" s="417" t="s">
        <v>14</v>
      </c>
      <c r="B6" s="417"/>
      <c r="C6" s="417"/>
      <c r="D6" s="417"/>
      <c r="E6" s="417"/>
      <c r="F6" s="417"/>
      <c r="G6" s="417"/>
      <c r="H6" s="417"/>
    </row>
    <row r="7" spans="1:8" s="98" customFormat="1" ht="57.75" customHeight="1">
      <c r="A7" s="418" t="s">
        <v>1739</v>
      </c>
      <c r="B7" s="413"/>
      <c r="C7" s="413"/>
      <c r="D7" s="413"/>
      <c r="E7" s="413"/>
      <c r="F7" s="413"/>
      <c r="G7" s="413"/>
      <c r="H7" s="413"/>
    </row>
    <row r="8" spans="1:8" s="98" customFormat="1" ht="24.75" customHeight="1">
      <c r="A8" s="419" t="s">
        <v>1766</v>
      </c>
      <c r="B8" s="419"/>
      <c r="C8" s="419"/>
      <c r="D8" s="419"/>
      <c r="E8" s="419"/>
      <c r="F8" s="419"/>
      <c r="G8" s="419"/>
      <c r="H8" s="419"/>
    </row>
    <row r="9" spans="1:8" s="98" customFormat="1" ht="23.25" customHeight="1">
      <c r="A9" s="420" t="s">
        <v>1752</v>
      </c>
      <c r="B9" s="419"/>
      <c r="C9" s="419"/>
      <c r="D9" s="419"/>
      <c r="E9" s="419"/>
      <c r="F9" s="419"/>
      <c r="G9" s="419"/>
      <c r="H9" s="419"/>
    </row>
    <row r="10" spans="1:8" s="98" customFormat="1" ht="73.2" customHeight="1">
      <c r="A10" s="421" t="s">
        <v>1741</v>
      </c>
      <c r="B10" s="422"/>
      <c r="C10" s="422"/>
      <c r="D10" s="422"/>
      <c r="E10" s="422"/>
      <c r="F10" s="422"/>
      <c r="G10" s="422"/>
      <c r="H10" s="422"/>
    </row>
    <row r="11" spans="1:8" s="98" customFormat="1" ht="37.200000000000003" customHeight="1">
      <c r="A11" s="407" t="s">
        <v>1723</v>
      </c>
      <c r="B11" s="407"/>
      <c r="C11" s="407"/>
      <c r="D11" s="407"/>
      <c r="E11" s="407"/>
      <c r="F11" s="407"/>
      <c r="G11" s="407"/>
      <c r="H11" s="407"/>
    </row>
    <row r="12" spans="1:8" s="87" customFormat="1" ht="46.2" customHeight="1">
      <c r="A12" s="90" t="s">
        <v>15</v>
      </c>
      <c r="B12" s="90" t="s">
        <v>57</v>
      </c>
      <c r="C12" s="90" t="s">
        <v>58</v>
      </c>
      <c r="D12" s="91" t="s">
        <v>59</v>
      </c>
      <c r="E12" s="92" t="s">
        <v>20</v>
      </c>
      <c r="F12" s="93" t="s">
        <v>60</v>
      </c>
      <c r="G12" s="92" t="s">
        <v>61</v>
      </c>
      <c r="H12" s="90" t="s">
        <v>16</v>
      </c>
    </row>
    <row r="13" spans="1:8" s="17" customFormat="1" ht="36" customHeight="1">
      <c r="A13" s="96" t="s">
        <v>17</v>
      </c>
      <c r="B13" s="425" t="s">
        <v>1770</v>
      </c>
      <c r="C13" s="425"/>
      <c r="D13" s="425"/>
      <c r="E13" s="425"/>
      <c r="F13" s="425"/>
      <c r="G13" s="73">
        <f>G14</f>
        <v>322140000</v>
      </c>
      <c r="H13" s="74"/>
    </row>
    <row r="14" spans="1:8" s="131" customFormat="1" ht="40.5" customHeight="1">
      <c r="A14" s="123"/>
      <c r="B14" s="124" t="s">
        <v>1757</v>
      </c>
      <c r="C14" s="125" t="s">
        <v>1753</v>
      </c>
      <c r="D14" s="126">
        <v>27.3</v>
      </c>
      <c r="E14" s="127">
        <v>11800000</v>
      </c>
      <c r="F14" s="128">
        <v>1</v>
      </c>
      <c r="G14" s="129">
        <f>D14*E14*F14</f>
        <v>322140000</v>
      </c>
      <c r="H14" s="130"/>
    </row>
    <row r="15" spans="1:8" ht="27" customHeight="1">
      <c r="A15" s="75" t="s">
        <v>18</v>
      </c>
      <c r="B15" s="426" t="s">
        <v>1725</v>
      </c>
      <c r="C15" s="426"/>
      <c r="D15" s="426"/>
      <c r="E15" s="426"/>
      <c r="F15" s="426"/>
      <c r="G15" s="76">
        <f>SUM(G16:G17)</f>
        <v>10838865.030000001</v>
      </c>
      <c r="H15" s="11"/>
    </row>
    <row r="16" spans="1:8" ht="31.2">
      <c r="A16" s="77">
        <v>1</v>
      </c>
      <c r="B16" s="78" t="s">
        <v>1771</v>
      </c>
      <c r="C16" s="14" t="s">
        <v>1754</v>
      </c>
      <c r="D16" s="132">
        <f>1.5*14*0.11</f>
        <v>2.31</v>
      </c>
      <c r="E16" s="15">
        <v>2126713</v>
      </c>
      <c r="F16" s="14">
        <v>1</v>
      </c>
      <c r="G16" s="79">
        <f t="shared" ref="G16:G17" si="0">D16*E16*F16</f>
        <v>4912707.03</v>
      </c>
      <c r="H16" s="15"/>
    </row>
    <row r="17" spans="1:8" ht="15.6">
      <c r="A17" s="77"/>
      <c r="B17" s="78" t="s">
        <v>1957</v>
      </c>
      <c r="C17" s="14" t="s">
        <v>66</v>
      </c>
      <c r="D17" s="132">
        <f>1.5*14*2</f>
        <v>42</v>
      </c>
      <c r="E17" s="15">
        <v>141099</v>
      </c>
      <c r="F17" s="14">
        <v>1</v>
      </c>
      <c r="G17" s="79">
        <f t="shared" si="0"/>
        <v>5926158</v>
      </c>
      <c r="H17" s="15"/>
    </row>
    <row r="18" spans="1:8" ht="24" customHeight="1">
      <c r="A18" s="75" t="s">
        <v>19</v>
      </c>
      <c r="B18" s="426" t="s">
        <v>1727</v>
      </c>
      <c r="C18" s="426"/>
      <c r="D18" s="426"/>
      <c r="E18" s="426"/>
      <c r="F18" s="426"/>
      <c r="G18" s="76">
        <f>SUM(G19:G21)</f>
        <v>5412000</v>
      </c>
      <c r="H18" s="11"/>
    </row>
    <row r="19" spans="1:8" s="12" customFormat="1" ht="34.200000000000003" customHeight="1">
      <c r="A19" s="94">
        <v>1</v>
      </c>
      <c r="B19" s="13" t="s">
        <v>820</v>
      </c>
      <c r="C19" s="14" t="s">
        <v>1724</v>
      </c>
      <c r="D19" s="14">
        <v>1</v>
      </c>
      <c r="E19" s="79" t="str">
        <f>VLOOKUP(B19,'[20]Đơn giá cây cối'!$A$2:$C$1361,3,0)</f>
        <v>1.555.000</v>
      </c>
      <c r="F19" s="137">
        <v>1</v>
      </c>
      <c r="G19" s="79">
        <f>D19*E19*F19</f>
        <v>1555000</v>
      </c>
      <c r="H19" s="95"/>
    </row>
    <row r="20" spans="1:8" s="12" customFormat="1" ht="34.200000000000003" customHeight="1">
      <c r="A20" s="94">
        <v>2</v>
      </c>
      <c r="B20" s="13" t="s">
        <v>846</v>
      </c>
      <c r="C20" s="14" t="s">
        <v>1724</v>
      </c>
      <c r="D20" s="14">
        <v>1</v>
      </c>
      <c r="E20" s="79" t="str">
        <f>VLOOKUP(B20,'[20]Đơn giá cây cối'!$A$2:$C$1361,3,0)</f>
        <v>2.737.000</v>
      </c>
      <c r="F20" s="137">
        <v>1</v>
      </c>
      <c r="G20" s="79">
        <f t="shared" ref="G20:G21" si="1">D20*E20*F20</f>
        <v>2737000</v>
      </c>
      <c r="H20" s="95"/>
    </row>
    <row r="21" spans="1:8" s="12" customFormat="1" ht="34.200000000000003" customHeight="1">
      <c r="A21" s="94">
        <v>3</v>
      </c>
      <c r="B21" s="13" t="s">
        <v>201</v>
      </c>
      <c r="C21" s="14" t="s">
        <v>1724</v>
      </c>
      <c r="D21" s="14">
        <v>1</v>
      </c>
      <c r="E21" s="79">
        <f>VLOOKUP(B21,'[20]Đơn giá cây cối'!$A$2:$C$1361,3,0)</f>
        <v>1120000</v>
      </c>
      <c r="F21" s="137">
        <v>1</v>
      </c>
      <c r="G21" s="79">
        <f t="shared" si="1"/>
        <v>1120000</v>
      </c>
      <c r="H21" s="95"/>
    </row>
    <row r="22" spans="1:8" ht="15.6">
      <c r="A22" s="80"/>
      <c r="B22" s="427" t="s">
        <v>62</v>
      </c>
      <c r="C22" s="428"/>
      <c r="D22" s="428"/>
      <c r="E22" s="428"/>
      <c r="F22" s="429"/>
      <c r="G22" s="81">
        <f>G13+G15+G18</f>
        <v>338390865.02999997</v>
      </c>
      <c r="H22" s="82"/>
    </row>
    <row r="23" spans="1:8" ht="15.6">
      <c r="A23" s="80"/>
      <c r="B23" s="427" t="s">
        <v>1726</v>
      </c>
      <c r="C23" s="428"/>
      <c r="D23" s="428"/>
      <c r="E23" s="428"/>
      <c r="F23" s="429"/>
      <c r="G23" s="81">
        <f>ROUND(G22,-3)</f>
        <v>338391000</v>
      </c>
      <c r="H23" s="82"/>
    </row>
    <row r="24" spans="1:8" ht="15.6">
      <c r="A24" s="430" t="e">
        <f ca="1">[19]!vnd(G23)</f>
        <v>#NAME?</v>
      </c>
      <c r="B24" s="431"/>
      <c r="C24" s="431"/>
      <c r="D24" s="431"/>
      <c r="E24" s="431"/>
      <c r="F24" s="431"/>
      <c r="G24" s="431"/>
      <c r="H24" s="432"/>
    </row>
    <row r="25" spans="1:8">
      <c r="A25" s="17"/>
      <c r="B25" s="17"/>
      <c r="C25" s="97"/>
      <c r="D25" s="20"/>
      <c r="E25" s="19"/>
      <c r="F25" s="97"/>
      <c r="G25" s="19"/>
      <c r="H25" s="17"/>
    </row>
    <row r="26" spans="1:8" s="109" customFormat="1" ht="16.5" customHeight="1">
      <c r="A26" s="108"/>
      <c r="B26" s="108"/>
      <c r="C26" s="424" t="s">
        <v>1742</v>
      </c>
      <c r="D26" s="424"/>
      <c r="E26" s="424"/>
      <c r="F26" s="424"/>
      <c r="G26" s="424"/>
      <c r="H26" s="424"/>
    </row>
    <row r="27" spans="1:8" s="109" customFormat="1" ht="16.5" customHeight="1">
      <c r="A27" s="423" t="s">
        <v>63</v>
      </c>
      <c r="B27" s="423"/>
      <c r="C27" s="424" t="s">
        <v>1743</v>
      </c>
      <c r="D27" s="424"/>
      <c r="E27" s="424"/>
      <c r="F27" s="424" t="s">
        <v>1744</v>
      </c>
      <c r="G27" s="424"/>
      <c r="H27" s="424"/>
    </row>
    <row r="28" spans="1:8" s="109" customFormat="1" ht="15.6">
      <c r="A28" s="108"/>
      <c r="B28" s="108"/>
      <c r="C28" s="108"/>
      <c r="D28" s="110"/>
      <c r="E28" s="111"/>
      <c r="F28" s="112"/>
      <c r="G28" s="111"/>
      <c r="H28" s="113"/>
    </row>
    <row r="29" spans="1:8" s="109" customFormat="1" ht="15.6">
      <c r="A29" s="108"/>
      <c r="B29" s="108"/>
      <c r="C29" s="108"/>
      <c r="D29" s="110"/>
      <c r="E29" s="111"/>
      <c r="F29" s="112"/>
      <c r="G29" s="114"/>
      <c r="H29" s="113"/>
    </row>
    <row r="30" spans="1:8" s="109" customFormat="1" ht="15.6">
      <c r="A30" s="108"/>
      <c r="B30" s="108"/>
      <c r="C30" s="108"/>
      <c r="D30" s="110"/>
      <c r="E30" s="111"/>
      <c r="F30" s="112"/>
      <c r="G30" s="111"/>
      <c r="H30" s="113"/>
    </row>
    <row r="31" spans="1:8" s="109" customFormat="1" ht="15.6">
      <c r="A31" s="108"/>
      <c r="B31" s="108"/>
      <c r="C31" s="108"/>
      <c r="D31" s="110"/>
      <c r="E31" s="111"/>
      <c r="F31" s="112"/>
      <c r="G31" s="111"/>
      <c r="H31" s="113"/>
    </row>
    <row r="32" spans="1:8" s="109" customFormat="1" ht="15.6">
      <c r="A32" s="108"/>
      <c r="B32" s="108"/>
      <c r="C32" s="108"/>
      <c r="D32" s="110"/>
      <c r="E32" s="111"/>
      <c r="F32" s="112"/>
      <c r="G32" s="111"/>
      <c r="H32" s="113"/>
    </row>
    <row r="33" spans="1:8" s="109" customFormat="1" ht="16.5" customHeight="1">
      <c r="A33" s="108"/>
      <c r="B33" s="141" t="s">
        <v>64</v>
      </c>
      <c r="C33" s="424"/>
      <c r="D33" s="424"/>
      <c r="E33" s="424"/>
      <c r="F33" s="424" t="s">
        <v>1745</v>
      </c>
      <c r="G33" s="424"/>
      <c r="H33" s="424"/>
    </row>
    <row r="34" spans="1:8" s="109" customFormat="1" ht="15.6">
      <c r="A34" s="108"/>
      <c r="B34" s="141"/>
      <c r="C34" s="138"/>
      <c r="D34" s="138"/>
      <c r="E34" s="138"/>
      <c r="F34" s="138"/>
      <c r="G34" s="138"/>
      <c r="H34" s="138"/>
    </row>
    <row r="35" spans="1:8" s="109" customFormat="1" ht="15" customHeight="1">
      <c r="A35" s="424" t="s">
        <v>1746</v>
      </c>
      <c r="B35" s="424"/>
      <c r="C35" s="424"/>
      <c r="D35" s="424"/>
      <c r="E35" s="424" t="s">
        <v>1747</v>
      </c>
      <c r="F35" s="424"/>
      <c r="G35" s="424"/>
      <c r="H35" s="424"/>
    </row>
    <row r="36" spans="1:8" s="109" customFormat="1" ht="33.6" customHeight="1">
      <c r="A36" s="424" t="s">
        <v>1748</v>
      </c>
      <c r="B36" s="424"/>
      <c r="C36" s="424"/>
      <c r="D36" s="424"/>
      <c r="E36" s="424" t="s">
        <v>65</v>
      </c>
      <c r="F36" s="424"/>
      <c r="G36" s="424"/>
      <c r="H36" s="424"/>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 r="A39" s="108"/>
      <c r="B39" s="108"/>
      <c r="C39" s="108"/>
      <c r="D39" s="110"/>
      <c r="E39" s="111"/>
      <c r="F39" s="112"/>
      <c r="G39" s="111"/>
      <c r="H39" s="113"/>
    </row>
    <row r="40" spans="1:8" s="109" customFormat="1" ht="15.6">
      <c r="A40" s="108"/>
      <c r="B40" s="108"/>
      <c r="C40" s="108"/>
      <c r="D40" s="110"/>
      <c r="E40" s="111"/>
      <c r="F40" s="112"/>
      <c r="G40" s="111"/>
      <c r="H40" s="113"/>
    </row>
    <row r="41" spans="1:8" s="109" customFormat="1" ht="15.6">
      <c r="A41" s="108"/>
      <c r="B41" s="108"/>
      <c r="C41" s="108"/>
      <c r="D41" s="110"/>
      <c r="E41" s="111"/>
      <c r="F41" s="112"/>
      <c r="G41" s="111"/>
      <c r="H41" s="113"/>
    </row>
    <row r="42" spans="1:8" s="109" customFormat="1" ht="15.6" customHeight="1">
      <c r="A42" s="108"/>
      <c r="B42" s="108"/>
      <c r="C42" s="108"/>
      <c r="D42" s="115"/>
      <c r="E42" s="439" t="s">
        <v>1749</v>
      </c>
      <c r="F42" s="439"/>
      <c r="G42" s="439"/>
      <c r="H42" s="439"/>
    </row>
    <row r="43" spans="1:8" s="109" customFormat="1" ht="16.5" customHeight="1">
      <c r="A43" s="424" t="s">
        <v>1751</v>
      </c>
      <c r="B43" s="424"/>
      <c r="C43" s="424"/>
      <c r="D43" s="424"/>
      <c r="E43" s="424" t="s">
        <v>1750</v>
      </c>
      <c r="F43" s="424"/>
      <c r="G43" s="424"/>
      <c r="H43" s="424"/>
    </row>
    <row r="44" spans="1:8" s="118" customFormat="1" ht="16.2" customHeight="1">
      <c r="A44" s="440"/>
      <c r="B44" s="440"/>
      <c r="C44" s="116"/>
      <c r="D44" s="117"/>
      <c r="E44" s="440"/>
      <c r="F44" s="440"/>
      <c r="G44" s="440"/>
      <c r="H44" s="440"/>
    </row>
    <row r="45" spans="1:8" s="118" customFormat="1" ht="15.75" customHeight="1">
      <c r="A45" s="440"/>
      <c r="B45" s="440"/>
      <c r="C45" s="440"/>
      <c r="D45" s="440"/>
      <c r="E45" s="440"/>
      <c r="F45" s="440"/>
      <c r="G45" s="440"/>
      <c r="H45" s="440"/>
    </row>
    <row r="46" spans="1:8" s="98" customFormat="1" ht="16.2" customHeight="1">
      <c r="A46" s="436"/>
      <c r="B46" s="436"/>
      <c r="C46" s="436"/>
      <c r="D46" s="436"/>
      <c r="E46" s="119"/>
      <c r="F46" s="120"/>
      <c r="G46" s="119"/>
      <c r="H46" s="121"/>
    </row>
    <row r="47" spans="1:8" s="98" customFormat="1" ht="16.2" customHeight="1">
      <c r="A47" s="436"/>
      <c r="B47" s="436"/>
      <c r="C47" s="436"/>
      <c r="D47" s="436"/>
      <c r="E47" s="119"/>
      <c r="F47" s="120"/>
      <c r="G47" s="119"/>
      <c r="H47" s="121"/>
    </row>
    <row r="48" spans="1:8" s="98" customFormat="1" ht="16.2" customHeight="1">
      <c r="A48" s="121"/>
      <c r="B48" s="121"/>
      <c r="C48" s="121"/>
      <c r="D48" s="122"/>
      <c r="E48" s="119"/>
      <c r="F48" s="120"/>
      <c r="G48" s="119"/>
      <c r="H48" s="121"/>
    </row>
    <row r="49" spans="1:8" ht="16.2" customHeight="1">
      <c r="A49" s="83"/>
      <c r="B49" s="83"/>
      <c r="C49" s="83"/>
      <c r="D49" s="84"/>
      <c r="E49" s="85"/>
      <c r="F49" s="86"/>
      <c r="G49" s="85"/>
      <c r="H49" s="83"/>
    </row>
    <row r="50" spans="1:8" ht="16.2" customHeight="1">
      <c r="A50" s="83"/>
      <c r="B50" s="83"/>
      <c r="C50" s="83"/>
      <c r="D50" s="84"/>
      <c r="E50" s="85"/>
      <c r="F50" s="86"/>
      <c r="G50" s="85"/>
      <c r="H50" s="83"/>
    </row>
    <row r="51" spans="1:8" ht="16.2" customHeight="1">
      <c r="A51" s="83"/>
      <c r="B51" s="83"/>
      <c r="C51" s="83"/>
      <c r="D51" s="84"/>
      <c r="E51" s="85"/>
      <c r="F51" s="86"/>
      <c r="G51" s="85"/>
      <c r="H51" s="83"/>
    </row>
    <row r="52" spans="1:8" ht="16.2" customHeight="1">
      <c r="A52" s="83"/>
      <c r="B52" s="83"/>
      <c r="C52" s="83"/>
      <c r="D52" s="84"/>
      <c r="E52" s="437"/>
      <c r="F52" s="437"/>
      <c r="G52" s="437"/>
      <c r="H52" s="437"/>
    </row>
    <row r="53" spans="1:8" ht="20.25" customHeight="1">
      <c r="A53" s="438"/>
      <c r="B53" s="438"/>
      <c r="C53" s="438"/>
      <c r="D53" s="438"/>
      <c r="E53" s="438"/>
      <c r="F53" s="438"/>
      <c r="G53" s="438"/>
      <c r="H53" s="438"/>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D67" s="18"/>
      <c r="E67" s="19"/>
      <c r="F67" s="97"/>
      <c r="G67" s="19"/>
    </row>
    <row r="68" spans="3:7" s="17" customFormat="1" ht="16.2" customHeight="1">
      <c r="D68" s="18"/>
      <c r="E68" s="19"/>
      <c r="F68" s="97"/>
      <c r="G68" s="19"/>
    </row>
    <row r="69" spans="3:7" s="17" customFormat="1" ht="16.2" customHeight="1">
      <c r="D69" s="18"/>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s="17" customFormat="1" ht="16.2" customHeight="1">
      <c r="C79" s="97"/>
      <c r="D79" s="20"/>
      <c r="E79" s="19"/>
      <c r="F79" s="97"/>
      <c r="G79" s="19"/>
    </row>
    <row r="80" spans="3:7" s="17" customFormat="1" ht="16.2" customHeight="1">
      <c r="C80" s="97"/>
      <c r="D80" s="20"/>
      <c r="E80" s="19"/>
      <c r="F80" s="97"/>
      <c r="G80" s="19"/>
    </row>
    <row r="81" spans="3:7" s="17" customFormat="1" ht="16.2" customHeight="1">
      <c r="C81" s="97"/>
      <c r="D81" s="20"/>
      <c r="E81" s="19"/>
      <c r="F81" s="97"/>
      <c r="G81" s="19"/>
    </row>
    <row r="82" spans="3:7" ht="16.2" customHeight="1"/>
    <row r="83" spans="3:7" ht="16.2" customHeight="1"/>
    <row r="84" spans="3:7" ht="16.2" customHeight="1"/>
    <row r="85" spans="3:7" ht="16.2" customHeight="1"/>
    <row r="86" spans="3:7" ht="16.2" customHeight="1"/>
    <row r="87" spans="3:7" ht="16.2" customHeight="1"/>
    <row r="88" spans="3:7" ht="16.2" customHeight="1"/>
    <row r="89" spans="3:7" ht="16.2" customHeight="1"/>
    <row r="90" spans="3:7" ht="16.2" customHeight="1"/>
    <row r="91" spans="3:7" ht="16.2" customHeight="1"/>
    <row r="92" spans="3:7" ht="16.2" customHeight="1"/>
    <row r="93" spans="3:7" ht="16.2" customHeight="1"/>
    <row r="94" spans="3:7" ht="16.2" customHeight="1"/>
    <row r="95" spans="3:7" ht="16.2" customHeight="1"/>
    <row r="96" spans="3:7"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ht="16.2" customHeight="1"/>
    <row r="226" ht="16.2" customHeight="1"/>
    <row r="227" ht="16.2" customHeight="1"/>
    <row r="228"/>
    <row r="229"/>
    <row r="230"/>
    <row r="231"/>
    <row r="232"/>
    <row r="233"/>
    <row r="234"/>
    <row r="235"/>
    <row r="236"/>
    <row r="237"/>
    <row r="238"/>
    <row r="239"/>
    <row r="240"/>
    <row r="241"/>
    <row r="242"/>
    <row r="243"/>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sheetData>
  <mergeCells count="40">
    <mergeCell ref="E52:H52"/>
    <mergeCell ref="A53:H53"/>
    <mergeCell ref="A44:B44"/>
    <mergeCell ref="E44:H44"/>
    <mergeCell ref="A45:D45"/>
    <mergeCell ref="E45:H45"/>
    <mergeCell ref="A46:D46"/>
    <mergeCell ref="A47:D47"/>
    <mergeCell ref="A43:D43"/>
    <mergeCell ref="E43:H43"/>
    <mergeCell ref="C26:H26"/>
    <mergeCell ref="A27:B27"/>
    <mergeCell ref="C27:E27"/>
    <mergeCell ref="F27:H27"/>
    <mergeCell ref="C33:E33"/>
    <mergeCell ref="F33:H33"/>
    <mergeCell ref="A35:D35"/>
    <mergeCell ref="E35:H35"/>
    <mergeCell ref="A36:D36"/>
    <mergeCell ref="E36:H36"/>
    <mergeCell ref="E42:H42"/>
    <mergeCell ref="A24:H24"/>
    <mergeCell ref="A6:H6"/>
    <mergeCell ref="A7:H7"/>
    <mergeCell ref="A8:H8"/>
    <mergeCell ref="A9:H9"/>
    <mergeCell ref="A10:H10"/>
    <mergeCell ref="A11:H11"/>
    <mergeCell ref="B13:F13"/>
    <mergeCell ref="B15:F15"/>
    <mergeCell ref="B18:F18"/>
    <mergeCell ref="B22:F22"/>
    <mergeCell ref="B23:F23"/>
    <mergeCell ref="A4:B4"/>
    <mergeCell ref="C4:H4"/>
    <mergeCell ref="A1:B1"/>
    <mergeCell ref="C1:H1"/>
    <mergeCell ref="A2:B2"/>
    <mergeCell ref="C2:H2"/>
    <mergeCell ref="A3:B3"/>
  </mergeCells>
  <dataValidations count="2">
    <dataValidation type="list" allowBlank="1" showInputMessage="1" showErrorMessage="1" sqref="WVJ983045:WVJ983062 B983045:B983062 IX983045:IX983062 ST983045:ST983062 ACP983045:ACP983062 AML983045:AML983062 AWH983045:AWH983062 BGD983045:BGD983062 BPZ983045:BPZ983062 BZV983045:BZV983062 CJR983045:CJR983062 CTN983045:CTN983062 DDJ983045:DDJ983062 DNF983045:DNF983062 DXB983045:DXB983062 EGX983045:EGX983062 EQT983045:EQT983062 FAP983045:FAP983062 FKL983045:FKL983062 FUH983045:FUH983062 GED983045:GED983062 GNZ983045:GNZ983062 GXV983045:GXV983062 HHR983045:HHR983062 HRN983045:HRN983062 IBJ983045:IBJ983062 ILF983045:ILF983062 IVB983045:IVB983062 JEX983045:JEX983062 JOT983045:JOT983062 JYP983045:JYP983062 KIL983045:KIL983062 KSH983045:KSH983062 LCD983045:LCD983062 LLZ983045:LLZ983062 LVV983045:LVV983062 MFR983045:MFR983062 MPN983045:MPN983062 MZJ983045:MZJ983062 NJF983045:NJF983062 NTB983045:NTB983062 OCX983045:OCX983062 OMT983045:OMT983062 OWP983045:OWP983062 PGL983045:PGL983062 PQH983045:PQH983062 QAD983045:QAD983062 QJZ983045:QJZ983062 QTV983045:QTV983062 RDR983045:RDR983062 RNN983045:RNN983062 RXJ983045:RXJ983062 SHF983045:SHF983062 SRB983045:SRB983062 TAX983045:TAX983062 TKT983045:TKT983062 TUP983045:TUP983062 UEL983045:UEL983062 UOH983045:UOH983062 UYD983045:UYD983062 VHZ983045:VHZ983062 VRV983045:VRV983062 WBR983045:WBR983062 WLN983045:WLN983062 B65541:B65558 IX65541:IX65558 ST65541:ST65558 ACP65541:ACP65558 AML65541:AML65558 AWH65541:AWH65558 BGD65541:BGD65558 BPZ65541:BPZ65558 BZV65541:BZV65558 CJR65541:CJR65558 CTN65541:CTN65558 DDJ65541:DDJ65558 DNF65541:DNF65558 DXB65541:DXB65558 EGX65541:EGX65558 EQT65541:EQT65558 FAP65541:FAP65558 FKL65541:FKL65558 FUH65541:FUH65558 GED65541:GED65558 GNZ65541:GNZ65558 GXV65541:GXV65558 HHR65541:HHR65558 HRN65541:HRN65558 IBJ65541:IBJ65558 ILF65541:ILF65558 IVB65541:IVB65558 JEX65541:JEX65558 JOT65541:JOT65558 JYP65541:JYP65558 KIL65541:KIL65558 KSH65541:KSH65558 LCD65541:LCD65558 LLZ65541:LLZ65558 LVV65541:LVV65558 MFR65541:MFR65558 MPN65541:MPN65558 MZJ65541:MZJ65558 NJF65541:NJF65558 NTB65541:NTB65558 OCX65541:OCX65558 OMT65541:OMT65558 OWP65541:OWP65558 PGL65541:PGL65558 PQH65541:PQH65558 QAD65541:QAD65558 QJZ65541:QJZ65558 QTV65541:QTV65558 RDR65541:RDR65558 RNN65541:RNN65558 RXJ65541:RXJ65558 SHF65541:SHF65558 SRB65541:SRB65558 TAX65541:TAX65558 TKT65541:TKT65558 TUP65541:TUP65558 UEL65541:UEL65558 UOH65541:UOH65558 UYD65541:UYD65558 VHZ65541:VHZ65558 VRV65541:VRV65558 WBR65541:WBR65558 WLN65541:WLN65558 WVJ65541:WVJ65558 B131077:B131094 IX131077:IX131094 ST131077:ST131094 ACP131077:ACP131094 AML131077:AML131094 AWH131077:AWH131094 BGD131077:BGD131094 BPZ131077:BPZ131094 BZV131077:BZV131094 CJR131077:CJR131094 CTN131077:CTN131094 DDJ131077:DDJ131094 DNF131077:DNF131094 DXB131077:DXB131094 EGX131077:EGX131094 EQT131077:EQT131094 FAP131077:FAP131094 FKL131077:FKL131094 FUH131077:FUH131094 GED131077:GED131094 GNZ131077:GNZ131094 GXV131077:GXV131094 HHR131077:HHR131094 HRN131077:HRN131094 IBJ131077:IBJ131094 ILF131077:ILF131094 IVB131077:IVB131094 JEX131077:JEX131094 JOT131077:JOT131094 JYP131077:JYP131094 KIL131077:KIL131094 KSH131077:KSH131094 LCD131077:LCD131094 LLZ131077:LLZ131094 LVV131077:LVV131094 MFR131077:MFR131094 MPN131077:MPN131094 MZJ131077:MZJ131094 NJF131077:NJF131094 NTB131077:NTB131094 OCX131077:OCX131094 OMT131077:OMT131094 OWP131077:OWP131094 PGL131077:PGL131094 PQH131077:PQH131094 QAD131077:QAD131094 QJZ131077:QJZ131094 QTV131077:QTV131094 RDR131077:RDR131094 RNN131077:RNN131094 RXJ131077:RXJ131094 SHF131077:SHF131094 SRB131077:SRB131094 TAX131077:TAX131094 TKT131077:TKT131094 TUP131077:TUP131094 UEL131077:UEL131094 UOH131077:UOH131094 UYD131077:UYD131094 VHZ131077:VHZ131094 VRV131077:VRV131094 WBR131077:WBR131094 WLN131077:WLN131094 WVJ131077:WVJ131094 B196613:B196630 IX196613:IX196630 ST196613:ST196630 ACP196613:ACP196630 AML196613:AML196630 AWH196613:AWH196630 BGD196613:BGD196630 BPZ196613:BPZ196630 BZV196613:BZV196630 CJR196613:CJR196630 CTN196613:CTN196630 DDJ196613:DDJ196630 DNF196613:DNF196630 DXB196613:DXB196630 EGX196613:EGX196630 EQT196613:EQT196630 FAP196613:FAP196630 FKL196613:FKL196630 FUH196613:FUH196630 GED196613:GED196630 GNZ196613:GNZ196630 GXV196613:GXV196630 HHR196613:HHR196630 HRN196613:HRN196630 IBJ196613:IBJ196630 ILF196613:ILF196630 IVB196613:IVB196630 JEX196613:JEX196630 JOT196613:JOT196630 JYP196613:JYP196630 KIL196613:KIL196630 KSH196613:KSH196630 LCD196613:LCD196630 LLZ196613:LLZ196630 LVV196613:LVV196630 MFR196613:MFR196630 MPN196613:MPN196630 MZJ196613:MZJ196630 NJF196613:NJF196630 NTB196613:NTB196630 OCX196613:OCX196630 OMT196613:OMT196630 OWP196613:OWP196630 PGL196613:PGL196630 PQH196613:PQH196630 QAD196613:QAD196630 QJZ196613:QJZ196630 QTV196613:QTV196630 RDR196613:RDR196630 RNN196613:RNN196630 RXJ196613:RXJ196630 SHF196613:SHF196630 SRB196613:SRB196630 TAX196613:TAX196630 TKT196613:TKT196630 TUP196613:TUP196630 UEL196613:UEL196630 UOH196613:UOH196630 UYD196613:UYD196630 VHZ196613:VHZ196630 VRV196613:VRV196630 WBR196613:WBR196630 WLN196613:WLN196630 WVJ196613:WVJ196630 B262149:B262166 IX262149:IX262166 ST262149:ST262166 ACP262149:ACP262166 AML262149:AML262166 AWH262149:AWH262166 BGD262149:BGD262166 BPZ262149:BPZ262166 BZV262149:BZV262166 CJR262149:CJR262166 CTN262149:CTN262166 DDJ262149:DDJ262166 DNF262149:DNF262166 DXB262149:DXB262166 EGX262149:EGX262166 EQT262149:EQT262166 FAP262149:FAP262166 FKL262149:FKL262166 FUH262149:FUH262166 GED262149:GED262166 GNZ262149:GNZ262166 GXV262149:GXV262166 HHR262149:HHR262166 HRN262149:HRN262166 IBJ262149:IBJ262166 ILF262149:ILF262166 IVB262149:IVB262166 JEX262149:JEX262166 JOT262149:JOT262166 JYP262149:JYP262166 KIL262149:KIL262166 KSH262149:KSH262166 LCD262149:LCD262166 LLZ262149:LLZ262166 LVV262149:LVV262166 MFR262149:MFR262166 MPN262149:MPN262166 MZJ262149:MZJ262166 NJF262149:NJF262166 NTB262149:NTB262166 OCX262149:OCX262166 OMT262149:OMT262166 OWP262149:OWP262166 PGL262149:PGL262166 PQH262149:PQH262166 QAD262149:QAD262166 QJZ262149:QJZ262166 QTV262149:QTV262166 RDR262149:RDR262166 RNN262149:RNN262166 RXJ262149:RXJ262166 SHF262149:SHF262166 SRB262149:SRB262166 TAX262149:TAX262166 TKT262149:TKT262166 TUP262149:TUP262166 UEL262149:UEL262166 UOH262149:UOH262166 UYD262149:UYD262166 VHZ262149:VHZ262166 VRV262149:VRV262166 WBR262149:WBR262166 WLN262149:WLN262166 WVJ262149:WVJ262166 B327685:B327702 IX327685:IX327702 ST327685:ST327702 ACP327685:ACP327702 AML327685:AML327702 AWH327685:AWH327702 BGD327685:BGD327702 BPZ327685:BPZ327702 BZV327685:BZV327702 CJR327685:CJR327702 CTN327685:CTN327702 DDJ327685:DDJ327702 DNF327685:DNF327702 DXB327685:DXB327702 EGX327685:EGX327702 EQT327685:EQT327702 FAP327685:FAP327702 FKL327685:FKL327702 FUH327685:FUH327702 GED327685:GED327702 GNZ327685:GNZ327702 GXV327685:GXV327702 HHR327685:HHR327702 HRN327685:HRN327702 IBJ327685:IBJ327702 ILF327685:ILF327702 IVB327685:IVB327702 JEX327685:JEX327702 JOT327685:JOT327702 JYP327685:JYP327702 KIL327685:KIL327702 KSH327685:KSH327702 LCD327685:LCD327702 LLZ327685:LLZ327702 LVV327685:LVV327702 MFR327685:MFR327702 MPN327685:MPN327702 MZJ327685:MZJ327702 NJF327685:NJF327702 NTB327685:NTB327702 OCX327685:OCX327702 OMT327685:OMT327702 OWP327685:OWP327702 PGL327685:PGL327702 PQH327685:PQH327702 QAD327685:QAD327702 QJZ327685:QJZ327702 QTV327685:QTV327702 RDR327685:RDR327702 RNN327685:RNN327702 RXJ327685:RXJ327702 SHF327685:SHF327702 SRB327685:SRB327702 TAX327685:TAX327702 TKT327685:TKT327702 TUP327685:TUP327702 UEL327685:UEL327702 UOH327685:UOH327702 UYD327685:UYD327702 VHZ327685:VHZ327702 VRV327685:VRV327702 WBR327685:WBR327702 WLN327685:WLN327702 WVJ327685:WVJ327702 B393221:B393238 IX393221:IX393238 ST393221:ST393238 ACP393221:ACP393238 AML393221:AML393238 AWH393221:AWH393238 BGD393221:BGD393238 BPZ393221:BPZ393238 BZV393221:BZV393238 CJR393221:CJR393238 CTN393221:CTN393238 DDJ393221:DDJ393238 DNF393221:DNF393238 DXB393221:DXB393238 EGX393221:EGX393238 EQT393221:EQT393238 FAP393221:FAP393238 FKL393221:FKL393238 FUH393221:FUH393238 GED393221:GED393238 GNZ393221:GNZ393238 GXV393221:GXV393238 HHR393221:HHR393238 HRN393221:HRN393238 IBJ393221:IBJ393238 ILF393221:ILF393238 IVB393221:IVB393238 JEX393221:JEX393238 JOT393221:JOT393238 JYP393221:JYP393238 KIL393221:KIL393238 KSH393221:KSH393238 LCD393221:LCD393238 LLZ393221:LLZ393238 LVV393221:LVV393238 MFR393221:MFR393238 MPN393221:MPN393238 MZJ393221:MZJ393238 NJF393221:NJF393238 NTB393221:NTB393238 OCX393221:OCX393238 OMT393221:OMT393238 OWP393221:OWP393238 PGL393221:PGL393238 PQH393221:PQH393238 QAD393221:QAD393238 QJZ393221:QJZ393238 QTV393221:QTV393238 RDR393221:RDR393238 RNN393221:RNN393238 RXJ393221:RXJ393238 SHF393221:SHF393238 SRB393221:SRB393238 TAX393221:TAX393238 TKT393221:TKT393238 TUP393221:TUP393238 UEL393221:UEL393238 UOH393221:UOH393238 UYD393221:UYD393238 VHZ393221:VHZ393238 VRV393221:VRV393238 WBR393221:WBR393238 WLN393221:WLN393238 WVJ393221:WVJ393238 B458757:B458774 IX458757:IX458774 ST458757:ST458774 ACP458757:ACP458774 AML458757:AML458774 AWH458757:AWH458774 BGD458757:BGD458774 BPZ458757:BPZ458774 BZV458757:BZV458774 CJR458757:CJR458774 CTN458757:CTN458774 DDJ458757:DDJ458774 DNF458757:DNF458774 DXB458757:DXB458774 EGX458757:EGX458774 EQT458757:EQT458774 FAP458757:FAP458774 FKL458757:FKL458774 FUH458757:FUH458774 GED458757:GED458774 GNZ458757:GNZ458774 GXV458757:GXV458774 HHR458757:HHR458774 HRN458757:HRN458774 IBJ458757:IBJ458774 ILF458757:ILF458774 IVB458757:IVB458774 JEX458757:JEX458774 JOT458757:JOT458774 JYP458757:JYP458774 KIL458757:KIL458774 KSH458757:KSH458774 LCD458757:LCD458774 LLZ458757:LLZ458774 LVV458757:LVV458774 MFR458757:MFR458774 MPN458757:MPN458774 MZJ458757:MZJ458774 NJF458757:NJF458774 NTB458757:NTB458774 OCX458757:OCX458774 OMT458757:OMT458774 OWP458757:OWP458774 PGL458757:PGL458774 PQH458757:PQH458774 QAD458757:QAD458774 QJZ458757:QJZ458774 QTV458757:QTV458774 RDR458757:RDR458774 RNN458757:RNN458774 RXJ458757:RXJ458774 SHF458757:SHF458774 SRB458757:SRB458774 TAX458757:TAX458774 TKT458757:TKT458774 TUP458757:TUP458774 UEL458757:UEL458774 UOH458757:UOH458774 UYD458757:UYD458774 VHZ458757:VHZ458774 VRV458757:VRV458774 WBR458757:WBR458774 WLN458757:WLN458774 WVJ458757:WVJ458774 B524293:B524310 IX524293:IX524310 ST524293:ST524310 ACP524293:ACP524310 AML524293:AML524310 AWH524293:AWH524310 BGD524293:BGD524310 BPZ524293:BPZ524310 BZV524293:BZV524310 CJR524293:CJR524310 CTN524293:CTN524310 DDJ524293:DDJ524310 DNF524293:DNF524310 DXB524293:DXB524310 EGX524293:EGX524310 EQT524293:EQT524310 FAP524293:FAP524310 FKL524293:FKL524310 FUH524293:FUH524310 GED524293:GED524310 GNZ524293:GNZ524310 GXV524293:GXV524310 HHR524293:HHR524310 HRN524293:HRN524310 IBJ524293:IBJ524310 ILF524293:ILF524310 IVB524293:IVB524310 JEX524293:JEX524310 JOT524293:JOT524310 JYP524293:JYP524310 KIL524293:KIL524310 KSH524293:KSH524310 LCD524293:LCD524310 LLZ524293:LLZ524310 LVV524293:LVV524310 MFR524293:MFR524310 MPN524293:MPN524310 MZJ524293:MZJ524310 NJF524293:NJF524310 NTB524293:NTB524310 OCX524293:OCX524310 OMT524293:OMT524310 OWP524293:OWP524310 PGL524293:PGL524310 PQH524293:PQH524310 QAD524293:QAD524310 QJZ524293:QJZ524310 QTV524293:QTV524310 RDR524293:RDR524310 RNN524293:RNN524310 RXJ524293:RXJ524310 SHF524293:SHF524310 SRB524293:SRB524310 TAX524293:TAX524310 TKT524293:TKT524310 TUP524293:TUP524310 UEL524293:UEL524310 UOH524293:UOH524310 UYD524293:UYD524310 VHZ524293:VHZ524310 VRV524293:VRV524310 WBR524293:WBR524310 WLN524293:WLN524310 WVJ524293:WVJ524310 B589829:B589846 IX589829:IX589846 ST589829:ST589846 ACP589829:ACP589846 AML589829:AML589846 AWH589829:AWH589846 BGD589829:BGD589846 BPZ589829:BPZ589846 BZV589829:BZV589846 CJR589829:CJR589846 CTN589829:CTN589846 DDJ589829:DDJ589846 DNF589829:DNF589846 DXB589829:DXB589846 EGX589829:EGX589846 EQT589829:EQT589846 FAP589829:FAP589846 FKL589829:FKL589846 FUH589829:FUH589846 GED589829:GED589846 GNZ589829:GNZ589846 GXV589829:GXV589846 HHR589829:HHR589846 HRN589829:HRN589846 IBJ589829:IBJ589846 ILF589829:ILF589846 IVB589829:IVB589846 JEX589829:JEX589846 JOT589829:JOT589846 JYP589829:JYP589846 KIL589829:KIL589846 KSH589829:KSH589846 LCD589829:LCD589846 LLZ589829:LLZ589846 LVV589829:LVV589846 MFR589829:MFR589846 MPN589829:MPN589846 MZJ589829:MZJ589846 NJF589829:NJF589846 NTB589829:NTB589846 OCX589829:OCX589846 OMT589829:OMT589846 OWP589829:OWP589846 PGL589829:PGL589846 PQH589829:PQH589846 QAD589829:QAD589846 QJZ589829:QJZ589846 QTV589829:QTV589846 RDR589829:RDR589846 RNN589829:RNN589846 RXJ589829:RXJ589846 SHF589829:SHF589846 SRB589829:SRB589846 TAX589829:TAX589846 TKT589829:TKT589846 TUP589829:TUP589846 UEL589829:UEL589846 UOH589829:UOH589846 UYD589829:UYD589846 VHZ589829:VHZ589846 VRV589829:VRV589846 WBR589829:WBR589846 WLN589829:WLN589846 WVJ589829:WVJ589846 B655365:B655382 IX655365:IX655382 ST655365:ST655382 ACP655365:ACP655382 AML655365:AML655382 AWH655365:AWH655382 BGD655365:BGD655382 BPZ655365:BPZ655382 BZV655365:BZV655382 CJR655365:CJR655382 CTN655365:CTN655382 DDJ655365:DDJ655382 DNF655365:DNF655382 DXB655365:DXB655382 EGX655365:EGX655382 EQT655365:EQT655382 FAP655365:FAP655382 FKL655365:FKL655382 FUH655365:FUH655382 GED655365:GED655382 GNZ655365:GNZ655382 GXV655365:GXV655382 HHR655365:HHR655382 HRN655365:HRN655382 IBJ655365:IBJ655382 ILF655365:ILF655382 IVB655365:IVB655382 JEX655365:JEX655382 JOT655365:JOT655382 JYP655365:JYP655382 KIL655365:KIL655382 KSH655365:KSH655382 LCD655365:LCD655382 LLZ655365:LLZ655382 LVV655365:LVV655382 MFR655365:MFR655382 MPN655365:MPN655382 MZJ655365:MZJ655382 NJF655365:NJF655382 NTB655365:NTB655382 OCX655365:OCX655382 OMT655365:OMT655382 OWP655365:OWP655382 PGL655365:PGL655382 PQH655365:PQH655382 QAD655365:QAD655382 QJZ655365:QJZ655382 QTV655365:QTV655382 RDR655365:RDR655382 RNN655365:RNN655382 RXJ655365:RXJ655382 SHF655365:SHF655382 SRB655365:SRB655382 TAX655365:TAX655382 TKT655365:TKT655382 TUP655365:TUP655382 UEL655365:UEL655382 UOH655365:UOH655382 UYD655365:UYD655382 VHZ655365:VHZ655382 VRV655365:VRV655382 WBR655365:WBR655382 WLN655365:WLN655382 WVJ655365:WVJ655382 B720901:B720918 IX720901:IX720918 ST720901:ST720918 ACP720901:ACP720918 AML720901:AML720918 AWH720901:AWH720918 BGD720901:BGD720918 BPZ720901:BPZ720918 BZV720901:BZV720918 CJR720901:CJR720918 CTN720901:CTN720918 DDJ720901:DDJ720918 DNF720901:DNF720918 DXB720901:DXB720918 EGX720901:EGX720918 EQT720901:EQT720918 FAP720901:FAP720918 FKL720901:FKL720918 FUH720901:FUH720918 GED720901:GED720918 GNZ720901:GNZ720918 GXV720901:GXV720918 HHR720901:HHR720918 HRN720901:HRN720918 IBJ720901:IBJ720918 ILF720901:ILF720918 IVB720901:IVB720918 JEX720901:JEX720918 JOT720901:JOT720918 JYP720901:JYP720918 KIL720901:KIL720918 KSH720901:KSH720918 LCD720901:LCD720918 LLZ720901:LLZ720918 LVV720901:LVV720918 MFR720901:MFR720918 MPN720901:MPN720918 MZJ720901:MZJ720918 NJF720901:NJF720918 NTB720901:NTB720918 OCX720901:OCX720918 OMT720901:OMT720918 OWP720901:OWP720918 PGL720901:PGL720918 PQH720901:PQH720918 QAD720901:QAD720918 QJZ720901:QJZ720918 QTV720901:QTV720918 RDR720901:RDR720918 RNN720901:RNN720918 RXJ720901:RXJ720918 SHF720901:SHF720918 SRB720901:SRB720918 TAX720901:TAX720918 TKT720901:TKT720918 TUP720901:TUP720918 UEL720901:UEL720918 UOH720901:UOH720918 UYD720901:UYD720918 VHZ720901:VHZ720918 VRV720901:VRV720918 WBR720901:WBR720918 WLN720901:WLN720918 WVJ720901:WVJ720918 B786437:B786454 IX786437:IX786454 ST786437:ST786454 ACP786437:ACP786454 AML786437:AML786454 AWH786437:AWH786454 BGD786437:BGD786454 BPZ786437:BPZ786454 BZV786437:BZV786454 CJR786437:CJR786454 CTN786437:CTN786454 DDJ786437:DDJ786454 DNF786437:DNF786454 DXB786437:DXB786454 EGX786437:EGX786454 EQT786437:EQT786454 FAP786437:FAP786454 FKL786437:FKL786454 FUH786437:FUH786454 GED786437:GED786454 GNZ786437:GNZ786454 GXV786437:GXV786454 HHR786437:HHR786454 HRN786437:HRN786454 IBJ786437:IBJ786454 ILF786437:ILF786454 IVB786437:IVB786454 JEX786437:JEX786454 JOT786437:JOT786454 JYP786437:JYP786454 KIL786437:KIL786454 KSH786437:KSH786454 LCD786437:LCD786454 LLZ786437:LLZ786454 LVV786437:LVV786454 MFR786437:MFR786454 MPN786437:MPN786454 MZJ786437:MZJ786454 NJF786437:NJF786454 NTB786437:NTB786454 OCX786437:OCX786454 OMT786437:OMT786454 OWP786437:OWP786454 PGL786437:PGL786454 PQH786437:PQH786454 QAD786437:QAD786454 QJZ786437:QJZ786454 QTV786437:QTV786454 RDR786437:RDR786454 RNN786437:RNN786454 RXJ786437:RXJ786454 SHF786437:SHF786454 SRB786437:SRB786454 TAX786437:TAX786454 TKT786437:TKT786454 TUP786437:TUP786454 UEL786437:UEL786454 UOH786437:UOH786454 UYD786437:UYD786454 VHZ786437:VHZ786454 VRV786437:VRV786454 WBR786437:WBR786454 WLN786437:WLN786454 WVJ786437:WVJ786454 B851973:B851990 IX851973:IX851990 ST851973:ST851990 ACP851973:ACP851990 AML851973:AML851990 AWH851973:AWH851990 BGD851973:BGD851990 BPZ851973:BPZ851990 BZV851973:BZV851990 CJR851973:CJR851990 CTN851973:CTN851990 DDJ851973:DDJ851990 DNF851973:DNF851990 DXB851973:DXB851990 EGX851973:EGX851990 EQT851973:EQT851990 FAP851973:FAP851990 FKL851973:FKL851990 FUH851973:FUH851990 GED851973:GED851990 GNZ851973:GNZ851990 GXV851973:GXV851990 HHR851973:HHR851990 HRN851973:HRN851990 IBJ851973:IBJ851990 ILF851973:ILF851990 IVB851973:IVB851990 JEX851973:JEX851990 JOT851973:JOT851990 JYP851973:JYP851990 KIL851973:KIL851990 KSH851973:KSH851990 LCD851973:LCD851990 LLZ851973:LLZ851990 LVV851973:LVV851990 MFR851973:MFR851990 MPN851973:MPN851990 MZJ851973:MZJ851990 NJF851973:NJF851990 NTB851973:NTB851990 OCX851973:OCX851990 OMT851973:OMT851990 OWP851973:OWP851990 PGL851973:PGL851990 PQH851973:PQH851990 QAD851973:QAD851990 QJZ851973:QJZ851990 QTV851973:QTV851990 RDR851973:RDR851990 RNN851973:RNN851990 RXJ851973:RXJ851990 SHF851973:SHF851990 SRB851973:SRB851990 TAX851973:TAX851990 TKT851973:TKT851990 TUP851973:TUP851990 UEL851973:UEL851990 UOH851973:UOH851990 UYD851973:UYD851990 VHZ851973:VHZ851990 VRV851973:VRV851990 WBR851973:WBR851990 WLN851973:WLN851990 WVJ851973:WVJ851990 B917509:B917526 IX917509:IX917526 ST917509:ST917526 ACP917509:ACP917526 AML917509:AML917526 AWH917509:AWH917526 BGD917509:BGD917526 BPZ917509:BPZ917526 BZV917509:BZV917526 CJR917509:CJR917526 CTN917509:CTN917526 DDJ917509:DDJ917526 DNF917509:DNF917526 DXB917509:DXB917526 EGX917509:EGX917526 EQT917509:EQT917526 FAP917509:FAP917526 FKL917509:FKL917526 FUH917509:FUH917526 GED917509:GED917526 GNZ917509:GNZ917526 GXV917509:GXV917526 HHR917509:HHR917526 HRN917509:HRN917526 IBJ917509:IBJ917526 ILF917509:ILF917526 IVB917509:IVB917526 JEX917509:JEX917526 JOT917509:JOT917526 JYP917509:JYP917526 KIL917509:KIL917526 KSH917509:KSH917526 LCD917509:LCD917526 LLZ917509:LLZ917526 LVV917509:LVV917526 MFR917509:MFR917526 MPN917509:MPN917526 MZJ917509:MZJ917526 NJF917509:NJF917526 NTB917509:NTB917526 OCX917509:OCX917526 OMT917509:OMT917526 OWP917509:OWP917526 PGL917509:PGL917526 PQH917509:PQH917526 QAD917509:QAD917526 QJZ917509:QJZ917526 QTV917509:QTV917526 RDR917509:RDR917526 RNN917509:RNN917526 RXJ917509:RXJ917526 SHF917509:SHF917526 SRB917509:SRB917526 TAX917509:TAX917526 TKT917509:TKT917526 TUP917509:TUP917526 UEL917509:UEL917526 UOH917509:UOH917526 UYD917509:UYD917526 VHZ917509:VHZ917526 VRV917509:VRV917526 WBR917509:WBR917526 WLN917509:WLN917526 WVJ917509:WVJ917526" xr:uid="{00000000-0002-0000-0700-000000000000}">
      <formula1>trung</formula1>
    </dataValidation>
    <dataValidation type="list" allowBlank="1" showInputMessage="1" showErrorMessage="1" sqref="B19:B21" xr:uid="{00000000-0002-0000-0700-000001000000}">
      <formula1>bichphuong</formula1>
    </dataValidation>
  </dataValidation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3"/>
  <dimension ref="A1:C41"/>
  <sheetViews>
    <sheetView workbookViewId="0">
      <selection activeCell="C1" sqref="C1"/>
    </sheetView>
  </sheetViews>
  <sheetFormatPr defaultColWidth="7.09765625" defaultRowHeight="13.2"/>
  <cols>
    <col min="1" max="1" width="23.09765625" style="2" customWidth="1"/>
    <col min="2" max="2" width="1" style="2" customWidth="1"/>
    <col min="3" max="3" width="25" style="2" customWidth="1"/>
    <col min="4" max="16384" width="7.09765625" style="2"/>
  </cols>
  <sheetData>
    <row r="1" spans="1:3" ht="15">
      <c r="A1" s="1" t="s">
        <v>12</v>
      </c>
      <c r="C1"/>
    </row>
    <row r="2" spans="1:3" ht="13.8" thickBot="1">
      <c r="A2" s="1" t="s">
        <v>0</v>
      </c>
    </row>
    <row r="3" spans="1:3" ht="13.8" thickBot="1">
      <c r="A3" s="3" t="s">
        <v>1</v>
      </c>
      <c r="C3" s="4" t="s">
        <v>2</v>
      </c>
    </row>
    <row r="4" spans="1:3" ht="15">
      <c r="A4" s="3">
        <v>3</v>
      </c>
      <c r="C4"/>
    </row>
    <row r="5" spans="1:3" ht="15">
      <c r="C5"/>
    </row>
    <row r="6" spans="1:3" ht="15.6" thickBot="1">
      <c r="C6"/>
    </row>
    <row r="7" spans="1:3" ht="15">
      <c r="A7" s="5" t="s">
        <v>3</v>
      </c>
      <c r="C7"/>
    </row>
    <row r="8" spans="1:3" ht="15">
      <c r="A8" s="6" t="s">
        <v>4</v>
      </c>
      <c r="C8"/>
    </row>
    <row r="9" spans="1:3" ht="15">
      <c r="A9" s="7" t="s">
        <v>5</v>
      </c>
      <c r="C9"/>
    </row>
    <row r="10" spans="1:3" ht="15">
      <c r="A10" s="6" t="s">
        <v>6</v>
      </c>
      <c r="C10"/>
    </row>
    <row r="11" spans="1:3" ht="15.6" thickBot="1">
      <c r="A11" s="8" t="s">
        <v>7</v>
      </c>
      <c r="C11"/>
    </row>
    <row r="12" spans="1:3" ht="15">
      <c r="C12"/>
    </row>
    <row r="13" spans="1:3" ht="15.6" thickBot="1">
      <c r="C13"/>
    </row>
    <row r="14" spans="1:3" ht="15.6" thickBot="1">
      <c r="A14" s="4" t="s">
        <v>8</v>
      </c>
      <c r="C14"/>
    </row>
    <row r="15" spans="1:3" ht="15">
      <c r="A15"/>
    </row>
    <row r="16" spans="1:3" ht="15.6" thickBot="1">
      <c r="A16"/>
    </row>
    <row r="17" spans="1:3" ht="15.6" thickBot="1">
      <c r="A17"/>
      <c r="C17" s="4" t="s">
        <v>9</v>
      </c>
    </row>
    <row r="18" spans="1:3" ht="15">
      <c r="C18"/>
    </row>
    <row r="19" spans="1:3" ht="15">
      <c r="C19"/>
    </row>
    <row r="20" spans="1:3" ht="15">
      <c r="A20" s="9" t="s">
        <v>10</v>
      </c>
      <c r="C20"/>
    </row>
    <row r="21" spans="1:3" ht="15">
      <c r="A21"/>
      <c r="C21"/>
    </row>
    <row r="22" spans="1:3" ht="15">
      <c r="A22"/>
      <c r="C22"/>
    </row>
    <row r="23" spans="1:3" ht="15">
      <c r="A23"/>
      <c r="C23"/>
    </row>
    <row r="24" spans="1:3" ht="15">
      <c r="A24"/>
    </row>
    <row r="25" spans="1:3" ht="15">
      <c r="A25"/>
    </row>
    <row r="26" spans="1:3" ht="15.6" thickBot="1">
      <c r="A26"/>
      <c r="C26" s="10" t="s">
        <v>11</v>
      </c>
    </row>
    <row r="27" spans="1:3" ht="15">
      <c r="A27"/>
      <c r="C27"/>
    </row>
    <row r="28" spans="1:3" ht="15">
      <c r="A28"/>
      <c r="C28"/>
    </row>
    <row r="29" spans="1:3" ht="15">
      <c r="A29"/>
      <c r="C29"/>
    </row>
    <row r="30" spans="1:3" ht="15">
      <c r="A30"/>
      <c r="C30"/>
    </row>
    <row r="31" spans="1:3" ht="15">
      <c r="A31"/>
      <c r="C31"/>
    </row>
    <row r="32" spans="1:3" ht="15">
      <c r="A32"/>
      <c r="C32"/>
    </row>
    <row r="33" spans="1:3" ht="15">
      <c r="A33"/>
      <c r="C33"/>
    </row>
    <row r="34" spans="1:3" ht="15">
      <c r="A34"/>
      <c r="C34"/>
    </row>
    <row r="35" spans="1:3" ht="15">
      <c r="A35"/>
      <c r="C35"/>
    </row>
    <row r="36" spans="1:3" ht="15">
      <c r="A36"/>
      <c r="C36"/>
    </row>
    <row r="37" spans="1:3" ht="15">
      <c r="A37"/>
    </row>
    <row r="38" spans="1:3" ht="15">
      <c r="A38"/>
    </row>
    <row r="39" spans="1:3" ht="15">
      <c r="A39"/>
      <c r="C39"/>
    </row>
    <row r="40" spans="1:3" ht="15">
      <c r="A40"/>
      <c r="C40"/>
    </row>
    <row r="41" spans="1:3" ht="15">
      <c r="A41"/>
      <c r="C41"/>
    </row>
  </sheetData>
  <sheetProtection password="8863" sheet="1" objects="1"/>
  <phoneticPr fontId="25"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O315"/>
  <sheetViews>
    <sheetView topLeftCell="A10" workbookViewId="0">
      <selection activeCell="C35" sqref="C35"/>
    </sheetView>
  </sheetViews>
  <sheetFormatPr defaultColWidth="40.5" defaultRowHeight="15" customHeight="1" zeroHeight="1"/>
  <cols>
    <col min="1" max="1" width="4.19921875" style="16" customWidth="1"/>
    <col min="2" max="2" width="25.59765625" style="16" customWidth="1"/>
    <col min="3" max="3" width="5" style="87" customWidth="1"/>
    <col min="4" max="4" width="6.19921875" style="88" customWidth="1"/>
    <col min="5" max="5" width="10.8984375" style="89" customWidth="1"/>
    <col min="6" max="6" width="5.8984375" style="87" customWidth="1"/>
    <col min="7" max="7" width="12.09765625" style="89" customWidth="1"/>
    <col min="8" max="8" width="8.59765625" style="16" customWidth="1"/>
    <col min="9" max="248" width="0" style="16" hidden="1" customWidth="1"/>
    <col min="249" max="249" width="9.09765625" style="16" customWidth="1"/>
    <col min="250" max="250" width="3.5" style="16" customWidth="1"/>
    <col min="251" max="251" width="6.09765625" style="16" customWidth="1"/>
    <col min="252" max="252" width="4" style="16" customWidth="1"/>
    <col min="253" max="253" width="8.5" style="16" customWidth="1"/>
    <col min="254" max="254" width="9.765625E-2" style="16" customWidth="1"/>
    <col min="255" max="255" width="0.5" style="16" customWidth="1"/>
    <col min="256" max="256" width="40.5" style="16"/>
    <col min="257" max="257" width="4.19921875" style="16" customWidth="1"/>
    <col min="258" max="258" width="25.59765625" style="16" customWidth="1"/>
    <col min="259" max="259" width="5" style="16" customWidth="1"/>
    <col min="260" max="260" width="6.19921875" style="16" customWidth="1"/>
    <col min="261" max="261" width="10.8984375" style="16" customWidth="1"/>
    <col min="262" max="262" width="5.8984375" style="16" customWidth="1"/>
    <col min="263" max="263" width="12.09765625" style="16" customWidth="1"/>
    <col min="264" max="264" width="8.59765625" style="16" customWidth="1"/>
    <col min="265" max="504" width="0" style="16" hidden="1" customWidth="1"/>
    <col min="505" max="505" width="9.09765625" style="16" customWidth="1"/>
    <col min="506" max="506" width="3.5" style="16" customWidth="1"/>
    <col min="507" max="507" width="6.09765625" style="16" customWidth="1"/>
    <col min="508" max="508" width="4" style="16" customWidth="1"/>
    <col min="509" max="509" width="8.5" style="16" customWidth="1"/>
    <col min="510" max="510" width="9.765625E-2" style="16" customWidth="1"/>
    <col min="511" max="511" width="0.5" style="16" customWidth="1"/>
    <col min="512" max="512" width="40.5" style="16"/>
    <col min="513" max="513" width="4.19921875" style="16" customWidth="1"/>
    <col min="514" max="514" width="25.59765625" style="16" customWidth="1"/>
    <col min="515" max="515" width="5" style="16" customWidth="1"/>
    <col min="516" max="516" width="6.19921875" style="16" customWidth="1"/>
    <col min="517" max="517" width="10.8984375" style="16" customWidth="1"/>
    <col min="518" max="518" width="5.8984375" style="16" customWidth="1"/>
    <col min="519" max="519" width="12.09765625" style="16" customWidth="1"/>
    <col min="520" max="520" width="8.59765625" style="16" customWidth="1"/>
    <col min="521" max="760" width="0" style="16" hidden="1" customWidth="1"/>
    <col min="761" max="761" width="9.09765625" style="16" customWidth="1"/>
    <col min="762" max="762" width="3.5" style="16" customWidth="1"/>
    <col min="763" max="763" width="6.09765625" style="16" customWidth="1"/>
    <col min="764" max="764" width="4" style="16" customWidth="1"/>
    <col min="765" max="765" width="8.5" style="16" customWidth="1"/>
    <col min="766" max="766" width="9.765625E-2" style="16" customWidth="1"/>
    <col min="767" max="767" width="0.5" style="16" customWidth="1"/>
    <col min="768" max="768" width="40.5" style="16"/>
    <col min="769" max="769" width="4.19921875" style="16" customWidth="1"/>
    <col min="770" max="770" width="25.59765625" style="16" customWidth="1"/>
    <col min="771" max="771" width="5" style="16" customWidth="1"/>
    <col min="772" max="772" width="6.19921875" style="16" customWidth="1"/>
    <col min="773" max="773" width="10.8984375" style="16" customWidth="1"/>
    <col min="774" max="774" width="5.8984375" style="16" customWidth="1"/>
    <col min="775" max="775" width="12.09765625" style="16" customWidth="1"/>
    <col min="776" max="776" width="8.59765625" style="16" customWidth="1"/>
    <col min="777" max="1016" width="0" style="16" hidden="1" customWidth="1"/>
    <col min="1017" max="1017" width="9.09765625" style="16" customWidth="1"/>
    <col min="1018" max="1018" width="3.5" style="16" customWidth="1"/>
    <col min="1019" max="1019" width="6.09765625" style="16" customWidth="1"/>
    <col min="1020" max="1020" width="4" style="16" customWidth="1"/>
    <col min="1021" max="1021" width="8.5" style="16" customWidth="1"/>
    <col min="1022" max="1022" width="9.765625E-2" style="16" customWidth="1"/>
    <col min="1023" max="1023" width="0.5" style="16" customWidth="1"/>
    <col min="1024" max="1024" width="40.5" style="16"/>
    <col min="1025" max="1025" width="4.19921875" style="16" customWidth="1"/>
    <col min="1026" max="1026" width="25.59765625" style="16" customWidth="1"/>
    <col min="1027" max="1027" width="5" style="16" customWidth="1"/>
    <col min="1028" max="1028" width="6.19921875" style="16" customWidth="1"/>
    <col min="1029" max="1029" width="10.8984375" style="16" customWidth="1"/>
    <col min="1030" max="1030" width="5.8984375" style="16" customWidth="1"/>
    <col min="1031" max="1031" width="12.09765625" style="16" customWidth="1"/>
    <col min="1032" max="1032" width="8.59765625" style="16" customWidth="1"/>
    <col min="1033" max="1272" width="0" style="16" hidden="1" customWidth="1"/>
    <col min="1273" max="1273" width="9.09765625" style="16" customWidth="1"/>
    <col min="1274" max="1274" width="3.5" style="16" customWidth="1"/>
    <col min="1275" max="1275" width="6.09765625" style="16" customWidth="1"/>
    <col min="1276" max="1276" width="4" style="16" customWidth="1"/>
    <col min="1277" max="1277" width="8.5" style="16" customWidth="1"/>
    <col min="1278" max="1278" width="9.765625E-2" style="16" customWidth="1"/>
    <col min="1279" max="1279" width="0.5" style="16" customWidth="1"/>
    <col min="1280" max="1280" width="40.5" style="16"/>
    <col min="1281" max="1281" width="4.19921875" style="16" customWidth="1"/>
    <col min="1282" max="1282" width="25.59765625" style="16" customWidth="1"/>
    <col min="1283" max="1283" width="5" style="16" customWidth="1"/>
    <col min="1284" max="1284" width="6.19921875" style="16" customWidth="1"/>
    <col min="1285" max="1285" width="10.8984375" style="16" customWidth="1"/>
    <col min="1286" max="1286" width="5.8984375" style="16" customWidth="1"/>
    <col min="1287" max="1287" width="12.09765625" style="16" customWidth="1"/>
    <col min="1288" max="1288" width="8.59765625" style="16" customWidth="1"/>
    <col min="1289" max="1528" width="0" style="16" hidden="1" customWidth="1"/>
    <col min="1529" max="1529" width="9.09765625" style="16" customWidth="1"/>
    <col min="1530" max="1530" width="3.5" style="16" customWidth="1"/>
    <col min="1531" max="1531" width="6.09765625" style="16" customWidth="1"/>
    <col min="1532" max="1532" width="4" style="16" customWidth="1"/>
    <col min="1533" max="1533" width="8.5" style="16" customWidth="1"/>
    <col min="1534" max="1534" width="9.765625E-2" style="16" customWidth="1"/>
    <col min="1535" max="1535" width="0.5" style="16" customWidth="1"/>
    <col min="1536" max="1536" width="40.5" style="16"/>
    <col min="1537" max="1537" width="4.19921875" style="16" customWidth="1"/>
    <col min="1538" max="1538" width="25.59765625" style="16" customWidth="1"/>
    <col min="1539" max="1539" width="5" style="16" customWidth="1"/>
    <col min="1540" max="1540" width="6.19921875" style="16" customWidth="1"/>
    <col min="1541" max="1541" width="10.8984375" style="16" customWidth="1"/>
    <col min="1542" max="1542" width="5.8984375" style="16" customWidth="1"/>
    <col min="1543" max="1543" width="12.09765625" style="16" customWidth="1"/>
    <col min="1544" max="1544" width="8.59765625" style="16" customWidth="1"/>
    <col min="1545" max="1784" width="0" style="16" hidden="1" customWidth="1"/>
    <col min="1785" max="1785" width="9.09765625" style="16" customWidth="1"/>
    <col min="1786" max="1786" width="3.5" style="16" customWidth="1"/>
    <col min="1787" max="1787" width="6.09765625" style="16" customWidth="1"/>
    <col min="1788" max="1788" width="4" style="16" customWidth="1"/>
    <col min="1789" max="1789" width="8.5" style="16" customWidth="1"/>
    <col min="1790" max="1790" width="9.765625E-2" style="16" customWidth="1"/>
    <col min="1791" max="1791" width="0.5" style="16" customWidth="1"/>
    <col min="1792" max="1792" width="40.5" style="16"/>
    <col min="1793" max="1793" width="4.19921875" style="16" customWidth="1"/>
    <col min="1794" max="1794" width="25.59765625" style="16" customWidth="1"/>
    <col min="1795" max="1795" width="5" style="16" customWidth="1"/>
    <col min="1796" max="1796" width="6.19921875" style="16" customWidth="1"/>
    <col min="1797" max="1797" width="10.8984375" style="16" customWidth="1"/>
    <col min="1798" max="1798" width="5.8984375" style="16" customWidth="1"/>
    <col min="1799" max="1799" width="12.09765625" style="16" customWidth="1"/>
    <col min="1800" max="1800" width="8.59765625" style="16" customWidth="1"/>
    <col min="1801" max="2040" width="0" style="16" hidden="1" customWidth="1"/>
    <col min="2041" max="2041" width="9.09765625" style="16" customWidth="1"/>
    <col min="2042" max="2042" width="3.5" style="16" customWidth="1"/>
    <col min="2043" max="2043" width="6.09765625" style="16" customWidth="1"/>
    <col min="2044" max="2044" width="4" style="16" customWidth="1"/>
    <col min="2045" max="2045" width="8.5" style="16" customWidth="1"/>
    <col min="2046" max="2046" width="9.765625E-2" style="16" customWidth="1"/>
    <col min="2047" max="2047" width="0.5" style="16" customWidth="1"/>
    <col min="2048" max="2048" width="40.5" style="16"/>
    <col min="2049" max="2049" width="4.19921875" style="16" customWidth="1"/>
    <col min="2050" max="2050" width="25.59765625" style="16" customWidth="1"/>
    <col min="2051" max="2051" width="5" style="16" customWidth="1"/>
    <col min="2052" max="2052" width="6.19921875" style="16" customWidth="1"/>
    <col min="2053" max="2053" width="10.8984375" style="16" customWidth="1"/>
    <col min="2054" max="2054" width="5.8984375" style="16" customWidth="1"/>
    <col min="2055" max="2055" width="12.09765625" style="16" customWidth="1"/>
    <col min="2056" max="2056" width="8.59765625" style="16" customWidth="1"/>
    <col min="2057" max="2296" width="0" style="16" hidden="1" customWidth="1"/>
    <col min="2297" max="2297" width="9.09765625" style="16" customWidth="1"/>
    <col min="2298" max="2298" width="3.5" style="16" customWidth="1"/>
    <col min="2299" max="2299" width="6.09765625" style="16" customWidth="1"/>
    <col min="2300" max="2300" width="4" style="16" customWidth="1"/>
    <col min="2301" max="2301" width="8.5" style="16" customWidth="1"/>
    <col min="2302" max="2302" width="9.765625E-2" style="16" customWidth="1"/>
    <col min="2303" max="2303" width="0.5" style="16" customWidth="1"/>
    <col min="2304" max="2304" width="40.5" style="16"/>
    <col min="2305" max="2305" width="4.19921875" style="16" customWidth="1"/>
    <col min="2306" max="2306" width="25.59765625" style="16" customWidth="1"/>
    <col min="2307" max="2307" width="5" style="16" customWidth="1"/>
    <col min="2308" max="2308" width="6.19921875" style="16" customWidth="1"/>
    <col min="2309" max="2309" width="10.8984375" style="16" customWidth="1"/>
    <col min="2310" max="2310" width="5.8984375" style="16" customWidth="1"/>
    <col min="2311" max="2311" width="12.09765625" style="16" customWidth="1"/>
    <col min="2312" max="2312" width="8.59765625" style="16" customWidth="1"/>
    <col min="2313" max="2552" width="0" style="16" hidden="1" customWidth="1"/>
    <col min="2553" max="2553" width="9.09765625" style="16" customWidth="1"/>
    <col min="2554" max="2554" width="3.5" style="16" customWidth="1"/>
    <col min="2555" max="2555" width="6.09765625" style="16" customWidth="1"/>
    <col min="2556" max="2556" width="4" style="16" customWidth="1"/>
    <col min="2557" max="2557" width="8.5" style="16" customWidth="1"/>
    <col min="2558" max="2558" width="9.765625E-2" style="16" customWidth="1"/>
    <col min="2559" max="2559" width="0.5" style="16" customWidth="1"/>
    <col min="2560" max="2560" width="40.5" style="16"/>
    <col min="2561" max="2561" width="4.19921875" style="16" customWidth="1"/>
    <col min="2562" max="2562" width="25.59765625" style="16" customWidth="1"/>
    <col min="2563" max="2563" width="5" style="16" customWidth="1"/>
    <col min="2564" max="2564" width="6.19921875" style="16" customWidth="1"/>
    <col min="2565" max="2565" width="10.8984375" style="16" customWidth="1"/>
    <col min="2566" max="2566" width="5.8984375" style="16" customWidth="1"/>
    <col min="2567" max="2567" width="12.09765625" style="16" customWidth="1"/>
    <col min="2568" max="2568" width="8.59765625" style="16" customWidth="1"/>
    <col min="2569" max="2808" width="0" style="16" hidden="1" customWidth="1"/>
    <col min="2809" max="2809" width="9.09765625" style="16" customWidth="1"/>
    <col min="2810" max="2810" width="3.5" style="16" customWidth="1"/>
    <col min="2811" max="2811" width="6.09765625" style="16" customWidth="1"/>
    <col min="2812" max="2812" width="4" style="16" customWidth="1"/>
    <col min="2813" max="2813" width="8.5" style="16" customWidth="1"/>
    <col min="2814" max="2814" width="9.765625E-2" style="16" customWidth="1"/>
    <col min="2815" max="2815" width="0.5" style="16" customWidth="1"/>
    <col min="2816" max="2816" width="40.5" style="16"/>
    <col min="2817" max="2817" width="4.19921875" style="16" customWidth="1"/>
    <col min="2818" max="2818" width="25.59765625" style="16" customWidth="1"/>
    <col min="2819" max="2819" width="5" style="16" customWidth="1"/>
    <col min="2820" max="2820" width="6.19921875" style="16" customWidth="1"/>
    <col min="2821" max="2821" width="10.8984375" style="16" customWidth="1"/>
    <col min="2822" max="2822" width="5.8984375" style="16" customWidth="1"/>
    <col min="2823" max="2823" width="12.09765625" style="16" customWidth="1"/>
    <col min="2824" max="2824" width="8.59765625" style="16" customWidth="1"/>
    <col min="2825" max="3064" width="0" style="16" hidden="1" customWidth="1"/>
    <col min="3065" max="3065" width="9.09765625" style="16" customWidth="1"/>
    <col min="3066" max="3066" width="3.5" style="16" customWidth="1"/>
    <col min="3067" max="3067" width="6.09765625" style="16" customWidth="1"/>
    <col min="3068" max="3068" width="4" style="16" customWidth="1"/>
    <col min="3069" max="3069" width="8.5" style="16" customWidth="1"/>
    <col min="3070" max="3070" width="9.765625E-2" style="16" customWidth="1"/>
    <col min="3071" max="3071" width="0.5" style="16" customWidth="1"/>
    <col min="3072" max="3072" width="40.5" style="16"/>
    <col min="3073" max="3073" width="4.19921875" style="16" customWidth="1"/>
    <col min="3074" max="3074" width="25.59765625" style="16" customWidth="1"/>
    <col min="3075" max="3075" width="5" style="16" customWidth="1"/>
    <col min="3076" max="3076" width="6.19921875" style="16" customWidth="1"/>
    <col min="3077" max="3077" width="10.8984375" style="16" customWidth="1"/>
    <col min="3078" max="3078" width="5.8984375" style="16" customWidth="1"/>
    <col min="3079" max="3079" width="12.09765625" style="16" customWidth="1"/>
    <col min="3080" max="3080" width="8.59765625" style="16" customWidth="1"/>
    <col min="3081" max="3320" width="0" style="16" hidden="1" customWidth="1"/>
    <col min="3321" max="3321" width="9.09765625" style="16" customWidth="1"/>
    <col min="3322" max="3322" width="3.5" style="16" customWidth="1"/>
    <col min="3323" max="3323" width="6.09765625" style="16" customWidth="1"/>
    <col min="3324" max="3324" width="4" style="16" customWidth="1"/>
    <col min="3325" max="3325" width="8.5" style="16" customWidth="1"/>
    <col min="3326" max="3326" width="9.765625E-2" style="16" customWidth="1"/>
    <col min="3327" max="3327" width="0.5" style="16" customWidth="1"/>
    <col min="3328" max="3328" width="40.5" style="16"/>
    <col min="3329" max="3329" width="4.19921875" style="16" customWidth="1"/>
    <col min="3330" max="3330" width="25.59765625" style="16" customWidth="1"/>
    <col min="3331" max="3331" width="5" style="16" customWidth="1"/>
    <col min="3332" max="3332" width="6.19921875" style="16" customWidth="1"/>
    <col min="3333" max="3333" width="10.8984375" style="16" customWidth="1"/>
    <col min="3334" max="3334" width="5.8984375" style="16" customWidth="1"/>
    <col min="3335" max="3335" width="12.09765625" style="16" customWidth="1"/>
    <col min="3336" max="3336" width="8.59765625" style="16" customWidth="1"/>
    <col min="3337" max="3576" width="0" style="16" hidden="1" customWidth="1"/>
    <col min="3577" max="3577" width="9.09765625" style="16" customWidth="1"/>
    <col min="3578" max="3578" width="3.5" style="16" customWidth="1"/>
    <col min="3579" max="3579" width="6.09765625" style="16" customWidth="1"/>
    <col min="3580" max="3580" width="4" style="16" customWidth="1"/>
    <col min="3581" max="3581" width="8.5" style="16" customWidth="1"/>
    <col min="3582" max="3582" width="9.765625E-2" style="16" customWidth="1"/>
    <col min="3583" max="3583" width="0.5" style="16" customWidth="1"/>
    <col min="3584" max="3584" width="40.5" style="16"/>
    <col min="3585" max="3585" width="4.19921875" style="16" customWidth="1"/>
    <col min="3586" max="3586" width="25.59765625" style="16" customWidth="1"/>
    <col min="3587" max="3587" width="5" style="16" customWidth="1"/>
    <col min="3588" max="3588" width="6.19921875" style="16" customWidth="1"/>
    <col min="3589" max="3589" width="10.8984375" style="16" customWidth="1"/>
    <col min="3590" max="3590" width="5.8984375" style="16" customWidth="1"/>
    <col min="3591" max="3591" width="12.09765625" style="16" customWidth="1"/>
    <col min="3592" max="3592" width="8.59765625" style="16" customWidth="1"/>
    <col min="3593" max="3832" width="0" style="16" hidden="1" customWidth="1"/>
    <col min="3833" max="3833" width="9.09765625" style="16" customWidth="1"/>
    <col min="3834" max="3834" width="3.5" style="16" customWidth="1"/>
    <col min="3835" max="3835" width="6.09765625" style="16" customWidth="1"/>
    <col min="3836" max="3836" width="4" style="16" customWidth="1"/>
    <col min="3837" max="3837" width="8.5" style="16" customWidth="1"/>
    <col min="3838" max="3838" width="9.765625E-2" style="16" customWidth="1"/>
    <col min="3839" max="3839" width="0.5" style="16" customWidth="1"/>
    <col min="3840" max="3840" width="40.5" style="16"/>
    <col min="3841" max="3841" width="4.19921875" style="16" customWidth="1"/>
    <col min="3842" max="3842" width="25.59765625" style="16" customWidth="1"/>
    <col min="3843" max="3843" width="5" style="16" customWidth="1"/>
    <col min="3844" max="3844" width="6.19921875" style="16" customWidth="1"/>
    <col min="3845" max="3845" width="10.8984375" style="16" customWidth="1"/>
    <col min="3846" max="3846" width="5.8984375" style="16" customWidth="1"/>
    <col min="3847" max="3847" width="12.09765625" style="16" customWidth="1"/>
    <col min="3848" max="3848" width="8.59765625" style="16" customWidth="1"/>
    <col min="3849" max="4088" width="0" style="16" hidden="1" customWidth="1"/>
    <col min="4089" max="4089" width="9.09765625" style="16" customWidth="1"/>
    <col min="4090" max="4090" width="3.5" style="16" customWidth="1"/>
    <col min="4091" max="4091" width="6.09765625" style="16" customWidth="1"/>
    <col min="4092" max="4092" width="4" style="16" customWidth="1"/>
    <col min="4093" max="4093" width="8.5" style="16" customWidth="1"/>
    <col min="4094" max="4094" width="9.765625E-2" style="16" customWidth="1"/>
    <col min="4095" max="4095" width="0.5" style="16" customWidth="1"/>
    <col min="4096" max="4096" width="40.5" style="16"/>
    <col min="4097" max="4097" width="4.19921875" style="16" customWidth="1"/>
    <col min="4098" max="4098" width="25.59765625" style="16" customWidth="1"/>
    <col min="4099" max="4099" width="5" style="16" customWidth="1"/>
    <col min="4100" max="4100" width="6.19921875" style="16" customWidth="1"/>
    <col min="4101" max="4101" width="10.8984375" style="16" customWidth="1"/>
    <col min="4102" max="4102" width="5.8984375" style="16" customWidth="1"/>
    <col min="4103" max="4103" width="12.09765625" style="16" customWidth="1"/>
    <col min="4104" max="4104" width="8.59765625" style="16" customWidth="1"/>
    <col min="4105" max="4344" width="0" style="16" hidden="1" customWidth="1"/>
    <col min="4345" max="4345" width="9.09765625" style="16" customWidth="1"/>
    <col min="4346" max="4346" width="3.5" style="16" customWidth="1"/>
    <col min="4347" max="4347" width="6.09765625" style="16" customWidth="1"/>
    <col min="4348" max="4348" width="4" style="16" customWidth="1"/>
    <col min="4349" max="4349" width="8.5" style="16" customWidth="1"/>
    <col min="4350" max="4350" width="9.765625E-2" style="16" customWidth="1"/>
    <col min="4351" max="4351" width="0.5" style="16" customWidth="1"/>
    <col min="4352" max="4352" width="40.5" style="16"/>
    <col min="4353" max="4353" width="4.19921875" style="16" customWidth="1"/>
    <col min="4354" max="4354" width="25.59765625" style="16" customWidth="1"/>
    <col min="4355" max="4355" width="5" style="16" customWidth="1"/>
    <col min="4356" max="4356" width="6.19921875" style="16" customWidth="1"/>
    <col min="4357" max="4357" width="10.8984375" style="16" customWidth="1"/>
    <col min="4358" max="4358" width="5.8984375" style="16" customWidth="1"/>
    <col min="4359" max="4359" width="12.09765625" style="16" customWidth="1"/>
    <col min="4360" max="4360" width="8.59765625" style="16" customWidth="1"/>
    <col min="4361" max="4600" width="0" style="16" hidden="1" customWidth="1"/>
    <col min="4601" max="4601" width="9.09765625" style="16" customWidth="1"/>
    <col min="4602" max="4602" width="3.5" style="16" customWidth="1"/>
    <col min="4603" max="4603" width="6.09765625" style="16" customWidth="1"/>
    <col min="4604" max="4604" width="4" style="16" customWidth="1"/>
    <col min="4605" max="4605" width="8.5" style="16" customWidth="1"/>
    <col min="4606" max="4606" width="9.765625E-2" style="16" customWidth="1"/>
    <col min="4607" max="4607" width="0.5" style="16" customWidth="1"/>
    <col min="4608" max="4608" width="40.5" style="16"/>
    <col min="4609" max="4609" width="4.19921875" style="16" customWidth="1"/>
    <col min="4610" max="4610" width="25.59765625" style="16" customWidth="1"/>
    <col min="4611" max="4611" width="5" style="16" customWidth="1"/>
    <col min="4612" max="4612" width="6.19921875" style="16" customWidth="1"/>
    <col min="4613" max="4613" width="10.8984375" style="16" customWidth="1"/>
    <col min="4614" max="4614" width="5.8984375" style="16" customWidth="1"/>
    <col min="4615" max="4615" width="12.09765625" style="16" customWidth="1"/>
    <col min="4616" max="4616" width="8.59765625" style="16" customWidth="1"/>
    <col min="4617" max="4856" width="0" style="16" hidden="1" customWidth="1"/>
    <col min="4857" max="4857" width="9.09765625" style="16" customWidth="1"/>
    <col min="4858" max="4858" width="3.5" style="16" customWidth="1"/>
    <col min="4859" max="4859" width="6.09765625" style="16" customWidth="1"/>
    <col min="4860" max="4860" width="4" style="16" customWidth="1"/>
    <col min="4861" max="4861" width="8.5" style="16" customWidth="1"/>
    <col min="4862" max="4862" width="9.765625E-2" style="16" customWidth="1"/>
    <col min="4863" max="4863" width="0.5" style="16" customWidth="1"/>
    <col min="4864" max="4864" width="40.5" style="16"/>
    <col min="4865" max="4865" width="4.19921875" style="16" customWidth="1"/>
    <col min="4866" max="4866" width="25.59765625" style="16" customWidth="1"/>
    <col min="4867" max="4867" width="5" style="16" customWidth="1"/>
    <col min="4868" max="4868" width="6.19921875" style="16" customWidth="1"/>
    <col min="4869" max="4869" width="10.8984375" style="16" customWidth="1"/>
    <col min="4870" max="4870" width="5.8984375" style="16" customWidth="1"/>
    <col min="4871" max="4871" width="12.09765625" style="16" customWidth="1"/>
    <col min="4872" max="4872" width="8.59765625" style="16" customWidth="1"/>
    <col min="4873" max="5112" width="0" style="16" hidden="1" customWidth="1"/>
    <col min="5113" max="5113" width="9.09765625" style="16" customWidth="1"/>
    <col min="5114" max="5114" width="3.5" style="16" customWidth="1"/>
    <col min="5115" max="5115" width="6.09765625" style="16" customWidth="1"/>
    <col min="5116" max="5116" width="4" style="16" customWidth="1"/>
    <col min="5117" max="5117" width="8.5" style="16" customWidth="1"/>
    <col min="5118" max="5118" width="9.765625E-2" style="16" customWidth="1"/>
    <col min="5119" max="5119" width="0.5" style="16" customWidth="1"/>
    <col min="5120" max="5120" width="40.5" style="16"/>
    <col min="5121" max="5121" width="4.19921875" style="16" customWidth="1"/>
    <col min="5122" max="5122" width="25.59765625" style="16" customWidth="1"/>
    <col min="5123" max="5123" width="5" style="16" customWidth="1"/>
    <col min="5124" max="5124" width="6.19921875" style="16" customWidth="1"/>
    <col min="5125" max="5125" width="10.8984375" style="16" customWidth="1"/>
    <col min="5126" max="5126" width="5.8984375" style="16" customWidth="1"/>
    <col min="5127" max="5127" width="12.09765625" style="16" customWidth="1"/>
    <col min="5128" max="5128" width="8.59765625" style="16" customWidth="1"/>
    <col min="5129" max="5368" width="0" style="16" hidden="1" customWidth="1"/>
    <col min="5369" max="5369" width="9.09765625" style="16" customWidth="1"/>
    <col min="5370" max="5370" width="3.5" style="16" customWidth="1"/>
    <col min="5371" max="5371" width="6.09765625" style="16" customWidth="1"/>
    <col min="5372" max="5372" width="4" style="16" customWidth="1"/>
    <col min="5373" max="5373" width="8.5" style="16" customWidth="1"/>
    <col min="5374" max="5374" width="9.765625E-2" style="16" customWidth="1"/>
    <col min="5375" max="5375" width="0.5" style="16" customWidth="1"/>
    <col min="5376" max="5376" width="40.5" style="16"/>
    <col min="5377" max="5377" width="4.19921875" style="16" customWidth="1"/>
    <col min="5378" max="5378" width="25.59765625" style="16" customWidth="1"/>
    <col min="5379" max="5379" width="5" style="16" customWidth="1"/>
    <col min="5380" max="5380" width="6.19921875" style="16" customWidth="1"/>
    <col min="5381" max="5381" width="10.8984375" style="16" customWidth="1"/>
    <col min="5382" max="5382" width="5.8984375" style="16" customWidth="1"/>
    <col min="5383" max="5383" width="12.09765625" style="16" customWidth="1"/>
    <col min="5384" max="5384" width="8.59765625" style="16" customWidth="1"/>
    <col min="5385" max="5624" width="0" style="16" hidden="1" customWidth="1"/>
    <col min="5625" max="5625" width="9.09765625" style="16" customWidth="1"/>
    <col min="5626" max="5626" width="3.5" style="16" customWidth="1"/>
    <col min="5627" max="5627" width="6.09765625" style="16" customWidth="1"/>
    <col min="5628" max="5628" width="4" style="16" customWidth="1"/>
    <col min="5629" max="5629" width="8.5" style="16" customWidth="1"/>
    <col min="5630" max="5630" width="9.765625E-2" style="16" customWidth="1"/>
    <col min="5631" max="5631" width="0.5" style="16" customWidth="1"/>
    <col min="5632" max="5632" width="40.5" style="16"/>
    <col min="5633" max="5633" width="4.19921875" style="16" customWidth="1"/>
    <col min="5634" max="5634" width="25.59765625" style="16" customWidth="1"/>
    <col min="5635" max="5635" width="5" style="16" customWidth="1"/>
    <col min="5636" max="5636" width="6.19921875" style="16" customWidth="1"/>
    <col min="5637" max="5637" width="10.8984375" style="16" customWidth="1"/>
    <col min="5638" max="5638" width="5.8984375" style="16" customWidth="1"/>
    <col min="5639" max="5639" width="12.09765625" style="16" customWidth="1"/>
    <col min="5640" max="5640" width="8.59765625" style="16" customWidth="1"/>
    <col min="5641" max="5880" width="0" style="16" hidden="1" customWidth="1"/>
    <col min="5881" max="5881" width="9.09765625" style="16" customWidth="1"/>
    <col min="5882" max="5882" width="3.5" style="16" customWidth="1"/>
    <col min="5883" max="5883" width="6.09765625" style="16" customWidth="1"/>
    <col min="5884" max="5884" width="4" style="16" customWidth="1"/>
    <col min="5885" max="5885" width="8.5" style="16" customWidth="1"/>
    <col min="5886" max="5886" width="9.765625E-2" style="16" customWidth="1"/>
    <col min="5887" max="5887" width="0.5" style="16" customWidth="1"/>
    <col min="5888" max="5888" width="40.5" style="16"/>
    <col min="5889" max="5889" width="4.19921875" style="16" customWidth="1"/>
    <col min="5890" max="5890" width="25.59765625" style="16" customWidth="1"/>
    <col min="5891" max="5891" width="5" style="16" customWidth="1"/>
    <col min="5892" max="5892" width="6.19921875" style="16" customWidth="1"/>
    <col min="5893" max="5893" width="10.8984375" style="16" customWidth="1"/>
    <col min="5894" max="5894" width="5.8984375" style="16" customWidth="1"/>
    <col min="5895" max="5895" width="12.09765625" style="16" customWidth="1"/>
    <col min="5896" max="5896" width="8.59765625" style="16" customWidth="1"/>
    <col min="5897" max="6136" width="0" style="16" hidden="1" customWidth="1"/>
    <col min="6137" max="6137" width="9.09765625" style="16" customWidth="1"/>
    <col min="6138" max="6138" width="3.5" style="16" customWidth="1"/>
    <col min="6139" max="6139" width="6.09765625" style="16" customWidth="1"/>
    <col min="6140" max="6140" width="4" style="16" customWidth="1"/>
    <col min="6141" max="6141" width="8.5" style="16" customWidth="1"/>
    <col min="6142" max="6142" width="9.765625E-2" style="16" customWidth="1"/>
    <col min="6143" max="6143" width="0.5" style="16" customWidth="1"/>
    <col min="6144" max="6144" width="40.5" style="16"/>
    <col min="6145" max="6145" width="4.19921875" style="16" customWidth="1"/>
    <col min="6146" max="6146" width="25.59765625" style="16" customWidth="1"/>
    <col min="6147" max="6147" width="5" style="16" customWidth="1"/>
    <col min="6148" max="6148" width="6.19921875" style="16" customWidth="1"/>
    <col min="6149" max="6149" width="10.8984375" style="16" customWidth="1"/>
    <col min="6150" max="6150" width="5.8984375" style="16" customWidth="1"/>
    <col min="6151" max="6151" width="12.09765625" style="16" customWidth="1"/>
    <col min="6152" max="6152" width="8.59765625" style="16" customWidth="1"/>
    <col min="6153" max="6392" width="0" style="16" hidden="1" customWidth="1"/>
    <col min="6393" max="6393" width="9.09765625" style="16" customWidth="1"/>
    <col min="6394" max="6394" width="3.5" style="16" customWidth="1"/>
    <col min="6395" max="6395" width="6.09765625" style="16" customWidth="1"/>
    <col min="6396" max="6396" width="4" style="16" customWidth="1"/>
    <col min="6397" max="6397" width="8.5" style="16" customWidth="1"/>
    <col min="6398" max="6398" width="9.765625E-2" style="16" customWidth="1"/>
    <col min="6399" max="6399" width="0.5" style="16" customWidth="1"/>
    <col min="6400" max="6400" width="40.5" style="16"/>
    <col min="6401" max="6401" width="4.19921875" style="16" customWidth="1"/>
    <col min="6402" max="6402" width="25.59765625" style="16" customWidth="1"/>
    <col min="6403" max="6403" width="5" style="16" customWidth="1"/>
    <col min="6404" max="6404" width="6.19921875" style="16" customWidth="1"/>
    <col min="6405" max="6405" width="10.8984375" style="16" customWidth="1"/>
    <col min="6406" max="6406" width="5.8984375" style="16" customWidth="1"/>
    <col min="6407" max="6407" width="12.09765625" style="16" customWidth="1"/>
    <col min="6408" max="6408" width="8.59765625" style="16" customWidth="1"/>
    <col min="6409" max="6648" width="0" style="16" hidden="1" customWidth="1"/>
    <col min="6649" max="6649" width="9.09765625" style="16" customWidth="1"/>
    <col min="6650" max="6650" width="3.5" style="16" customWidth="1"/>
    <col min="6651" max="6651" width="6.09765625" style="16" customWidth="1"/>
    <col min="6652" max="6652" width="4" style="16" customWidth="1"/>
    <col min="6653" max="6653" width="8.5" style="16" customWidth="1"/>
    <col min="6654" max="6654" width="9.765625E-2" style="16" customWidth="1"/>
    <col min="6655" max="6655" width="0.5" style="16" customWidth="1"/>
    <col min="6656" max="6656" width="40.5" style="16"/>
    <col min="6657" max="6657" width="4.19921875" style="16" customWidth="1"/>
    <col min="6658" max="6658" width="25.59765625" style="16" customWidth="1"/>
    <col min="6659" max="6659" width="5" style="16" customWidth="1"/>
    <col min="6660" max="6660" width="6.19921875" style="16" customWidth="1"/>
    <col min="6661" max="6661" width="10.8984375" style="16" customWidth="1"/>
    <col min="6662" max="6662" width="5.8984375" style="16" customWidth="1"/>
    <col min="6663" max="6663" width="12.09765625" style="16" customWidth="1"/>
    <col min="6664" max="6664" width="8.59765625" style="16" customWidth="1"/>
    <col min="6665" max="6904" width="0" style="16" hidden="1" customWidth="1"/>
    <col min="6905" max="6905" width="9.09765625" style="16" customWidth="1"/>
    <col min="6906" max="6906" width="3.5" style="16" customWidth="1"/>
    <col min="6907" max="6907" width="6.09765625" style="16" customWidth="1"/>
    <col min="6908" max="6908" width="4" style="16" customWidth="1"/>
    <col min="6909" max="6909" width="8.5" style="16" customWidth="1"/>
    <col min="6910" max="6910" width="9.765625E-2" style="16" customWidth="1"/>
    <col min="6911" max="6911" width="0.5" style="16" customWidth="1"/>
    <col min="6912" max="6912" width="40.5" style="16"/>
    <col min="6913" max="6913" width="4.19921875" style="16" customWidth="1"/>
    <col min="6914" max="6914" width="25.59765625" style="16" customWidth="1"/>
    <col min="6915" max="6915" width="5" style="16" customWidth="1"/>
    <col min="6916" max="6916" width="6.19921875" style="16" customWidth="1"/>
    <col min="6917" max="6917" width="10.8984375" style="16" customWidth="1"/>
    <col min="6918" max="6918" width="5.8984375" style="16" customWidth="1"/>
    <col min="6919" max="6919" width="12.09765625" style="16" customWidth="1"/>
    <col min="6920" max="6920" width="8.59765625" style="16" customWidth="1"/>
    <col min="6921" max="7160" width="0" style="16" hidden="1" customWidth="1"/>
    <col min="7161" max="7161" width="9.09765625" style="16" customWidth="1"/>
    <col min="7162" max="7162" width="3.5" style="16" customWidth="1"/>
    <col min="7163" max="7163" width="6.09765625" style="16" customWidth="1"/>
    <col min="7164" max="7164" width="4" style="16" customWidth="1"/>
    <col min="7165" max="7165" width="8.5" style="16" customWidth="1"/>
    <col min="7166" max="7166" width="9.765625E-2" style="16" customWidth="1"/>
    <col min="7167" max="7167" width="0.5" style="16" customWidth="1"/>
    <col min="7168" max="7168" width="40.5" style="16"/>
    <col min="7169" max="7169" width="4.19921875" style="16" customWidth="1"/>
    <col min="7170" max="7170" width="25.59765625" style="16" customWidth="1"/>
    <col min="7171" max="7171" width="5" style="16" customWidth="1"/>
    <col min="7172" max="7172" width="6.19921875" style="16" customWidth="1"/>
    <col min="7173" max="7173" width="10.8984375" style="16" customWidth="1"/>
    <col min="7174" max="7174" width="5.8984375" style="16" customWidth="1"/>
    <col min="7175" max="7175" width="12.09765625" style="16" customWidth="1"/>
    <col min="7176" max="7176" width="8.59765625" style="16" customWidth="1"/>
    <col min="7177" max="7416" width="0" style="16" hidden="1" customWidth="1"/>
    <col min="7417" max="7417" width="9.09765625" style="16" customWidth="1"/>
    <col min="7418" max="7418" width="3.5" style="16" customWidth="1"/>
    <col min="7419" max="7419" width="6.09765625" style="16" customWidth="1"/>
    <col min="7420" max="7420" width="4" style="16" customWidth="1"/>
    <col min="7421" max="7421" width="8.5" style="16" customWidth="1"/>
    <col min="7422" max="7422" width="9.765625E-2" style="16" customWidth="1"/>
    <col min="7423" max="7423" width="0.5" style="16" customWidth="1"/>
    <col min="7424" max="7424" width="40.5" style="16"/>
    <col min="7425" max="7425" width="4.19921875" style="16" customWidth="1"/>
    <col min="7426" max="7426" width="25.59765625" style="16" customWidth="1"/>
    <col min="7427" max="7427" width="5" style="16" customWidth="1"/>
    <col min="7428" max="7428" width="6.19921875" style="16" customWidth="1"/>
    <col min="7429" max="7429" width="10.8984375" style="16" customWidth="1"/>
    <col min="7430" max="7430" width="5.8984375" style="16" customWidth="1"/>
    <col min="7431" max="7431" width="12.09765625" style="16" customWidth="1"/>
    <col min="7432" max="7432" width="8.59765625" style="16" customWidth="1"/>
    <col min="7433" max="7672" width="0" style="16" hidden="1" customWidth="1"/>
    <col min="7673" max="7673" width="9.09765625" style="16" customWidth="1"/>
    <col min="7674" max="7674" width="3.5" style="16" customWidth="1"/>
    <col min="7675" max="7675" width="6.09765625" style="16" customWidth="1"/>
    <col min="7676" max="7676" width="4" style="16" customWidth="1"/>
    <col min="7677" max="7677" width="8.5" style="16" customWidth="1"/>
    <col min="7678" max="7678" width="9.765625E-2" style="16" customWidth="1"/>
    <col min="7679" max="7679" width="0.5" style="16" customWidth="1"/>
    <col min="7680" max="7680" width="40.5" style="16"/>
    <col min="7681" max="7681" width="4.19921875" style="16" customWidth="1"/>
    <col min="7682" max="7682" width="25.59765625" style="16" customWidth="1"/>
    <col min="7683" max="7683" width="5" style="16" customWidth="1"/>
    <col min="7684" max="7684" width="6.19921875" style="16" customWidth="1"/>
    <col min="7685" max="7685" width="10.8984375" style="16" customWidth="1"/>
    <col min="7686" max="7686" width="5.8984375" style="16" customWidth="1"/>
    <col min="7687" max="7687" width="12.09765625" style="16" customWidth="1"/>
    <col min="7688" max="7688" width="8.59765625" style="16" customWidth="1"/>
    <col min="7689" max="7928" width="0" style="16" hidden="1" customWidth="1"/>
    <col min="7929" max="7929" width="9.09765625" style="16" customWidth="1"/>
    <col min="7930" max="7930" width="3.5" style="16" customWidth="1"/>
    <col min="7931" max="7931" width="6.09765625" style="16" customWidth="1"/>
    <col min="7932" max="7932" width="4" style="16" customWidth="1"/>
    <col min="7933" max="7933" width="8.5" style="16" customWidth="1"/>
    <col min="7934" max="7934" width="9.765625E-2" style="16" customWidth="1"/>
    <col min="7935" max="7935" width="0.5" style="16" customWidth="1"/>
    <col min="7936" max="7936" width="40.5" style="16"/>
    <col min="7937" max="7937" width="4.19921875" style="16" customWidth="1"/>
    <col min="7938" max="7938" width="25.59765625" style="16" customWidth="1"/>
    <col min="7939" max="7939" width="5" style="16" customWidth="1"/>
    <col min="7940" max="7940" width="6.19921875" style="16" customWidth="1"/>
    <col min="7941" max="7941" width="10.8984375" style="16" customWidth="1"/>
    <col min="7942" max="7942" width="5.8984375" style="16" customWidth="1"/>
    <col min="7943" max="7943" width="12.09765625" style="16" customWidth="1"/>
    <col min="7944" max="7944" width="8.59765625" style="16" customWidth="1"/>
    <col min="7945" max="8184" width="0" style="16" hidden="1" customWidth="1"/>
    <col min="8185" max="8185" width="9.09765625" style="16" customWidth="1"/>
    <col min="8186" max="8186" width="3.5" style="16" customWidth="1"/>
    <col min="8187" max="8187" width="6.09765625" style="16" customWidth="1"/>
    <col min="8188" max="8188" width="4" style="16" customWidth="1"/>
    <col min="8189" max="8189" width="8.5" style="16" customWidth="1"/>
    <col min="8190" max="8190" width="9.765625E-2" style="16" customWidth="1"/>
    <col min="8191" max="8191" width="0.5" style="16" customWidth="1"/>
    <col min="8192" max="8192" width="40.5" style="16"/>
    <col min="8193" max="8193" width="4.19921875" style="16" customWidth="1"/>
    <col min="8194" max="8194" width="25.59765625" style="16" customWidth="1"/>
    <col min="8195" max="8195" width="5" style="16" customWidth="1"/>
    <col min="8196" max="8196" width="6.19921875" style="16" customWidth="1"/>
    <col min="8197" max="8197" width="10.8984375" style="16" customWidth="1"/>
    <col min="8198" max="8198" width="5.8984375" style="16" customWidth="1"/>
    <col min="8199" max="8199" width="12.09765625" style="16" customWidth="1"/>
    <col min="8200" max="8200" width="8.59765625" style="16" customWidth="1"/>
    <col min="8201" max="8440" width="0" style="16" hidden="1" customWidth="1"/>
    <col min="8441" max="8441" width="9.09765625" style="16" customWidth="1"/>
    <col min="8442" max="8442" width="3.5" style="16" customWidth="1"/>
    <col min="8443" max="8443" width="6.09765625" style="16" customWidth="1"/>
    <col min="8444" max="8444" width="4" style="16" customWidth="1"/>
    <col min="8445" max="8445" width="8.5" style="16" customWidth="1"/>
    <col min="8446" max="8446" width="9.765625E-2" style="16" customWidth="1"/>
    <col min="8447" max="8447" width="0.5" style="16" customWidth="1"/>
    <col min="8448" max="8448" width="40.5" style="16"/>
    <col min="8449" max="8449" width="4.19921875" style="16" customWidth="1"/>
    <col min="8450" max="8450" width="25.59765625" style="16" customWidth="1"/>
    <col min="8451" max="8451" width="5" style="16" customWidth="1"/>
    <col min="8452" max="8452" width="6.19921875" style="16" customWidth="1"/>
    <col min="8453" max="8453" width="10.8984375" style="16" customWidth="1"/>
    <col min="8454" max="8454" width="5.8984375" style="16" customWidth="1"/>
    <col min="8455" max="8455" width="12.09765625" style="16" customWidth="1"/>
    <col min="8456" max="8456" width="8.59765625" style="16" customWidth="1"/>
    <col min="8457" max="8696" width="0" style="16" hidden="1" customWidth="1"/>
    <col min="8697" max="8697" width="9.09765625" style="16" customWidth="1"/>
    <col min="8698" max="8698" width="3.5" style="16" customWidth="1"/>
    <col min="8699" max="8699" width="6.09765625" style="16" customWidth="1"/>
    <col min="8700" max="8700" width="4" style="16" customWidth="1"/>
    <col min="8701" max="8701" width="8.5" style="16" customWidth="1"/>
    <col min="8702" max="8702" width="9.765625E-2" style="16" customWidth="1"/>
    <col min="8703" max="8703" width="0.5" style="16" customWidth="1"/>
    <col min="8704" max="8704" width="40.5" style="16"/>
    <col min="8705" max="8705" width="4.19921875" style="16" customWidth="1"/>
    <col min="8706" max="8706" width="25.59765625" style="16" customWidth="1"/>
    <col min="8707" max="8707" width="5" style="16" customWidth="1"/>
    <col min="8708" max="8708" width="6.19921875" style="16" customWidth="1"/>
    <col min="8709" max="8709" width="10.8984375" style="16" customWidth="1"/>
    <col min="8710" max="8710" width="5.8984375" style="16" customWidth="1"/>
    <col min="8711" max="8711" width="12.09765625" style="16" customWidth="1"/>
    <col min="8712" max="8712" width="8.59765625" style="16" customWidth="1"/>
    <col min="8713" max="8952" width="0" style="16" hidden="1" customWidth="1"/>
    <col min="8953" max="8953" width="9.09765625" style="16" customWidth="1"/>
    <col min="8954" max="8954" width="3.5" style="16" customWidth="1"/>
    <col min="8955" max="8955" width="6.09765625" style="16" customWidth="1"/>
    <col min="8956" max="8956" width="4" style="16" customWidth="1"/>
    <col min="8957" max="8957" width="8.5" style="16" customWidth="1"/>
    <col min="8958" max="8958" width="9.765625E-2" style="16" customWidth="1"/>
    <col min="8959" max="8959" width="0.5" style="16" customWidth="1"/>
    <col min="8960" max="8960" width="40.5" style="16"/>
    <col min="8961" max="8961" width="4.19921875" style="16" customWidth="1"/>
    <col min="8962" max="8962" width="25.59765625" style="16" customWidth="1"/>
    <col min="8963" max="8963" width="5" style="16" customWidth="1"/>
    <col min="8964" max="8964" width="6.19921875" style="16" customWidth="1"/>
    <col min="8965" max="8965" width="10.8984375" style="16" customWidth="1"/>
    <col min="8966" max="8966" width="5.8984375" style="16" customWidth="1"/>
    <col min="8967" max="8967" width="12.09765625" style="16" customWidth="1"/>
    <col min="8968" max="8968" width="8.59765625" style="16" customWidth="1"/>
    <col min="8969" max="9208" width="0" style="16" hidden="1" customWidth="1"/>
    <col min="9209" max="9209" width="9.09765625" style="16" customWidth="1"/>
    <col min="9210" max="9210" width="3.5" style="16" customWidth="1"/>
    <col min="9211" max="9211" width="6.09765625" style="16" customWidth="1"/>
    <col min="9212" max="9212" width="4" style="16" customWidth="1"/>
    <col min="9213" max="9213" width="8.5" style="16" customWidth="1"/>
    <col min="9214" max="9214" width="9.765625E-2" style="16" customWidth="1"/>
    <col min="9215" max="9215" width="0.5" style="16" customWidth="1"/>
    <col min="9216" max="9216" width="40.5" style="16"/>
    <col min="9217" max="9217" width="4.19921875" style="16" customWidth="1"/>
    <col min="9218" max="9218" width="25.59765625" style="16" customWidth="1"/>
    <col min="9219" max="9219" width="5" style="16" customWidth="1"/>
    <col min="9220" max="9220" width="6.19921875" style="16" customWidth="1"/>
    <col min="9221" max="9221" width="10.8984375" style="16" customWidth="1"/>
    <col min="9222" max="9222" width="5.8984375" style="16" customWidth="1"/>
    <col min="9223" max="9223" width="12.09765625" style="16" customWidth="1"/>
    <col min="9224" max="9224" width="8.59765625" style="16" customWidth="1"/>
    <col min="9225" max="9464" width="0" style="16" hidden="1" customWidth="1"/>
    <col min="9465" max="9465" width="9.09765625" style="16" customWidth="1"/>
    <col min="9466" max="9466" width="3.5" style="16" customWidth="1"/>
    <col min="9467" max="9467" width="6.09765625" style="16" customWidth="1"/>
    <col min="9468" max="9468" width="4" style="16" customWidth="1"/>
    <col min="9469" max="9469" width="8.5" style="16" customWidth="1"/>
    <col min="9470" max="9470" width="9.765625E-2" style="16" customWidth="1"/>
    <col min="9471" max="9471" width="0.5" style="16" customWidth="1"/>
    <col min="9472" max="9472" width="40.5" style="16"/>
    <col min="9473" max="9473" width="4.19921875" style="16" customWidth="1"/>
    <col min="9474" max="9474" width="25.59765625" style="16" customWidth="1"/>
    <col min="9475" max="9475" width="5" style="16" customWidth="1"/>
    <col min="9476" max="9476" width="6.19921875" style="16" customWidth="1"/>
    <col min="9477" max="9477" width="10.8984375" style="16" customWidth="1"/>
    <col min="9478" max="9478" width="5.8984375" style="16" customWidth="1"/>
    <col min="9479" max="9479" width="12.09765625" style="16" customWidth="1"/>
    <col min="9480" max="9480" width="8.59765625" style="16" customWidth="1"/>
    <col min="9481" max="9720" width="0" style="16" hidden="1" customWidth="1"/>
    <col min="9721" max="9721" width="9.09765625" style="16" customWidth="1"/>
    <col min="9722" max="9722" width="3.5" style="16" customWidth="1"/>
    <col min="9723" max="9723" width="6.09765625" style="16" customWidth="1"/>
    <col min="9724" max="9724" width="4" style="16" customWidth="1"/>
    <col min="9725" max="9725" width="8.5" style="16" customWidth="1"/>
    <col min="9726" max="9726" width="9.765625E-2" style="16" customWidth="1"/>
    <col min="9727" max="9727" width="0.5" style="16" customWidth="1"/>
    <col min="9728" max="9728" width="40.5" style="16"/>
    <col min="9729" max="9729" width="4.19921875" style="16" customWidth="1"/>
    <col min="9730" max="9730" width="25.59765625" style="16" customWidth="1"/>
    <col min="9731" max="9731" width="5" style="16" customWidth="1"/>
    <col min="9732" max="9732" width="6.19921875" style="16" customWidth="1"/>
    <col min="9733" max="9733" width="10.8984375" style="16" customWidth="1"/>
    <col min="9734" max="9734" width="5.8984375" style="16" customWidth="1"/>
    <col min="9735" max="9735" width="12.09765625" style="16" customWidth="1"/>
    <col min="9736" max="9736" width="8.59765625" style="16" customWidth="1"/>
    <col min="9737" max="9976" width="0" style="16" hidden="1" customWidth="1"/>
    <col min="9977" max="9977" width="9.09765625" style="16" customWidth="1"/>
    <col min="9978" max="9978" width="3.5" style="16" customWidth="1"/>
    <col min="9979" max="9979" width="6.09765625" style="16" customWidth="1"/>
    <col min="9980" max="9980" width="4" style="16" customWidth="1"/>
    <col min="9981" max="9981" width="8.5" style="16" customWidth="1"/>
    <col min="9982" max="9982" width="9.765625E-2" style="16" customWidth="1"/>
    <col min="9983" max="9983" width="0.5" style="16" customWidth="1"/>
    <col min="9984" max="9984" width="40.5" style="16"/>
    <col min="9985" max="9985" width="4.19921875" style="16" customWidth="1"/>
    <col min="9986" max="9986" width="25.59765625" style="16" customWidth="1"/>
    <col min="9987" max="9987" width="5" style="16" customWidth="1"/>
    <col min="9988" max="9988" width="6.19921875" style="16" customWidth="1"/>
    <col min="9989" max="9989" width="10.8984375" style="16" customWidth="1"/>
    <col min="9990" max="9990" width="5.8984375" style="16" customWidth="1"/>
    <col min="9991" max="9991" width="12.09765625" style="16" customWidth="1"/>
    <col min="9992" max="9992" width="8.59765625" style="16" customWidth="1"/>
    <col min="9993" max="10232" width="0" style="16" hidden="1" customWidth="1"/>
    <col min="10233" max="10233" width="9.09765625" style="16" customWidth="1"/>
    <col min="10234" max="10234" width="3.5" style="16" customWidth="1"/>
    <col min="10235" max="10235" width="6.09765625" style="16" customWidth="1"/>
    <col min="10236" max="10236" width="4" style="16" customWidth="1"/>
    <col min="10237" max="10237" width="8.5" style="16" customWidth="1"/>
    <col min="10238" max="10238" width="9.765625E-2" style="16" customWidth="1"/>
    <col min="10239" max="10239" width="0.5" style="16" customWidth="1"/>
    <col min="10240" max="10240" width="40.5" style="16"/>
    <col min="10241" max="10241" width="4.19921875" style="16" customWidth="1"/>
    <col min="10242" max="10242" width="25.59765625" style="16" customWidth="1"/>
    <col min="10243" max="10243" width="5" style="16" customWidth="1"/>
    <col min="10244" max="10244" width="6.19921875" style="16" customWidth="1"/>
    <col min="10245" max="10245" width="10.8984375" style="16" customWidth="1"/>
    <col min="10246" max="10246" width="5.8984375" style="16" customWidth="1"/>
    <col min="10247" max="10247" width="12.09765625" style="16" customWidth="1"/>
    <col min="10248" max="10248" width="8.59765625" style="16" customWidth="1"/>
    <col min="10249" max="10488" width="0" style="16" hidden="1" customWidth="1"/>
    <col min="10489" max="10489" width="9.09765625" style="16" customWidth="1"/>
    <col min="10490" max="10490" width="3.5" style="16" customWidth="1"/>
    <col min="10491" max="10491" width="6.09765625" style="16" customWidth="1"/>
    <col min="10492" max="10492" width="4" style="16" customWidth="1"/>
    <col min="10493" max="10493" width="8.5" style="16" customWidth="1"/>
    <col min="10494" max="10494" width="9.765625E-2" style="16" customWidth="1"/>
    <col min="10495" max="10495" width="0.5" style="16" customWidth="1"/>
    <col min="10496" max="10496" width="40.5" style="16"/>
    <col min="10497" max="10497" width="4.19921875" style="16" customWidth="1"/>
    <col min="10498" max="10498" width="25.59765625" style="16" customWidth="1"/>
    <col min="10499" max="10499" width="5" style="16" customWidth="1"/>
    <col min="10500" max="10500" width="6.19921875" style="16" customWidth="1"/>
    <col min="10501" max="10501" width="10.8984375" style="16" customWidth="1"/>
    <col min="10502" max="10502" width="5.8984375" style="16" customWidth="1"/>
    <col min="10503" max="10503" width="12.09765625" style="16" customWidth="1"/>
    <col min="10504" max="10504" width="8.59765625" style="16" customWidth="1"/>
    <col min="10505" max="10744" width="0" style="16" hidden="1" customWidth="1"/>
    <col min="10745" max="10745" width="9.09765625" style="16" customWidth="1"/>
    <col min="10746" max="10746" width="3.5" style="16" customWidth="1"/>
    <col min="10747" max="10747" width="6.09765625" style="16" customWidth="1"/>
    <col min="10748" max="10748" width="4" style="16" customWidth="1"/>
    <col min="10749" max="10749" width="8.5" style="16" customWidth="1"/>
    <col min="10750" max="10750" width="9.765625E-2" style="16" customWidth="1"/>
    <col min="10751" max="10751" width="0.5" style="16" customWidth="1"/>
    <col min="10752" max="10752" width="40.5" style="16"/>
    <col min="10753" max="10753" width="4.19921875" style="16" customWidth="1"/>
    <col min="10754" max="10754" width="25.59765625" style="16" customWidth="1"/>
    <col min="10755" max="10755" width="5" style="16" customWidth="1"/>
    <col min="10756" max="10756" width="6.19921875" style="16" customWidth="1"/>
    <col min="10757" max="10757" width="10.8984375" style="16" customWidth="1"/>
    <col min="10758" max="10758" width="5.8984375" style="16" customWidth="1"/>
    <col min="10759" max="10759" width="12.09765625" style="16" customWidth="1"/>
    <col min="10760" max="10760" width="8.59765625" style="16" customWidth="1"/>
    <col min="10761" max="11000" width="0" style="16" hidden="1" customWidth="1"/>
    <col min="11001" max="11001" width="9.09765625" style="16" customWidth="1"/>
    <col min="11002" max="11002" width="3.5" style="16" customWidth="1"/>
    <col min="11003" max="11003" width="6.09765625" style="16" customWidth="1"/>
    <col min="11004" max="11004" width="4" style="16" customWidth="1"/>
    <col min="11005" max="11005" width="8.5" style="16" customWidth="1"/>
    <col min="11006" max="11006" width="9.765625E-2" style="16" customWidth="1"/>
    <col min="11007" max="11007" width="0.5" style="16" customWidth="1"/>
    <col min="11008" max="11008" width="40.5" style="16"/>
    <col min="11009" max="11009" width="4.19921875" style="16" customWidth="1"/>
    <col min="11010" max="11010" width="25.59765625" style="16" customWidth="1"/>
    <col min="11011" max="11011" width="5" style="16" customWidth="1"/>
    <col min="11012" max="11012" width="6.19921875" style="16" customWidth="1"/>
    <col min="11013" max="11013" width="10.8984375" style="16" customWidth="1"/>
    <col min="11014" max="11014" width="5.8984375" style="16" customWidth="1"/>
    <col min="11015" max="11015" width="12.09765625" style="16" customWidth="1"/>
    <col min="11016" max="11016" width="8.59765625" style="16" customWidth="1"/>
    <col min="11017" max="11256" width="0" style="16" hidden="1" customWidth="1"/>
    <col min="11257" max="11257" width="9.09765625" style="16" customWidth="1"/>
    <col min="11258" max="11258" width="3.5" style="16" customWidth="1"/>
    <col min="11259" max="11259" width="6.09765625" style="16" customWidth="1"/>
    <col min="11260" max="11260" width="4" style="16" customWidth="1"/>
    <col min="11261" max="11261" width="8.5" style="16" customWidth="1"/>
    <col min="11262" max="11262" width="9.765625E-2" style="16" customWidth="1"/>
    <col min="11263" max="11263" width="0.5" style="16" customWidth="1"/>
    <col min="11264" max="11264" width="40.5" style="16"/>
    <col min="11265" max="11265" width="4.19921875" style="16" customWidth="1"/>
    <col min="11266" max="11266" width="25.59765625" style="16" customWidth="1"/>
    <col min="11267" max="11267" width="5" style="16" customWidth="1"/>
    <col min="11268" max="11268" width="6.19921875" style="16" customWidth="1"/>
    <col min="11269" max="11269" width="10.8984375" style="16" customWidth="1"/>
    <col min="11270" max="11270" width="5.8984375" style="16" customWidth="1"/>
    <col min="11271" max="11271" width="12.09765625" style="16" customWidth="1"/>
    <col min="11272" max="11272" width="8.59765625" style="16" customWidth="1"/>
    <col min="11273" max="11512" width="0" style="16" hidden="1" customWidth="1"/>
    <col min="11513" max="11513" width="9.09765625" style="16" customWidth="1"/>
    <col min="11514" max="11514" width="3.5" style="16" customWidth="1"/>
    <col min="11515" max="11515" width="6.09765625" style="16" customWidth="1"/>
    <col min="11516" max="11516" width="4" style="16" customWidth="1"/>
    <col min="11517" max="11517" width="8.5" style="16" customWidth="1"/>
    <col min="11518" max="11518" width="9.765625E-2" style="16" customWidth="1"/>
    <col min="11519" max="11519" width="0.5" style="16" customWidth="1"/>
    <col min="11520" max="11520" width="40.5" style="16"/>
    <col min="11521" max="11521" width="4.19921875" style="16" customWidth="1"/>
    <col min="11522" max="11522" width="25.59765625" style="16" customWidth="1"/>
    <col min="11523" max="11523" width="5" style="16" customWidth="1"/>
    <col min="11524" max="11524" width="6.19921875" style="16" customWidth="1"/>
    <col min="11525" max="11525" width="10.8984375" style="16" customWidth="1"/>
    <col min="11526" max="11526" width="5.8984375" style="16" customWidth="1"/>
    <col min="11527" max="11527" width="12.09765625" style="16" customWidth="1"/>
    <col min="11528" max="11528" width="8.59765625" style="16" customWidth="1"/>
    <col min="11529" max="11768" width="0" style="16" hidden="1" customWidth="1"/>
    <col min="11769" max="11769" width="9.09765625" style="16" customWidth="1"/>
    <col min="11770" max="11770" width="3.5" style="16" customWidth="1"/>
    <col min="11771" max="11771" width="6.09765625" style="16" customWidth="1"/>
    <col min="11772" max="11772" width="4" style="16" customWidth="1"/>
    <col min="11773" max="11773" width="8.5" style="16" customWidth="1"/>
    <col min="11774" max="11774" width="9.765625E-2" style="16" customWidth="1"/>
    <col min="11775" max="11775" width="0.5" style="16" customWidth="1"/>
    <col min="11776" max="11776" width="40.5" style="16"/>
    <col min="11777" max="11777" width="4.19921875" style="16" customWidth="1"/>
    <col min="11778" max="11778" width="25.59765625" style="16" customWidth="1"/>
    <col min="11779" max="11779" width="5" style="16" customWidth="1"/>
    <col min="11780" max="11780" width="6.19921875" style="16" customWidth="1"/>
    <col min="11781" max="11781" width="10.8984375" style="16" customWidth="1"/>
    <col min="11782" max="11782" width="5.8984375" style="16" customWidth="1"/>
    <col min="11783" max="11783" width="12.09765625" style="16" customWidth="1"/>
    <col min="11784" max="11784" width="8.59765625" style="16" customWidth="1"/>
    <col min="11785" max="12024" width="0" style="16" hidden="1" customWidth="1"/>
    <col min="12025" max="12025" width="9.09765625" style="16" customWidth="1"/>
    <col min="12026" max="12026" width="3.5" style="16" customWidth="1"/>
    <col min="12027" max="12027" width="6.09765625" style="16" customWidth="1"/>
    <col min="12028" max="12028" width="4" style="16" customWidth="1"/>
    <col min="12029" max="12029" width="8.5" style="16" customWidth="1"/>
    <col min="12030" max="12030" width="9.765625E-2" style="16" customWidth="1"/>
    <col min="12031" max="12031" width="0.5" style="16" customWidth="1"/>
    <col min="12032" max="12032" width="40.5" style="16"/>
    <col min="12033" max="12033" width="4.19921875" style="16" customWidth="1"/>
    <col min="12034" max="12034" width="25.59765625" style="16" customWidth="1"/>
    <col min="12035" max="12035" width="5" style="16" customWidth="1"/>
    <col min="12036" max="12036" width="6.19921875" style="16" customWidth="1"/>
    <col min="12037" max="12037" width="10.8984375" style="16" customWidth="1"/>
    <col min="12038" max="12038" width="5.8984375" style="16" customWidth="1"/>
    <col min="12039" max="12039" width="12.09765625" style="16" customWidth="1"/>
    <col min="12040" max="12040" width="8.59765625" style="16" customWidth="1"/>
    <col min="12041" max="12280" width="0" style="16" hidden="1" customWidth="1"/>
    <col min="12281" max="12281" width="9.09765625" style="16" customWidth="1"/>
    <col min="12282" max="12282" width="3.5" style="16" customWidth="1"/>
    <col min="12283" max="12283" width="6.09765625" style="16" customWidth="1"/>
    <col min="12284" max="12284" width="4" style="16" customWidth="1"/>
    <col min="12285" max="12285" width="8.5" style="16" customWidth="1"/>
    <col min="12286" max="12286" width="9.765625E-2" style="16" customWidth="1"/>
    <col min="12287" max="12287" width="0.5" style="16" customWidth="1"/>
    <col min="12288" max="12288" width="40.5" style="16"/>
    <col min="12289" max="12289" width="4.19921875" style="16" customWidth="1"/>
    <col min="12290" max="12290" width="25.59765625" style="16" customWidth="1"/>
    <col min="12291" max="12291" width="5" style="16" customWidth="1"/>
    <col min="12292" max="12292" width="6.19921875" style="16" customWidth="1"/>
    <col min="12293" max="12293" width="10.8984375" style="16" customWidth="1"/>
    <col min="12294" max="12294" width="5.8984375" style="16" customWidth="1"/>
    <col min="12295" max="12295" width="12.09765625" style="16" customWidth="1"/>
    <col min="12296" max="12296" width="8.59765625" style="16" customWidth="1"/>
    <col min="12297" max="12536" width="0" style="16" hidden="1" customWidth="1"/>
    <col min="12537" max="12537" width="9.09765625" style="16" customWidth="1"/>
    <col min="12538" max="12538" width="3.5" style="16" customWidth="1"/>
    <col min="12539" max="12539" width="6.09765625" style="16" customWidth="1"/>
    <col min="12540" max="12540" width="4" style="16" customWidth="1"/>
    <col min="12541" max="12541" width="8.5" style="16" customWidth="1"/>
    <col min="12542" max="12542" width="9.765625E-2" style="16" customWidth="1"/>
    <col min="12543" max="12543" width="0.5" style="16" customWidth="1"/>
    <col min="12544" max="12544" width="40.5" style="16"/>
    <col min="12545" max="12545" width="4.19921875" style="16" customWidth="1"/>
    <col min="12546" max="12546" width="25.59765625" style="16" customWidth="1"/>
    <col min="12547" max="12547" width="5" style="16" customWidth="1"/>
    <col min="12548" max="12548" width="6.19921875" style="16" customWidth="1"/>
    <col min="12549" max="12549" width="10.8984375" style="16" customWidth="1"/>
    <col min="12550" max="12550" width="5.8984375" style="16" customWidth="1"/>
    <col min="12551" max="12551" width="12.09765625" style="16" customWidth="1"/>
    <col min="12552" max="12552" width="8.59765625" style="16" customWidth="1"/>
    <col min="12553" max="12792" width="0" style="16" hidden="1" customWidth="1"/>
    <col min="12793" max="12793" width="9.09765625" style="16" customWidth="1"/>
    <col min="12794" max="12794" width="3.5" style="16" customWidth="1"/>
    <col min="12795" max="12795" width="6.09765625" style="16" customWidth="1"/>
    <col min="12796" max="12796" width="4" style="16" customWidth="1"/>
    <col min="12797" max="12797" width="8.5" style="16" customWidth="1"/>
    <col min="12798" max="12798" width="9.765625E-2" style="16" customWidth="1"/>
    <col min="12799" max="12799" width="0.5" style="16" customWidth="1"/>
    <col min="12800" max="12800" width="40.5" style="16"/>
    <col min="12801" max="12801" width="4.19921875" style="16" customWidth="1"/>
    <col min="12802" max="12802" width="25.59765625" style="16" customWidth="1"/>
    <col min="12803" max="12803" width="5" style="16" customWidth="1"/>
    <col min="12804" max="12804" width="6.19921875" style="16" customWidth="1"/>
    <col min="12805" max="12805" width="10.8984375" style="16" customWidth="1"/>
    <col min="12806" max="12806" width="5.8984375" style="16" customWidth="1"/>
    <col min="12807" max="12807" width="12.09765625" style="16" customWidth="1"/>
    <col min="12808" max="12808" width="8.59765625" style="16" customWidth="1"/>
    <col min="12809" max="13048" width="0" style="16" hidden="1" customWidth="1"/>
    <col min="13049" max="13049" width="9.09765625" style="16" customWidth="1"/>
    <col min="13050" max="13050" width="3.5" style="16" customWidth="1"/>
    <col min="13051" max="13051" width="6.09765625" style="16" customWidth="1"/>
    <col min="13052" max="13052" width="4" style="16" customWidth="1"/>
    <col min="13053" max="13053" width="8.5" style="16" customWidth="1"/>
    <col min="13054" max="13054" width="9.765625E-2" style="16" customWidth="1"/>
    <col min="13055" max="13055" width="0.5" style="16" customWidth="1"/>
    <col min="13056" max="13056" width="40.5" style="16"/>
    <col min="13057" max="13057" width="4.19921875" style="16" customWidth="1"/>
    <col min="13058" max="13058" width="25.59765625" style="16" customWidth="1"/>
    <col min="13059" max="13059" width="5" style="16" customWidth="1"/>
    <col min="13060" max="13060" width="6.19921875" style="16" customWidth="1"/>
    <col min="13061" max="13061" width="10.8984375" style="16" customWidth="1"/>
    <col min="13062" max="13062" width="5.8984375" style="16" customWidth="1"/>
    <col min="13063" max="13063" width="12.09765625" style="16" customWidth="1"/>
    <col min="13064" max="13064" width="8.59765625" style="16" customWidth="1"/>
    <col min="13065" max="13304" width="0" style="16" hidden="1" customWidth="1"/>
    <col min="13305" max="13305" width="9.09765625" style="16" customWidth="1"/>
    <col min="13306" max="13306" width="3.5" style="16" customWidth="1"/>
    <col min="13307" max="13307" width="6.09765625" style="16" customWidth="1"/>
    <col min="13308" max="13308" width="4" style="16" customWidth="1"/>
    <col min="13309" max="13309" width="8.5" style="16" customWidth="1"/>
    <col min="13310" max="13310" width="9.765625E-2" style="16" customWidth="1"/>
    <col min="13311" max="13311" width="0.5" style="16" customWidth="1"/>
    <col min="13312" max="13312" width="40.5" style="16"/>
    <col min="13313" max="13313" width="4.19921875" style="16" customWidth="1"/>
    <col min="13314" max="13314" width="25.59765625" style="16" customWidth="1"/>
    <col min="13315" max="13315" width="5" style="16" customWidth="1"/>
    <col min="13316" max="13316" width="6.19921875" style="16" customWidth="1"/>
    <col min="13317" max="13317" width="10.8984375" style="16" customWidth="1"/>
    <col min="13318" max="13318" width="5.8984375" style="16" customWidth="1"/>
    <col min="13319" max="13319" width="12.09765625" style="16" customWidth="1"/>
    <col min="13320" max="13320" width="8.59765625" style="16" customWidth="1"/>
    <col min="13321" max="13560" width="0" style="16" hidden="1" customWidth="1"/>
    <col min="13561" max="13561" width="9.09765625" style="16" customWidth="1"/>
    <col min="13562" max="13562" width="3.5" style="16" customWidth="1"/>
    <col min="13563" max="13563" width="6.09765625" style="16" customWidth="1"/>
    <col min="13564" max="13564" width="4" style="16" customWidth="1"/>
    <col min="13565" max="13565" width="8.5" style="16" customWidth="1"/>
    <col min="13566" max="13566" width="9.765625E-2" style="16" customWidth="1"/>
    <col min="13567" max="13567" width="0.5" style="16" customWidth="1"/>
    <col min="13568" max="13568" width="40.5" style="16"/>
    <col min="13569" max="13569" width="4.19921875" style="16" customWidth="1"/>
    <col min="13570" max="13570" width="25.59765625" style="16" customWidth="1"/>
    <col min="13571" max="13571" width="5" style="16" customWidth="1"/>
    <col min="13572" max="13572" width="6.19921875" style="16" customWidth="1"/>
    <col min="13573" max="13573" width="10.8984375" style="16" customWidth="1"/>
    <col min="13574" max="13574" width="5.8984375" style="16" customWidth="1"/>
    <col min="13575" max="13575" width="12.09765625" style="16" customWidth="1"/>
    <col min="13576" max="13576" width="8.59765625" style="16" customWidth="1"/>
    <col min="13577" max="13816" width="0" style="16" hidden="1" customWidth="1"/>
    <col min="13817" max="13817" width="9.09765625" style="16" customWidth="1"/>
    <col min="13818" max="13818" width="3.5" style="16" customWidth="1"/>
    <col min="13819" max="13819" width="6.09765625" style="16" customWidth="1"/>
    <col min="13820" max="13820" width="4" style="16" customWidth="1"/>
    <col min="13821" max="13821" width="8.5" style="16" customWidth="1"/>
    <col min="13822" max="13822" width="9.765625E-2" style="16" customWidth="1"/>
    <col min="13823" max="13823" width="0.5" style="16" customWidth="1"/>
    <col min="13824" max="13824" width="40.5" style="16"/>
    <col min="13825" max="13825" width="4.19921875" style="16" customWidth="1"/>
    <col min="13826" max="13826" width="25.59765625" style="16" customWidth="1"/>
    <col min="13827" max="13827" width="5" style="16" customWidth="1"/>
    <col min="13828" max="13828" width="6.19921875" style="16" customWidth="1"/>
    <col min="13829" max="13829" width="10.8984375" style="16" customWidth="1"/>
    <col min="13830" max="13830" width="5.8984375" style="16" customWidth="1"/>
    <col min="13831" max="13831" width="12.09765625" style="16" customWidth="1"/>
    <col min="13832" max="13832" width="8.59765625" style="16" customWidth="1"/>
    <col min="13833" max="14072" width="0" style="16" hidden="1" customWidth="1"/>
    <col min="14073" max="14073" width="9.09765625" style="16" customWidth="1"/>
    <col min="14074" max="14074" width="3.5" style="16" customWidth="1"/>
    <col min="14075" max="14075" width="6.09765625" style="16" customWidth="1"/>
    <col min="14076" max="14076" width="4" style="16" customWidth="1"/>
    <col min="14077" max="14077" width="8.5" style="16" customWidth="1"/>
    <col min="14078" max="14078" width="9.765625E-2" style="16" customWidth="1"/>
    <col min="14079" max="14079" width="0.5" style="16" customWidth="1"/>
    <col min="14080" max="14080" width="40.5" style="16"/>
    <col min="14081" max="14081" width="4.19921875" style="16" customWidth="1"/>
    <col min="14082" max="14082" width="25.59765625" style="16" customWidth="1"/>
    <col min="14083" max="14083" width="5" style="16" customWidth="1"/>
    <col min="14084" max="14084" width="6.19921875" style="16" customWidth="1"/>
    <col min="14085" max="14085" width="10.8984375" style="16" customWidth="1"/>
    <col min="14086" max="14086" width="5.8984375" style="16" customWidth="1"/>
    <col min="14087" max="14087" width="12.09765625" style="16" customWidth="1"/>
    <col min="14088" max="14088" width="8.59765625" style="16" customWidth="1"/>
    <col min="14089" max="14328" width="0" style="16" hidden="1" customWidth="1"/>
    <col min="14329" max="14329" width="9.09765625" style="16" customWidth="1"/>
    <col min="14330" max="14330" width="3.5" style="16" customWidth="1"/>
    <col min="14331" max="14331" width="6.09765625" style="16" customWidth="1"/>
    <col min="14332" max="14332" width="4" style="16" customWidth="1"/>
    <col min="14333" max="14333" width="8.5" style="16" customWidth="1"/>
    <col min="14334" max="14334" width="9.765625E-2" style="16" customWidth="1"/>
    <col min="14335" max="14335" width="0.5" style="16" customWidth="1"/>
    <col min="14336" max="14336" width="40.5" style="16"/>
    <col min="14337" max="14337" width="4.19921875" style="16" customWidth="1"/>
    <col min="14338" max="14338" width="25.59765625" style="16" customWidth="1"/>
    <col min="14339" max="14339" width="5" style="16" customWidth="1"/>
    <col min="14340" max="14340" width="6.19921875" style="16" customWidth="1"/>
    <col min="14341" max="14341" width="10.8984375" style="16" customWidth="1"/>
    <col min="14342" max="14342" width="5.8984375" style="16" customWidth="1"/>
    <col min="14343" max="14343" width="12.09765625" style="16" customWidth="1"/>
    <col min="14344" max="14344" width="8.59765625" style="16" customWidth="1"/>
    <col min="14345" max="14584" width="0" style="16" hidden="1" customWidth="1"/>
    <col min="14585" max="14585" width="9.09765625" style="16" customWidth="1"/>
    <col min="14586" max="14586" width="3.5" style="16" customWidth="1"/>
    <col min="14587" max="14587" width="6.09765625" style="16" customWidth="1"/>
    <col min="14588" max="14588" width="4" style="16" customWidth="1"/>
    <col min="14589" max="14589" width="8.5" style="16" customWidth="1"/>
    <col min="14590" max="14590" width="9.765625E-2" style="16" customWidth="1"/>
    <col min="14591" max="14591" width="0.5" style="16" customWidth="1"/>
    <col min="14592" max="14592" width="40.5" style="16"/>
    <col min="14593" max="14593" width="4.19921875" style="16" customWidth="1"/>
    <col min="14594" max="14594" width="25.59765625" style="16" customWidth="1"/>
    <col min="14595" max="14595" width="5" style="16" customWidth="1"/>
    <col min="14596" max="14596" width="6.19921875" style="16" customWidth="1"/>
    <col min="14597" max="14597" width="10.8984375" style="16" customWidth="1"/>
    <col min="14598" max="14598" width="5.8984375" style="16" customWidth="1"/>
    <col min="14599" max="14599" width="12.09765625" style="16" customWidth="1"/>
    <col min="14600" max="14600" width="8.59765625" style="16" customWidth="1"/>
    <col min="14601" max="14840" width="0" style="16" hidden="1" customWidth="1"/>
    <col min="14841" max="14841" width="9.09765625" style="16" customWidth="1"/>
    <col min="14842" max="14842" width="3.5" style="16" customWidth="1"/>
    <col min="14843" max="14843" width="6.09765625" style="16" customWidth="1"/>
    <col min="14844" max="14844" width="4" style="16" customWidth="1"/>
    <col min="14845" max="14845" width="8.5" style="16" customWidth="1"/>
    <col min="14846" max="14846" width="9.765625E-2" style="16" customWidth="1"/>
    <col min="14847" max="14847" width="0.5" style="16" customWidth="1"/>
    <col min="14848" max="14848" width="40.5" style="16"/>
    <col min="14849" max="14849" width="4.19921875" style="16" customWidth="1"/>
    <col min="14850" max="14850" width="25.59765625" style="16" customWidth="1"/>
    <col min="14851" max="14851" width="5" style="16" customWidth="1"/>
    <col min="14852" max="14852" width="6.19921875" style="16" customWidth="1"/>
    <col min="14853" max="14853" width="10.8984375" style="16" customWidth="1"/>
    <col min="14854" max="14854" width="5.8984375" style="16" customWidth="1"/>
    <col min="14855" max="14855" width="12.09765625" style="16" customWidth="1"/>
    <col min="14856" max="14856" width="8.59765625" style="16" customWidth="1"/>
    <col min="14857" max="15096" width="0" style="16" hidden="1" customWidth="1"/>
    <col min="15097" max="15097" width="9.09765625" style="16" customWidth="1"/>
    <col min="15098" max="15098" width="3.5" style="16" customWidth="1"/>
    <col min="15099" max="15099" width="6.09765625" style="16" customWidth="1"/>
    <col min="15100" max="15100" width="4" style="16" customWidth="1"/>
    <col min="15101" max="15101" width="8.5" style="16" customWidth="1"/>
    <col min="15102" max="15102" width="9.765625E-2" style="16" customWidth="1"/>
    <col min="15103" max="15103" width="0.5" style="16" customWidth="1"/>
    <col min="15104" max="15104" width="40.5" style="16"/>
    <col min="15105" max="15105" width="4.19921875" style="16" customWidth="1"/>
    <col min="15106" max="15106" width="25.59765625" style="16" customWidth="1"/>
    <col min="15107" max="15107" width="5" style="16" customWidth="1"/>
    <col min="15108" max="15108" width="6.19921875" style="16" customWidth="1"/>
    <col min="15109" max="15109" width="10.8984375" style="16" customWidth="1"/>
    <col min="15110" max="15110" width="5.8984375" style="16" customWidth="1"/>
    <col min="15111" max="15111" width="12.09765625" style="16" customWidth="1"/>
    <col min="15112" max="15112" width="8.59765625" style="16" customWidth="1"/>
    <col min="15113" max="15352" width="0" style="16" hidden="1" customWidth="1"/>
    <col min="15353" max="15353" width="9.09765625" style="16" customWidth="1"/>
    <col min="15354" max="15354" width="3.5" style="16" customWidth="1"/>
    <col min="15355" max="15355" width="6.09765625" style="16" customWidth="1"/>
    <col min="15356" max="15356" width="4" style="16" customWidth="1"/>
    <col min="15357" max="15357" width="8.5" style="16" customWidth="1"/>
    <col min="15358" max="15358" width="9.765625E-2" style="16" customWidth="1"/>
    <col min="15359" max="15359" width="0.5" style="16" customWidth="1"/>
    <col min="15360" max="15360" width="40.5" style="16"/>
    <col min="15361" max="15361" width="4.19921875" style="16" customWidth="1"/>
    <col min="15362" max="15362" width="25.59765625" style="16" customWidth="1"/>
    <col min="15363" max="15363" width="5" style="16" customWidth="1"/>
    <col min="15364" max="15364" width="6.19921875" style="16" customWidth="1"/>
    <col min="15365" max="15365" width="10.8984375" style="16" customWidth="1"/>
    <col min="15366" max="15366" width="5.8984375" style="16" customWidth="1"/>
    <col min="15367" max="15367" width="12.09765625" style="16" customWidth="1"/>
    <col min="15368" max="15368" width="8.59765625" style="16" customWidth="1"/>
    <col min="15369" max="15608" width="0" style="16" hidden="1" customWidth="1"/>
    <col min="15609" max="15609" width="9.09765625" style="16" customWidth="1"/>
    <col min="15610" max="15610" width="3.5" style="16" customWidth="1"/>
    <col min="15611" max="15611" width="6.09765625" style="16" customWidth="1"/>
    <col min="15612" max="15612" width="4" style="16" customWidth="1"/>
    <col min="15613" max="15613" width="8.5" style="16" customWidth="1"/>
    <col min="15614" max="15614" width="9.765625E-2" style="16" customWidth="1"/>
    <col min="15615" max="15615" width="0.5" style="16" customWidth="1"/>
    <col min="15616" max="15616" width="40.5" style="16"/>
    <col min="15617" max="15617" width="4.19921875" style="16" customWidth="1"/>
    <col min="15618" max="15618" width="25.59765625" style="16" customWidth="1"/>
    <col min="15619" max="15619" width="5" style="16" customWidth="1"/>
    <col min="15620" max="15620" width="6.19921875" style="16" customWidth="1"/>
    <col min="15621" max="15621" width="10.8984375" style="16" customWidth="1"/>
    <col min="15622" max="15622" width="5.8984375" style="16" customWidth="1"/>
    <col min="15623" max="15623" width="12.09765625" style="16" customWidth="1"/>
    <col min="15624" max="15624" width="8.59765625" style="16" customWidth="1"/>
    <col min="15625" max="15864" width="0" style="16" hidden="1" customWidth="1"/>
    <col min="15865" max="15865" width="9.09765625" style="16" customWidth="1"/>
    <col min="15866" max="15866" width="3.5" style="16" customWidth="1"/>
    <col min="15867" max="15867" width="6.09765625" style="16" customWidth="1"/>
    <col min="15868" max="15868" width="4" style="16" customWidth="1"/>
    <col min="15869" max="15869" width="8.5" style="16" customWidth="1"/>
    <col min="15870" max="15870" width="9.765625E-2" style="16" customWidth="1"/>
    <col min="15871" max="15871" width="0.5" style="16" customWidth="1"/>
    <col min="15872" max="15872" width="40.5" style="16"/>
    <col min="15873" max="15873" width="4.19921875" style="16" customWidth="1"/>
    <col min="15874" max="15874" width="25.59765625" style="16" customWidth="1"/>
    <col min="15875" max="15875" width="5" style="16" customWidth="1"/>
    <col min="15876" max="15876" width="6.19921875" style="16" customWidth="1"/>
    <col min="15877" max="15877" width="10.8984375" style="16" customWidth="1"/>
    <col min="15878" max="15878" width="5.8984375" style="16" customWidth="1"/>
    <col min="15879" max="15879" width="12.09765625" style="16" customWidth="1"/>
    <col min="15880" max="15880" width="8.59765625" style="16" customWidth="1"/>
    <col min="15881" max="16120" width="0" style="16" hidden="1" customWidth="1"/>
    <col min="16121" max="16121" width="9.09765625" style="16" customWidth="1"/>
    <col min="16122" max="16122" width="3.5" style="16" customWidth="1"/>
    <col min="16123" max="16123" width="6.09765625" style="16" customWidth="1"/>
    <col min="16124" max="16124" width="4" style="16" customWidth="1"/>
    <col min="16125" max="16125" width="8.5" style="16" customWidth="1"/>
    <col min="16126" max="16126" width="9.765625E-2" style="16" customWidth="1"/>
    <col min="16127" max="16127" width="0.5" style="16" customWidth="1"/>
    <col min="16128" max="16128" width="40.5" style="16"/>
    <col min="16129" max="16129" width="4.19921875" style="16" customWidth="1"/>
    <col min="16130" max="16130" width="25.59765625" style="16" customWidth="1"/>
    <col min="16131" max="16131" width="5" style="16" customWidth="1"/>
    <col min="16132" max="16132" width="6.19921875" style="16" customWidth="1"/>
    <col min="16133" max="16133" width="10.8984375" style="16" customWidth="1"/>
    <col min="16134" max="16134" width="5.8984375" style="16" customWidth="1"/>
    <col min="16135" max="16135" width="12.09765625" style="16" customWidth="1"/>
    <col min="16136" max="16136" width="8.59765625" style="16" customWidth="1"/>
    <col min="16137" max="16376" width="0" style="16" hidden="1" customWidth="1"/>
    <col min="16377" max="16377" width="9.09765625" style="16" customWidth="1"/>
    <col min="16378" max="16378" width="3.5" style="16" customWidth="1"/>
    <col min="16379" max="16379" width="6.09765625" style="16" customWidth="1"/>
    <col min="16380" max="16380" width="4" style="16" customWidth="1"/>
    <col min="16381" max="16381" width="8.5" style="16" customWidth="1"/>
    <col min="16382" max="16382" width="9.765625E-2" style="16" customWidth="1"/>
    <col min="16383" max="16383" width="0.5" style="16" customWidth="1"/>
    <col min="16384" max="16384" width="40.5" style="16"/>
  </cols>
  <sheetData>
    <row r="1" spans="1:249" s="98" customFormat="1" ht="16.8">
      <c r="A1" s="443" t="s">
        <v>1737</v>
      </c>
      <c r="B1" s="444"/>
      <c r="C1" s="445" t="s">
        <v>56</v>
      </c>
      <c r="D1" s="445"/>
      <c r="E1" s="445"/>
      <c r="F1" s="445"/>
      <c r="G1" s="445"/>
      <c r="H1" s="445"/>
    </row>
    <row r="2" spans="1:249" s="98" customFormat="1" ht="16.95" customHeight="1">
      <c r="A2" s="445" t="s">
        <v>67</v>
      </c>
      <c r="B2" s="412"/>
      <c r="C2" s="445" t="s">
        <v>13</v>
      </c>
      <c r="D2" s="445"/>
      <c r="E2" s="445"/>
      <c r="F2" s="445"/>
      <c r="G2" s="445"/>
      <c r="H2" s="445"/>
    </row>
    <row r="3" spans="1:249" s="98" customFormat="1" ht="17.399999999999999">
      <c r="A3" s="418" t="s">
        <v>1738</v>
      </c>
      <c r="B3" s="418"/>
      <c r="C3" s="202"/>
      <c r="D3" s="203"/>
      <c r="E3" s="204"/>
      <c r="F3" s="205"/>
      <c r="G3" s="206"/>
      <c r="H3" s="103"/>
    </row>
    <row r="4" spans="1:249" s="98" customFormat="1" ht="18" customHeight="1">
      <c r="A4" s="443"/>
      <c r="B4" s="443"/>
      <c r="C4" s="415" t="s">
        <v>1740</v>
      </c>
      <c r="D4" s="415"/>
      <c r="E4" s="415"/>
      <c r="F4" s="415"/>
      <c r="G4" s="415"/>
      <c r="H4" s="415"/>
    </row>
    <row r="5" spans="1:249" s="98" customFormat="1" ht="15.6">
      <c r="A5" s="207"/>
      <c r="B5" s="207"/>
      <c r="C5" s="208"/>
      <c r="D5" s="209"/>
      <c r="E5" s="210"/>
      <c r="F5" s="208"/>
      <c r="G5" s="206"/>
      <c r="H5" s="211"/>
    </row>
    <row r="6" spans="1:249" s="98" customFormat="1" ht="17.399999999999999">
      <c r="A6" s="441" t="s">
        <v>14</v>
      </c>
      <c r="B6" s="441"/>
      <c r="C6" s="441"/>
      <c r="D6" s="441"/>
      <c r="E6" s="441"/>
      <c r="F6" s="441"/>
      <c r="G6" s="441"/>
      <c r="H6" s="441"/>
    </row>
    <row r="7" spans="1:249" s="98" customFormat="1" ht="57.75" customHeight="1">
      <c r="A7" s="418" t="s">
        <v>1739</v>
      </c>
      <c r="B7" s="418"/>
      <c r="C7" s="418"/>
      <c r="D7" s="418"/>
      <c r="E7" s="418"/>
      <c r="F7" s="418"/>
      <c r="G7" s="418"/>
      <c r="H7" s="418"/>
    </row>
    <row r="8" spans="1:249" s="98" customFormat="1" ht="24.75" customHeight="1">
      <c r="A8" s="420" t="s">
        <v>2215</v>
      </c>
      <c r="B8" s="420"/>
      <c r="C8" s="420"/>
      <c r="D8" s="420"/>
      <c r="E8" s="420"/>
      <c r="F8" s="420"/>
      <c r="G8" s="420"/>
      <c r="H8" s="420"/>
    </row>
    <row r="9" spans="1:249" s="98" customFormat="1" ht="23.25" customHeight="1">
      <c r="A9" s="420" t="s">
        <v>1752</v>
      </c>
      <c r="B9" s="420"/>
      <c r="C9" s="420"/>
      <c r="D9" s="420"/>
      <c r="E9" s="420"/>
      <c r="F9" s="420"/>
      <c r="G9" s="420"/>
      <c r="H9" s="420"/>
    </row>
    <row r="10" spans="1:249" s="98" customFormat="1" ht="73.2" customHeight="1">
      <c r="A10" s="421" t="s">
        <v>1741</v>
      </c>
      <c r="B10" s="421"/>
      <c r="C10" s="421"/>
      <c r="D10" s="421"/>
      <c r="E10" s="421"/>
      <c r="F10" s="421"/>
      <c r="G10" s="421"/>
      <c r="H10" s="421"/>
    </row>
    <row r="11" spans="1:249" s="98" customFormat="1" ht="37.200000000000003" customHeight="1">
      <c r="A11" s="442" t="s">
        <v>1723</v>
      </c>
      <c r="B11" s="442"/>
      <c r="C11" s="442"/>
      <c r="D11" s="442"/>
      <c r="E11" s="442"/>
      <c r="F11" s="442"/>
      <c r="G11" s="442"/>
      <c r="H11" s="442"/>
    </row>
    <row r="12" spans="1:249" s="87" customFormat="1" ht="46.2" customHeight="1">
      <c r="A12" s="90" t="s">
        <v>15</v>
      </c>
      <c r="B12" s="90" t="s">
        <v>57</v>
      </c>
      <c r="C12" s="90" t="s">
        <v>58</v>
      </c>
      <c r="D12" s="91" t="s">
        <v>59</v>
      </c>
      <c r="E12" s="92" t="s">
        <v>20</v>
      </c>
      <c r="F12" s="93" t="s">
        <v>60</v>
      </c>
      <c r="G12" s="92" t="s">
        <v>61</v>
      </c>
      <c r="H12" s="90" t="s">
        <v>16</v>
      </c>
    </row>
    <row r="13" spans="1:249" s="17" customFormat="1" ht="36" customHeight="1">
      <c r="A13" s="96" t="s">
        <v>17</v>
      </c>
      <c r="B13" s="425" t="s">
        <v>2216</v>
      </c>
      <c r="C13" s="425"/>
      <c r="D13" s="425"/>
      <c r="E13" s="425"/>
      <c r="F13" s="425"/>
      <c r="G13" s="73">
        <f>G14</f>
        <v>0</v>
      </c>
      <c r="H13" s="74"/>
    </row>
    <row r="14" spans="1:249" s="131" customFormat="1" ht="93.6">
      <c r="A14" s="123"/>
      <c r="B14" s="124" t="s">
        <v>2217</v>
      </c>
      <c r="C14" s="125" t="s">
        <v>1753</v>
      </c>
      <c r="D14" s="126">
        <v>0</v>
      </c>
      <c r="E14" s="127">
        <v>0</v>
      </c>
      <c r="F14" s="188">
        <v>0</v>
      </c>
      <c r="G14" s="129">
        <f>D14*E14*F14</f>
        <v>0</v>
      </c>
      <c r="H14" s="130"/>
      <c r="IO14" s="131" t="s">
        <v>2218</v>
      </c>
    </row>
    <row r="15" spans="1:249" ht="27" customHeight="1">
      <c r="A15" s="75" t="s">
        <v>18</v>
      </c>
      <c r="B15" s="426" t="s">
        <v>1725</v>
      </c>
      <c r="C15" s="426"/>
      <c r="D15" s="426"/>
      <c r="E15" s="426"/>
      <c r="F15" s="426"/>
      <c r="G15" s="76">
        <f>SUM(G16:G16)</f>
        <v>49594.947160000011</v>
      </c>
      <c r="H15" s="11"/>
    </row>
    <row r="16" spans="1:249" ht="31.2">
      <c r="A16" s="77">
        <v>1</v>
      </c>
      <c r="B16" s="78" t="s">
        <v>2219</v>
      </c>
      <c r="C16" s="14" t="s">
        <v>1754</v>
      </c>
      <c r="D16" s="132">
        <f>0.2*5.3*0.11</f>
        <v>0.11660000000000001</v>
      </c>
      <c r="E16" s="15">
        <v>2126713</v>
      </c>
      <c r="F16" s="187">
        <v>0.2</v>
      </c>
      <c r="G16" s="79">
        <f t="shared" ref="G16" si="0">D16*E16*F16</f>
        <v>49594.947160000011</v>
      </c>
      <c r="H16" s="15"/>
    </row>
    <row r="17" spans="1:8" ht="24" customHeight="1">
      <c r="A17" s="75" t="s">
        <v>19</v>
      </c>
      <c r="B17" s="426" t="s">
        <v>1727</v>
      </c>
      <c r="C17" s="426"/>
      <c r="D17" s="426"/>
      <c r="E17" s="426"/>
      <c r="F17" s="426"/>
      <c r="G17" s="76">
        <f>G18</f>
        <v>8150</v>
      </c>
      <c r="H17" s="11"/>
    </row>
    <row r="18" spans="1:8" s="12" customFormat="1" ht="34.200000000000003" customHeight="1">
      <c r="A18" s="94">
        <v>1</v>
      </c>
      <c r="B18" s="13" t="s">
        <v>33</v>
      </c>
      <c r="C18" s="14" t="s">
        <v>66</v>
      </c>
      <c r="D18" s="14">
        <v>2</v>
      </c>
      <c r="E18" s="79">
        <f>VLOOKUP(B18,'[20]Đơn giá cây cối'!$A$2:$C$1361,3,0)</f>
        <v>16300</v>
      </c>
      <c r="F18" s="132">
        <v>0.25</v>
      </c>
      <c r="G18" s="79">
        <f>D18*E18*F18</f>
        <v>8150</v>
      </c>
      <c r="H18" s="95"/>
    </row>
    <row r="19" spans="1:8" ht="15.6">
      <c r="A19" s="80"/>
      <c r="B19" s="427" t="s">
        <v>62</v>
      </c>
      <c r="C19" s="428"/>
      <c r="D19" s="428"/>
      <c r="E19" s="428"/>
      <c r="F19" s="429"/>
      <c r="G19" s="81">
        <f>G13+G15+G17</f>
        <v>57744.947160000011</v>
      </c>
      <c r="H19" s="82"/>
    </row>
    <row r="20" spans="1:8" ht="15.6">
      <c r="A20" s="80"/>
      <c r="B20" s="427" t="s">
        <v>1726</v>
      </c>
      <c r="C20" s="428"/>
      <c r="D20" s="428"/>
      <c r="E20" s="428"/>
      <c r="F20" s="429"/>
      <c r="G20" s="81">
        <f>ROUND(G19,-3)</f>
        <v>58000</v>
      </c>
      <c r="H20" s="82"/>
    </row>
    <row r="21" spans="1:8" ht="15.6">
      <c r="A21" s="430" t="e">
        <f ca="1">[21]!uni(G20)</f>
        <v>#NAME?</v>
      </c>
      <c r="B21" s="431"/>
      <c r="C21" s="431"/>
      <c r="D21" s="431"/>
      <c r="E21" s="431"/>
      <c r="F21" s="431"/>
      <c r="G21" s="431"/>
      <c r="H21" s="432"/>
    </row>
    <row r="22" spans="1:8">
      <c r="A22" s="17"/>
      <c r="B22" s="17"/>
      <c r="C22" s="97"/>
      <c r="D22" s="20"/>
      <c r="E22" s="19"/>
      <c r="F22" s="97"/>
      <c r="G22" s="19"/>
      <c r="H22" s="17"/>
    </row>
    <row r="23" spans="1:8" s="109" customFormat="1" ht="16.5" customHeight="1">
      <c r="A23" s="108"/>
      <c r="B23" s="108"/>
      <c r="C23" s="424" t="s">
        <v>1742</v>
      </c>
      <c r="D23" s="424"/>
      <c r="E23" s="424"/>
      <c r="F23" s="424"/>
      <c r="G23" s="424"/>
      <c r="H23" s="424"/>
    </row>
    <row r="24" spans="1:8" s="109" customFormat="1" ht="16.5" customHeight="1">
      <c r="A24" s="423" t="s">
        <v>63</v>
      </c>
      <c r="B24" s="423"/>
      <c r="C24" s="424" t="s">
        <v>1743</v>
      </c>
      <c r="D24" s="424"/>
      <c r="E24" s="424"/>
      <c r="F24" s="424" t="s">
        <v>1744</v>
      </c>
      <c r="G24" s="424"/>
      <c r="H24" s="424"/>
    </row>
    <row r="25" spans="1:8" s="109" customFormat="1" ht="15.6">
      <c r="A25" s="108"/>
      <c r="B25" s="108"/>
      <c r="C25" s="108"/>
      <c r="D25" s="110"/>
      <c r="E25" s="111"/>
      <c r="F25" s="112"/>
      <c r="G25" s="111"/>
      <c r="H25" s="113"/>
    </row>
    <row r="26" spans="1:8" s="109" customFormat="1" ht="15.6">
      <c r="A26" s="108"/>
      <c r="B26" s="108"/>
      <c r="C26" s="108"/>
      <c r="D26" s="110"/>
      <c r="E26" s="111"/>
      <c r="F26" s="112"/>
      <c r="G26" s="114"/>
      <c r="H26" s="113"/>
    </row>
    <row r="27" spans="1:8" s="109" customFormat="1" ht="15.6">
      <c r="A27" s="108"/>
      <c r="B27" s="108"/>
      <c r="C27" s="108"/>
      <c r="D27" s="110"/>
      <c r="E27" s="111"/>
      <c r="F27" s="112"/>
      <c r="G27" s="111"/>
      <c r="H27" s="113"/>
    </row>
    <row r="28" spans="1:8" s="109" customFormat="1" ht="15.6">
      <c r="A28" s="108"/>
      <c r="B28" s="108"/>
      <c r="C28" s="108"/>
      <c r="D28" s="110"/>
      <c r="E28" s="111"/>
      <c r="F28" s="112"/>
      <c r="G28" s="111"/>
      <c r="H28" s="113"/>
    </row>
    <row r="29" spans="1:8" s="109" customFormat="1" ht="15.6">
      <c r="A29" s="108"/>
      <c r="B29" s="108"/>
      <c r="C29" s="108"/>
      <c r="D29" s="110"/>
      <c r="E29" s="111"/>
      <c r="F29" s="112"/>
      <c r="G29" s="111"/>
      <c r="H29" s="113"/>
    </row>
    <row r="30" spans="1:8" s="109" customFormat="1" ht="16.5" customHeight="1">
      <c r="A30" s="108"/>
      <c r="B30" s="198" t="s">
        <v>64</v>
      </c>
      <c r="C30" s="424"/>
      <c r="D30" s="424"/>
      <c r="E30" s="424"/>
      <c r="F30" s="424" t="s">
        <v>1745</v>
      </c>
      <c r="G30" s="424"/>
      <c r="H30" s="424"/>
    </row>
    <row r="31" spans="1:8" s="109" customFormat="1" ht="15.6">
      <c r="A31" s="108"/>
      <c r="B31" s="198"/>
      <c r="C31" s="199"/>
      <c r="D31" s="199"/>
      <c r="E31" s="199"/>
      <c r="F31" s="199"/>
      <c r="G31" s="199"/>
      <c r="H31" s="199"/>
    </row>
    <row r="32" spans="1:8" s="109" customFormat="1" ht="15" customHeight="1">
      <c r="A32" s="424" t="s">
        <v>1746</v>
      </c>
      <c r="B32" s="424"/>
      <c r="C32" s="424"/>
      <c r="D32" s="424"/>
      <c r="E32" s="424" t="s">
        <v>1747</v>
      </c>
      <c r="F32" s="424"/>
      <c r="G32" s="424"/>
      <c r="H32" s="424"/>
    </row>
    <row r="33" spans="1:8" s="109" customFormat="1" ht="33.6" customHeight="1">
      <c r="A33" s="424" t="s">
        <v>1748</v>
      </c>
      <c r="B33" s="424"/>
      <c r="C33" s="424"/>
      <c r="D33" s="424"/>
      <c r="E33" s="424" t="s">
        <v>65</v>
      </c>
      <c r="F33" s="424"/>
      <c r="G33" s="424"/>
      <c r="H33" s="424"/>
    </row>
    <row r="34" spans="1:8" s="109" customFormat="1" ht="15.6">
      <c r="A34" s="108"/>
      <c r="B34" s="108"/>
      <c r="C34" s="108"/>
      <c r="D34" s="110"/>
      <c r="E34" s="111"/>
      <c r="F34" s="112"/>
      <c r="G34" s="111"/>
      <c r="H34" s="113"/>
    </row>
    <row r="35" spans="1:8" s="109" customFormat="1" ht="15.6">
      <c r="A35" s="108"/>
      <c r="B35" s="108"/>
      <c r="C35" s="108"/>
      <c r="D35" s="110"/>
      <c r="E35" s="111"/>
      <c r="F35" s="112"/>
      <c r="G35" s="111"/>
      <c r="H35" s="113"/>
    </row>
    <row r="36" spans="1:8" s="109" customFormat="1" ht="15.6">
      <c r="A36" s="108"/>
      <c r="B36" s="108"/>
      <c r="C36" s="108"/>
      <c r="D36" s="110"/>
      <c r="E36" s="111"/>
      <c r="F36" s="112"/>
      <c r="G36" s="111"/>
      <c r="H36" s="113"/>
    </row>
    <row r="37" spans="1:8" s="109" customFormat="1" ht="15.6">
      <c r="A37" s="108"/>
      <c r="B37" s="108"/>
      <c r="C37" s="108"/>
      <c r="D37" s="110"/>
      <c r="E37" s="111"/>
      <c r="F37" s="112"/>
      <c r="G37" s="111"/>
      <c r="H37" s="113"/>
    </row>
    <row r="38" spans="1:8" s="109" customFormat="1" ht="15.6">
      <c r="A38" s="108"/>
      <c r="B38" s="108"/>
      <c r="C38" s="108"/>
      <c r="D38" s="110"/>
      <c r="E38" s="111"/>
      <c r="F38" s="112"/>
      <c r="G38" s="111"/>
      <c r="H38" s="113"/>
    </row>
    <row r="39" spans="1:8" s="109" customFormat="1" ht="15.6" customHeight="1">
      <c r="A39" s="108"/>
      <c r="B39" s="108"/>
      <c r="C39" s="108"/>
      <c r="D39" s="115"/>
      <c r="E39" s="439" t="s">
        <v>1749</v>
      </c>
      <c r="F39" s="439"/>
      <c r="G39" s="439"/>
      <c r="H39" s="439"/>
    </row>
    <row r="40" spans="1:8" s="109" customFormat="1" ht="16.5" customHeight="1">
      <c r="A40" s="424" t="s">
        <v>1751</v>
      </c>
      <c r="B40" s="424"/>
      <c r="C40" s="424"/>
      <c r="D40" s="424"/>
      <c r="E40" s="424" t="s">
        <v>1750</v>
      </c>
      <c r="F40" s="424"/>
      <c r="G40" s="424"/>
      <c r="H40" s="424"/>
    </row>
    <row r="41" spans="1:8" s="118" customFormat="1" ht="16.2" customHeight="1">
      <c r="A41" s="440"/>
      <c r="B41" s="440"/>
      <c r="C41" s="116"/>
      <c r="D41" s="117"/>
      <c r="E41" s="440"/>
      <c r="F41" s="440"/>
      <c r="G41" s="440"/>
      <c r="H41" s="440"/>
    </row>
    <row r="42" spans="1:8" s="118" customFormat="1" ht="15.75" customHeight="1">
      <c r="A42" s="440"/>
      <c r="B42" s="440"/>
      <c r="C42" s="440"/>
      <c r="D42" s="440"/>
      <c r="E42" s="440"/>
      <c r="F42" s="440"/>
      <c r="G42" s="440"/>
      <c r="H42" s="440"/>
    </row>
    <row r="43" spans="1:8" s="98" customFormat="1" ht="16.2" customHeight="1">
      <c r="A43" s="436"/>
      <c r="B43" s="436"/>
      <c r="C43" s="436"/>
      <c r="D43" s="436"/>
      <c r="E43" s="119"/>
      <c r="F43" s="120"/>
      <c r="G43" s="119"/>
      <c r="H43" s="121"/>
    </row>
    <row r="44" spans="1:8" s="98" customFormat="1" ht="16.2" customHeight="1">
      <c r="A44" s="436"/>
      <c r="B44" s="436"/>
      <c r="C44" s="436"/>
      <c r="D44" s="436"/>
      <c r="E44" s="119"/>
      <c r="F44" s="120"/>
      <c r="G44" s="119"/>
      <c r="H44" s="121"/>
    </row>
    <row r="45" spans="1:8" s="98" customFormat="1" ht="16.2" customHeight="1">
      <c r="A45" s="121"/>
      <c r="B45" s="121"/>
      <c r="C45" s="121"/>
      <c r="D45" s="122"/>
      <c r="E45" s="119"/>
      <c r="F45" s="120"/>
      <c r="G45" s="119"/>
      <c r="H45" s="121"/>
    </row>
    <row r="46" spans="1:8" ht="16.2" customHeight="1">
      <c r="A46" s="83"/>
      <c r="B46" s="83"/>
      <c r="C46" s="83"/>
      <c r="D46" s="84"/>
      <c r="E46" s="85"/>
      <c r="F46" s="86"/>
      <c r="G46" s="85"/>
      <c r="H46" s="83"/>
    </row>
    <row r="47" spans="1:8" ht="16.2" customHeight="1">
      <c r="A47" s="83"/>
      <c r="B47" s="83"/>
      <c r="C47" s="83"/>
      <c r="D47" s="84"/>
      <c r="E47" s="85"/>
      <c r="F47" s="86"/>
      <c r="G47" s="85"/>
      <c r="H47" s="83"/>
    </row>
    <row r="48" spans="1:8" ht="16.2" customHeight="1">
      <c r="A48" s="83"/>
      <c r="B48" s="83"/>
      <c r="C48" s="83"/>
      <c r="D48" s="84"/>
      <c r="E48" s="85"/>
      <c r="F48" s="86"/>
      <c r="G48" s="85"/>
      <c r="H48" s="83"/>
    </row>
    <row r="49" spans="1:8" ht="16.2" customHeight="1">
      <c r="A49" s="83"/>
      <c r="B49" s="83"/>
      <c r="C49" s="83"/>
      <c r="D49" s="84"/>
      <c r="E49" s="437"/>
      <c r="F49" s="437"/>
      <c r="G49" s="437"/>
      <c r="H49" s="437"/>
    </row>
    <row r="50" spans="1:8" ht="20.25" customHeight="1">
      <c r="A50" s="438"/>
      <c r="B50" s="438"/>
      <c r="C50" s="438"/>
      <c r="D50" s="438"/>
      <c r="E50" s="438"/>
      <c r="F50" s="438"/>
      <c r="G50" s="438"/>
      <c r="H50" s="438"/>
    </row>
    <row r="51" spans="1:8" s="17" customFormat="1" ht="16.2" customHeight="1">
      <c r="D51" s="18"/>
      <c r="E51" s="19"/>
      <c r="F51" s="97"/>
      <c r="G51" s="19"/>
    </row>
    <row r="52" spans="1:8" s="17" customFormat="1" ht="16.2" customHeight="1">
      <c r="D52" s="18"/>
      <c r="E52" s="19"/>
      <c r="F52" s="97"/>
      <c r="G52" s="19"/>
    </row>
    <row r="53" spans="1:8" s="17" customFormat="1" ht="16.2" customHeight="1">
      <c r="D53" s="18"/>
      <c r="E53" s="19"/>
      <c r="F53" s="97"/>
      <c r="G53" s="19"/>
    </row>
    <row r="54" spans="1:8" s="17" customFormat="1" ht="16.2" customHeight="1">
      <c r="D54" s="18"/>
      <c r="E54" s="19"/>
      <c r="F54" s="97"/>
      <c r="G54" s="19"/>
    </row>
    <row r="55" spans="1:8" s="17" customFormat="1" ht="16.2" customHeight="1">
      <c r="D55" s="18"/>
      <c r="E55" s="19"/>
      <c r="F55" s="97"/>
      <c r="G55" s="19"/>
    </row>
    <row r="56" spans="1:8" s="17" customFormat="1" ht="16.2" customHeight="1">
      <c r="D56" s="18"/>
      <c r="E56" s="19"/>
      <c r="F56" s="97"/>
      <c r="G56" s="19"/>
    </row>
    <row r="57" spans="1:8" s="17" customFormat="1" ht="16.2" customHeight="1">
      <c r="D57" s="18"/>
      <c r="E57" s="19"/>
      <c r="F57" s="97"/>
      <c r="G57" s="19"/>
    </row>
    <row r="58" spans="1:8" s="17" customFormat="1" ht="16.2" customHeight="1">
      <c r="D58" s="18"/>
      <c r="E58" s="19"/>
      <c r="F58" s="97"/>
      <c r="G58" s="19"/>
    </row>
    <row r="59" spans="1:8" s="17" customFormat="1" ht="16.2" customHeight="1">
      <c r="D59" s="18"/>
      <c r="E59" s="19"/>
      <c r="F59" s="97"/>
      <c r="G59" s="19"/>
    </row>
    <row r="60" spans="1:8" s="17" customFormat="1" ht="16.2" customHeight="1">
      <c r="D60" s="18"/>
      <c r="E60" s="19"/>
      <c r="F60" s="97"/>
      <c r="G60" s="19"/>
    </row>
    <row r="61" spans="1:8" s="17" customFormat="1" ht="16.2" customHeight="1">
      <c r="D61" s="18"/>
      <c r="E61" s="19"/>
      <c r="F61" s="97"/>
      <c r="G61" s="19"/>
    </row>
    <row r="62" spans="1:8" s="17" customFormat="1" ht="16.2" customHeight="1">
      <c r="D62" s="18"/>
      <c r="E62" s="19"/>
      <c r="F62" s="97"/>
      <c r="G62" s="19"/>
    </row>
    <row r="63" spans="1:8" s="17" customFormat="1" ht="16.2" customHeight="1">
      <c r="D63" s="18"/>
      <c r="E63" s="19"/>
      <c r="F63" s="97"/>
      <c r="G63" s="19"/>
    </row>
    <row r="64" spans="1:8" s="17" customFormat="1" ht="16.2" customHeight="1">
      <c r="D64" s="18"/>
      <c r="E64" s="19"/>
      <c r="F64" s="97"/>
      <c r="G64" s="19"/>
    </row>
    <row r="65" spans="3:7" s="17" customFormat="1" ht="16.2" customHeight="1">
      <c r="D65" s="18"/>
      <c r="E65" s="19"/>
      <c r="F65" s="97"/>
      <c r="G65" s="19"/>
    </row>
    <row r="66" spans="3:7" s="17" customFormat="1" ht="16.2" customHeight="1">
      <c r="D66" s="18"/>
      <c r="E66" s="19"/>
      <c r="F66" s="97"/>
      <c r="G66" s="19"/>
    </row>
    <row r="67" spans="3:7" s="17" customFormat="1" ht="16.2" customHeight="1">
      <c r="C67" s="97"/>
      <c r="D67" s="20"/>
      <c r="E67" s="19"/>
      <c r="F67" s="97"/>
      <c r="G67" s="19"/>
    </row>
    <row r="68" spans="3:7" s="17" customFormat="1" ht="16.2" customHeight="1">
      <c r="C68" s="97"/>
      <c r="D68" s="20"/>
      <c r="E68" s="19"/>
      <c r="F68" s="97"/>
      <c r="G68" s="19"/>
    </row>
    <row r="69" spans="3:7" s="17" customFormat="1" ht="16.2" customHeight="1">
      <c r="C69" s="97"/>
      <c r="D69" s="20"/>
      <c r="E69" s="19"/>
      <c r="F69" s="97"/>
      <c r="G69" s="19"/>
    </row>
    <row r="70" spans="3:7" s="17" customFormat="1" ht="16.2" customHeight="1">
      <c r="C70" s="97"/>
      <c r="D70" s="20"/>
      <c r="E70" s="19"/>
      <c r="F70" s="97"/>
      <c r="G70" s="19"/>
    </row>
    <row r="71" spans="3:7" s="17" customFormat="1" ht="16.2" customHeight="1">
      <c r="C71" s="97"/>
      <c r="D71" s="20"/>
      <c r="E71" s="19"/>
      <c r="F71" s="97"/>
      <c r="G71" s="19"/>
    </row>
    <row r="72" spans="3:7" s="17" customFormat="1" ht="16.2" customHeight="1">
      <c r="C72" s="97"/>
      <c r="D72" s="20"/>
      <c r="E72" s="19"/>
      <c r="F72" s="97"/>
      <c r="G72" s="19"/>
    </row>
    <row r="73" spans="3:7" s="17" customFormat="1" ht="16.2" customHeight="1">
      <c r="C73" s="97"/>
      <c r="D73" s="20"/>
      <c r="E73" s="19"/>
      <c r="F73" s="97"/>
      <c r="G73" s="19"/>
    </row>
    <row r="74" spans="3:7" s="17" customFormat="1" ht="16.2" customHeight="1">
      <c r="C74" s="97"/>
      <c r="D74" s="20"/>
      <c r="E74" s="19"/>
      <c r="F74" s="97"/>
      <c r="G74" s="19"/>
    </row>
    <row r="75" spans="3:7" s="17" customFormat="1" ht="16.2" customHeight="1">
      <c r="C75" s="97"/>
      <c r="D75" s="20"/>
      <c r="E75" s="19"/>
      <c r="F75" s="97"/>
      <c r="G75" s="19"/>
    </row>
    <row r="76" spans="3:7" s="17" customFormat="1" ht="16.2" customHeight="1">
      <c r="C76" s="97"/>
      <c r="D76" s="20"/>
      <c r="E76" s="19"/>
      <c r="F76" s="97"/>
      <c r="G76" s="19"/>
    </row>
    <row r="77" spans="3:7" s="17" customFormat="1" ht="16.2" customHeight="1">
      <c r="C77" s="97"/>
      <c r="D77" s="20"/>
      <c r="E77" s="19"/>
      <c r="F77" s="97"/>
      <c r="G77" s="19"/>
    </row>
    <row r="78" spans="3:7" s="17" customFormat="1" ht="16.2" customHeight="1">
      <c r="C78" s="97"/>
      <c r="D78" s="20"/>
      <c r="E78" s="19"/>
      <c r="F78" s="97"/>
      <c r="G78" s="19"/>
    </row>
    <row r="79" spans="3:7" ht="16.2" customHeight="1"/>
    <row r="80" spans="3:7" ht="16.2" customHeight="1"/>
    <row r="81" ht="16.2" customHeight="1"/>
    <row r="82" ht="16.2" customHeight="1"/>
    <row r="83" ht="16.2" customHeight="1"/>
    <row r="84" ht="16.2" customHeight="1"/>
    <row r="85" ht="16.2" customHeight="1"/>
    <row r="86" ht="16.2" customHeight="1"/>
    <row r="87" ht="16.2" customHeight="1"/>
    <row r="88" ht="16.2" customHeight="1"/>
    <row r="89" ht="16.2" customHeight="1"/>
    <row r="90" ht="16.2" customHeight="1"/>
    <row r="91" ht="16.2" customHeight="1"/>
    <row r="92" ht="16.2" customHeight="1"/>
    <row r="93" ht="16.2" customHeight="1"/>
    <row r="94" ht="16.2" customHeight="1"/>
    <row r="95" ht="16.2" customHeight="1"/>
    <row r="96" ht="16.2" customHeight="1"/>
    <row r="97" ht="16.2" customHeight="1"/>
    <row r="98" ht="16.2" customHeight="1"/>
    <row r="99" ht="16.2" customHeight="1"/>
    <row r="100" ht="16.2" customHeight="1"/>
    <row r="101" ht="16.2" customHeight="1"/>
    <row r="102" ht="16.2" customHeight="1"/>
    <row r="103" ht="16.2" customHeight="1"/>
    <row r="104" ht="16.2" customHeight="1"/>
    <row r="105" ht="16.2" customHeight="1"/>
    <row r="106" ht="16.2" customHeight="1"/>
    <row r="107" ht="16.2" customHeight="1"/>
    <row r="108" ht="16.2" customHeight="1"/>
    <row r="109" ht="16.2" customHeight="1"/>
    <row r="110" ht="16.2" customHeight="1"/>
    <row r="111" ht="16.2" customHeight="1"/>
    <row r="112" ht="16.2" customHeight="1"/>
    <row r="113" ht="16.2" customHeight="1"/>
    <row r="114" ht="16.2" customHeight="1"/>
    <row r="115" ht="16.2" customHeight="1"/>
    <row r="116" ht="16.2" customHeight="1"/>
    <row r="117" ht="16.2" customHeight="1"/>
    <row r="118" ht="16.2" customHeight="1"/>
    <row r="119" ht="16.2" customHeight="1"/>
    <row r="120" ht="16.2" customHeight="1"/>
    <row r="121" ht="16.2" customHeight="1"/>
    <row r="122" ht="16.2" customHeight="1"/>
    <row r="123" ht="16.2" customHeight="1"/>
    <row r="124" ht="16.2" customHeight="1"/>
    <row r="125" ht="16.2" customHeight="1"/>
    <row r="126" ht="16.2" customHeight="1"/>
    <row r="127" ht="16.2" customHeight="1"/>
    <row r="128" ht="16.2" customHeight="1"/>
    <row r="129" ht="16.2" customHeight="1"/>
    <row r="130" ht="16.2" customHeight="1"/>
    <row r="131" ht="16.2" customHeight="1"/>
    <row r="132" ht="16.2" customHeight="1"/>
    <row r="133" ht="16.2" customHeight="1"/>
    <row r="134" ht="16.2" customHeight="1"/>
    <row r="135" ht="16.2" customHeight="1"/>
    <row r="136" ht="16.2" customHeight="1"/>
    <row r="137" ht="16.2" customHeight="1"/>
    <row r="138" ht="16.2" customHeight="1"/>
    <row r="139" ht="16.2" customHeight="1"/>
    <row r="140" ht="16.2" customHeight="1"/>
    <row r="141" ht="16.2" customHeight="1"/>
    <row r="142" ht="16.2" customHeight="1"/>
    <row r="143" ht="16.2" customHeight="1"/>
    <row r="144" ht="16.2" customHeight="1"/>
    <row r="145" ht="16.2" customHeight="1"/>
    <row r="146" ht="16.2" customHeight="1"/>
    <row r="147" ht="16.2" customHeight="1"/>
    <row r="148" ht="16.2" customHeight="1"/>
    <row r="149" ht="16.2" customHeight="1"/>
    <row r="150" ht="16.2" customHeight="1"/>
    <row r="151" ht="16.2" customHeight="1"/>
    <row r="152" ht="16.2" customHeight="1"/>
    <row r="153" ht="16.2" customHeight="1"/>
    <row r="154" ht="16.2" customHeight="1"/>
    <row r="155" ht="16.2" customHeight="1"/>
    <row r="156" ht="16.2" customHeight="1"/>
    <row r="157" ht="16.2" customHeight="1"/>
    <row r="158" ht="16.2" customHeight="1"/>
    <row r="159" ht="16.2" customHeight="1"/>
    <row r="160" ht="16.2" customHeight="1"/>
    <row r="161" ht="16.2" customHeight="1"/>
    <row r="162" ht="16.2" customHeight="1"/>
    <row r="163" ht="16.2" customHeight="1"/>
    <row r="164" ht="16.2" customHeight="1"/>
    <row r="165" ht="16.2" customHeight="1"/>
    <row r="166" ht="16.2" customHeight="1"/>
    <row r="167" ht="16.2" customHeight="1"/>
    <row r="168" ht="16.2" customHeight="1"/>
    <row r="169" ht="16.2" customHeight="1"/>
    <row r="170" ht="16.2" customHeight="1"/>
    <row r="171" ht="16.2" customHeight="1"/>
    <row r="172" ht="16.2" customHeight="1"/>
    <row r="173" ht="16.2" customHeight="1"/>
    <row r="174" ht="16.2" customHeight="1"/>
    <row r="175" ht="16.2" customHeight="1"/>
    <row r="176" ht="16.2" customHeight="1"/>
    <row r="177" ht="16.2" customHeight="1"/>
    <row r="178" ht="16.2" customHeight="1"/>
    <row r="179" ht="16.2" customHeight="1"/>
    <row r="180" ht="16.2" customHeight="1"/>
    <row r="181" ht="16.2" customHeight="1"/>
    <row r="182" ht="16.2" customHeight="1"/>
    <row r="183" ht="16.2" customHeight="1"/>
    <row r="184" ht="16.2" customHeight="1"/>
    <row r="185" ht="16.2" customHeight="1"/>
    <row r="186" ht="16.2" customHeight="1"/>
    <row r="187" ht="16.2" customHeight="1"/>
    <row r="188" ht="16.2" customHeight="1"/>
    <row r="189" ht="16.2" customHeight="1"/>
    <row r="190" ht="16.2" customHeight="1"/>
    <row r="191" ht="16.2" customHeight="1"/>
    <row r="192" ht="16.2" customHeight="1"/>
    <row r="193" ht="16.2" customHeight="1"/>
    <row r="194" ht="16.2" customHeight="1"/>
    <row r="195" ht="16.2" customHeight="1"/>
    <row r="196" ht="16.2" customHeight="1"/>
    <row r="197" ht="16.2" customHeight="1"/>
    <row r="198" ht="16.2" customHeight="1"/>
    <row r="199" ht="16.2" customHeight="1"/>
    <row r="200" ht="16.2" customHeight="1"/>
    <row r="201" ht="16.2" customHeight="1"/>
    <row r="202" ht="16.2" customHeight="1"/>
    <row r="203" ht="16.2" customHeight="1"/>
    <row r="204" ht="16.2" customHeight="1"/>
    <row r="205" ht="16.2" customHeight="1"/>
    <row r="206" ht="16.2" customHeight="1"/>
    <row r="207" ht="16.2" customHeight="1"/>
    <row r="208" ht="16.2" customHeight="1"/>
    <row r="209" ht="16.2" customHeight="1"/>
    <row r="210" ht="16.2" customHeight="1"/>
    <row r="211" ht="16.2" customHeight="1"/>
    <row r="212" ht="16.2" customHeight="1"/>
    <row r="213" ht="16.2" customHeight="1"/>
    <row r="214" ht="16.2" customHeight="1"/>
    <row r="215" ht="16.2" customHeight="1"/>
    <row r="216" ht="16.2" customHeight="1"/>
    <row r="217" ht="16.2" customHeight="1"/>
    <row r="218" ht="16.2" customHeight="1"/>
    <row r="219" ht="16.2" customHeight="1"/>
    <row r="220" ht="16.2" customHeight="1"/>
    <row r="221" ht="16.2" customHeight="1"/>
    <row r="222" ht="16.2" customHeight="1"/>
    <row r="223" ht="16.2" customHeight="1"/>
    <row r="224" ht="16.2" customHeight="1"/>
    <row r="225"/>
    <row r="226"/>
    <row r="227"/>
    <row r="228"/>
    <row r="229"/>
    <row r="230"/>
    <row r="231"/>
    <row r="232"/>
    <row r="233"/>
    <row r="234"/>
    <row r="235"/>
    <row r="236"/>
    <row r="237"/>
    <row r="238"/>
    <row r="239"/>
    <row r="240"/>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sheetData>
  <mergeCells count="40">
    <mergeCell ref="A4:B4"/>
    <mergeCell ref="C4:H4"/>
    <mergeCell ref="A1:B1"/>
    <mergeCell ref="C1:H1"/>
    <mergeCell ref="A2:B2"/>
    <mergeCell ref="C2:H2"/>
    <mergeCell ref="A3:B3"/>
    <mergeCell ref="A21:H21"/>
    <mergeCell ref="A6:H6"/>
    <mergeCell ref="A7:H7"/>
    <mergeCell ref="A8:H8"/>
    <mergeCell ref="A9:H9"/>
    <mergeCell ref="A10:H10"/>
    <mergeCell ref="A11:H11"/>
    <mergeCell ref="B13:F13"/>
    <mergeCell ref="B15:F15"/>
    <mergeCell ref="B17:F17"/>
    <mergeCell ref="B19:F19"/>
    <mergeCell ref="B20:F20"/>
    <mergeCell ref="A40:D40"/>
    <mergeCell ref="E40:H40"/>
    <mergeCell ref="C23:H23"/>
    <mergeCell ref="A24:B24"/>
    <mergeCell ref="C24:E24"/>
    <mergeCell ref="F24:H24"/>
    <mergeCell ref="C30:E30"/>
    <mergeCell ref="F30:H30"/>
    <mergeCell ref="A32:D32"/>
    <mergeCell ref="E32:H32"/>
    <mergeCell ref="A33:D33"/>
    <mergeCell ref="E33:H33"/>
    <mergeCell ref="E39:H39"/>
    <mergeCell ref="E49:H49"/>
    <mergeCell ref="A50:H50"/>
    <mergeCell ref="A41:B41"/>
    <mergeCell ref="E41:H41"/>
    <mergeCell ref="A42:D42"/>
    <mergeCell ref="E42:H42"/>
    <mergeCell ref="A43:D43"/>
    <mergeCell ref="A44:D44"/>
  </mergeCells>
  <dataValidations count="2">
    <dataValidation type="list" allowBlank="1" showInputMessage="1" showErrorMessage="1" sqref="WVJ983042:WVJ983059 B983042:B983059 IX983042:IX983059 ST983042:ST983059 ACP983042:ACP983059 AML983042:AML983059 AWH983042:AWH983059 BGD983042:BGD983059 BPZ983042:BPZ983059 BZV983042:BZV983059 CJR983042:CJR983059 CTN983042:CTN983059 DDJ983042:DDJ983059 DNF983042:DNF983059 DXB983042:DXB983059 EGX983042:EGX983059 EQT983042:EQT983059 FAP983042:FAP983059 FKL983042:FKL983059 FUH983042:FUH983059 GED983042:GED983059 GNZ983042:GNZ983059 GXV983042:GXV983059 HHR983042:HHR983059 HRN983042:HRN983059 IBJ983042:IBJ983059 ILF983042:ILF983059 IVB983042:IVB983059 JEX983042:JEX983059 JOT983042:JOT983059 JYP983042:JYP983059 KIL983042:KIL983059 KSH983042:KSH983059 LCD983042:LCD983059 LLZ983042:LLZ983059 LVV983042:LVV983059 MFR983042:MFR983059 MPN983042:MPN983059 MZJ983042:MZJ983059 NJF983042:NJF983059 NTB983042:NTB983059 OCX983042:OCX983059 OMT983042:OMT983059 OWP983042:OWP983059 PGL983042:PGL983059 PQH983042:PQH983059 QAD983042:QAD983059 QJZ983042:QJZ983059 QTV983042:QTV983059 RDR983042:RDR983059 RNN983042:RNN983059 RXJ983042:RXJ983059 SHF983042:SHF983059 SRB983042:SRB983059 TAX983042:TAX983059 TKT983042:TKT983059 TUP983042:TUP983059 UEL983042:UEL983059 UOH983042:UOH983059 UYD983042:UYD983059 VHZ983042:VHZ983059 VRV983042:VRV983059 WBR983042:WBR983059 WLN983042:WLN983059 B65538:B65555 IX65538:IX65555 ST65538:ST65555 ACP65538:ACP65555 AML65538:AML65555 AWH65538:AWH65555 BGD65538:BGD65555 BPZ65538:BPZ65555 BZV65538:BZV65555 CJR65538:CJR65555 CTN65538:CTN65555 DDJ65538:DDJ65555 DNF65538:DNF65555 DXB65538:DXB65555 EGX65538:EGX65555 EQT65538:EQT65555 FAP65538:FAP65555 FKL65538:FKL65555 FUH65538:FUH65555 GED65538:GED65555 GNZ65538:GNZ65555 GXV65538:GXV65555 HHR65538:HHR65555 HRN65538:HRN65555 IBJ65538:IBJ65555 ILF65538:ILF65555 IVB65538:IVB65555 JEX65538:JEX65555 JOT65538:JOT65555 JYP65538:JYP65555 KIL65538:KIL65555 KSH65538:KSH65555 LCD65538:LCD65555 LLZ65538:LLZ65555 LVV65538:LVV65555 MFR65538:MFR65555 MPN65538:MPN65555 MZJ65538:MZJ65555 NJF65538:NJF65555 NTB65538:NTB65555 OCX65538:OCX65555 OMT65538:OMT65555 OWP65538:OWP65555 PGL65538:PGL65555 PQH65538:PQH65555 QAD65538:QAD65555 QJZ65538:QJZ65555 QTV65538:QTV65555 RDR65538:RDR65555 RNN65538:RNN65555 RXJ65538:RXJ65555 SHF65538:SHF65555 SRB65538:SRB65555 TAX65538:TAX65555 TKT65538:TKT65555 TUP65538:TUP65555 UEL65538:UEL65555 UOH65538:UOH65555 UYD65538:UYD65555 VHZ65538:VHZ65555 VRV65538:VRV65555 WBR65538:WBR65555 WLN65538:WLN65555 WVJ65538:WVJ65555 B131074:B131091 IX131074:IX131091 ST131074:ST131091 ACP131074:ACP131091 AML131074:AML131091 AWH131074:AWH131091 BGD131074:BGD131091 BPZ131074:BPZ131091 BZV131074:BZV131091 CJR131074:CJR131091 CTN131074:CTN131091 DDJ131074:DDJ131091 DNF131074:DNF131091 DXB131074:DXB131091 EGX131074:EGX131091 EQT131074:EQT131091 FAP131074:FAP131091 FKL131074:FKL131091 FUH131074:FUH131091 GED131074:GED131091 GNZ131074:GNZ131091 GXV131074:GXV131091 HHR131074:HHR131091 HRN131074:HRN131091 IBJ131074:IBJ131091 ILF131074:ILF131091 IVB131074:IVB131091 JEX131074:JEX131091 JOT131074:JOT131091 JYP131074:JYP131091 KIL131074:KIL131091 KSH131074:KSH131091 LCD131074:LCD131091 LLZ131074:LLZ131091 LVV131074:LVV131091 MFR131074:MFR131091 MPN131074:MPN131091 MZJ131074:MZJ131091 NJF131074:NJF131091 NTB131074:NTB131091 OCX131074:OCX131091 OMT131074:OMT131091 OWP131074:OWP131091 PGL131074:PGL131091 PQH131074:PQH131091 QAD131074:QAD131091 QJZ131074:QJZ131091 QTV131074:QTV131091 RDR131074:RDR131091 RNN131074:RNN131091 RXJ131074:RXJ131091 SHF131074:SHF131091 SRB131074:SRB131091 TAX131074:TAX131091 TKT131074:TKT131091 TUP131074:TUP131091 UEL131074:UEL131091 UOH131074:UOH131091 UYD131074:UYD131091 VHZ131074:VHZ131091 VRV131074:VRV131091 WBR131074:WBR131091 WLN131074:WLN131091 WVJ131074:WVJ131091 B196610:B196627 IX196610:IX196627 ST196610:ST196627 ACP196610:ACP196627 AML196610:AML196627 AWH196610:AWH196627 BGD196610:BGD196627 BPZ196610:BPZ196627 BZV196610:BZV196627 CJR196610:CJR196627 CTN196610:CTN196627 DDJ196610:DDJ196627 DNF196610:DNF196627 DXB196610:DXB196627 EGX196610:EGX196627 EQT196610:EQT196627 FAP196610:FAP196627 FKL196610:FKL196627 FUH196610:FUH196627 GED196610:GED196627 GNZ196610:GNZ196627 GXV196610:GXV196627 HHR196610:HHR196627 HRN196610:HRN196627 IBJ196610:IBJ196627 ILF196610:ILF196627 IVB196610:IVB196627 JEX196610:JEX196627 JOT196610:JOT196627 JYP196610:JYP196627 KIL196610:KIL196627 KSH196610:KSH196627 LCD196610:LCD196627 LLZ196610:LLZ196627 LVV196610:LVV196627 MFR196610:MFR196627 MPN196610:MPN196627 MZJ196610:MZJ196627 NJF196610:NJF196627 NTB196610:NTB196627 OCX196610:OCX196627 OMT196610:OMT196627 OWP196610:OWP196627 PGL196610:PGL196627 PQH196610:PQH196627 QAD196610:QAD196627 QJZ196610:QJZ196627 QTV196610:QTV196627 RDR196610:RDR196627 RNN196610:RNN196627 RXJ196610:RXJ196627 SHF196610:SHF196627 SRB196610:SRB196627 TAX196610:TAX196627 TKT196610:TKT196627 TUP196610:TUP196627 UEL196610:UEL196627 UOH196610:UOH196627 UYD196610:UYD196627 VHZ196610:VHZ196627 VRV196610:VRV196627 WBR196610:WBR196627 WLN196610:WLN196627 WVJ196610:WVJ196627 B262146:B262163 IX262146:IX262163 ST262146:ST262163 ACP262146:ACP262163 AML262146:AML262163 AWH262146:AWH262163 BGD262146:BGD262163 BPZ262146:BPZ262163 BZV262146:BZV262163 CJR262146:CJR262163 CTN262146:CTN262163 DDJ262146:DDJ262163 DNF262146:DNF262163 DXB262146:DXB262163 EGX262146:EGX262163 EQT262146:EQT262163 FAP262146:FAP262163 FKL262146:FKL262163 FUH262146:FUH262163 GED262146:GED262163 GNZ262146:GNZ262163 GXV262146:GXV262163 HHR262146:HHR262163 HRN262146:HRN262163 IBJ262146:IBJ262163 ILF262146:ILF262163 IVB262146:IVB262163 JEX262146:JEX262163 JOT262146:JOT262163 JYP262146:JYP262163 KIL262146:KIL262163 KSH262146:KSH262163 LCD262146:LCD262163 LLZ262146:LLZ262163 LVV262146:LVV262163 MFR262146:MFR262163 MPN262146:MPN262163 MZJ262146:MZJ262163 NJF262146:NJF262163 NTB262146:NTB262163 OCX262146:OCX262163 OMT262146:OMT262163 OWP262146:OWP262163 PGL262146:PGL262163 PQH262146:PQH262163 QAD262146:QAD262163 QJZ262146:QJZ262163 QTV262146:QTV262163 RDR262146:RDR262163 RNN262146:RNN262163 RXJ262146:RXJ262163 SHF262146:SHF262163 SRB262146:SRB262163 TAX262146:TAX262163 TKT262146:TKT262163 TUP262146:TUP262163 UEL262146:UEL262163 UOH262146:UOH262163 UYD262146:UYD262163 VHZ262146:VHZ262163 VRV262146:VRV262163 WBR262146:WBR262163 WLN262146:WLN262163 WVJ262146:WVJ262163 B327682:B327699 IX327682:IX327699 ST327682:ST327699 ACP327682:ACP327699 AML327682:AML327699 AWH327682:AWH327699 BGD327682:BGD327699 BPZ327682:BPZ327699 BZV327682:BZV327699 CJR327682:CJR327699 CTN327682:CTN327699 DDJ327682:DDJ327699 DNF327682:DNF327699 DXB327682:DXB327699 EGX327682:EGX327699 EQT327682:EQT327699 FAP327682:FAP327699 FKL327682:FKL327699 FUH327682:FUH327699 GED327682:GED327699 GNZ327682:GNZ327699 GXV327682:GXV327699 HHR327682:HHR327699 HRN327682:HRN327699 IBJ327682:IBJ327699 ILF327682:ILF327699 IVB327682:IVB327699 JEX327682:JEX327699 JOT327682:JOT327699 JYP327682:JYP327699 KIL327682:KIL327699 KSH327682:KSH327699 LCD327682:LCD327699 LLZ327682:LLZ327699 LVV327682:LVV327699 MFR327682:MFR327699 MPN327682:MPN327699 MZJ327682:MZJ327699 NJF327682:NJF327699 NTB327682:NTB327699 OCX327682:OCX327699 OMT327682:OMT327699 OWP327682:OWP327699 PGL327682:PGL327699 PQH327682:PQH327699 QAD327682:QAD327699 QJZ327682:QJZ327699 QTV327682:QTV327699 RDR327682:RDR327699 RNN327682:RNN327699 RXJ327682:RXJ327699 SHF327682:SHF327699 SRB327682:SRB327699 TAX327682:TAX327699 TKT327682:TKT327699 TUP327682:TUP327699 UEL327682:UEL327699 UOH327682:UOH327699 UYD327682:UYD327699 VHZ327682:VHZ327699 VRV327682:VRV327699 WBR327682:WBR327699 WLN327682:WLN327699 WVJ327682:WVJ327699 B393218:B393235 IX393218:IX393235 ST393218:ST393235 ACP393218:ACP393235 AML393218:AML393235 AWH393218:AWH393235 BGD393218:BGD393235 BPZ393218:BPZ393235 BZV393218:BZV393235 CJR393218:CJR393235 CTN393218:CTN393235 DDJ393218:DDJ393235 DNF393218:DNF393235 DXB393218:DXB393235 EGX393218:EGX393235 EQT393218:EQT393235 FAP393218:FAP393235 FKL393218:FKL393235 FUH393218:FUH393235 GED393218:GED393235 GNZ393218:GNZ393235 GXV393218:GXV393235 HHR393218:HHR393235 HRN393218:HRN393235 IBJ393218:IBJ393235 ILF393218:ILF393235 IVB393218:IVB393235 JEX393218:JEX393235 JOT393218:JOT393235 JYP393218:JYP393235 KIL393218:KIL393235 KSH393218:KSH393235 LCD393218:LCD393235 LLZ393218:LLZ393235 LVV393218:LVV393235 MFR393218:MFR393235 MPN393218:MPN393235 MZJ393218:MZJ393235 NJF393218:NJF393235 NTB393218:NTB393235 OCX393218:OCX393235 OMT393218:OMT393235 OWP393218:OWP393235 PGL393218:PGL393235 PQH393218:PQH393235 QAD393218:QAD393235 QJZ393218:QJZ393235 QTV393218:QTV393235 RDR393218:RDR393235 RNN393218:RNN393235 RXJ393218:RXJ393235 SHF393218:SHF393235 SRB393218:SRB393235 TAX393218:TAX393235 TKT393218:TKT393235 TUP393218:TUP393235 UEL393218:UEL393235 UOH393218:UOH393235 UYD393218:UYD393235 VHZ393218:VHZ393235 VRV393218:VRV393235 WBR393218:WBR393235 WLN393218:WLN393235 WVJ393218:WVJ393235 B458754:B458771 IX458754:IX458771 ST458754:ST458771 ACP458754:ACP458771 AML458754:AML458771 AWH458754:AWH458771 BGD458754:BGD458771 BPZ458754:BPZ458771 BZV458754:BZV458771 CJR458754:CJR458771 CTN458754:CTN458771 DDJ458754:DDJ458771 DNF458754:DNF458771 DXB458754:DXB458771 EGX458754:EGX458771 EQT458754:EQT458771 FAP458754:FAP458771 FKL458754:FKL458771 FUH458754:FUH458771 GED458754:GED458771 GNZ458754:GNZ458771 GXV458754:GXV458771 HHR458754:HHR458771 HRN458754:HRN458771 IBJ458754:IBJ458771 ILF458754:ILF458771 IVB458754:IVB458771 JEX458754:JEX458771 JOT458754:JOT458771 JYP458754:JYP458771 KIL458754:KIL458771 KSH458754:KSH458771 LCD458754:LCD458771 LLZ458754:LLZ458771 LVV458754:LVV458771 MFR458754:MFR458771 MPN458754:MPN458771 MZJ458754:MZJ458771 NJF458754:NJF458771 NTB458754:NTB458771 OCX458754:OCX458771 OMT458754:OMT458771 OWP458754:OWP458771 PGL458754:PGL458771 PQH458754:PQH458771 QAD458754:QAD458771 QJZ458754:QJZ458771 QTV458754:QTV458771 RDR458754:RDR458771 RNN458754:RNN458771 RXJ458754:RXJ458771 SHF458754:SHF458771 SRB458754:SRB458771 TAX458754:TAX458771 TKT458754:TKT458771 TUP458754:TUP458771 UEL458754:UEL458771 UOH458754:UOH458771 UYD458754:UYD458771 VHZ458754:VHZ458771 VRV458754:VRV458771 WBR458754:WBR458771 WLN458754:WLN458771 WVJ458754:WVJ458771 B524290:B524307 IX524290:IX524307 ST524290:ST524307 ACP524290:ACP524307 AML524290:AML524307 AWH524290:AWH524307 BGD524290:BGD524307 BPZ524290:BPZ524307 BZV524290:BZV524307 CJR524290:CJR524307 CTN524290:CTN524307 DDJ524290:DDJ524307 DNF524290:DNF524307 DXB524290:DXB524307 EGX524290:EGX524307 EQT524290:EQT524307 FAP524290:FAP524307 FKL524290:FKL524307 FUH524290:FUH524307 GED524290:GED524307 GNZ524290:GNZ524307 GXV524290:GXV524307 HHR524290:HHR524307 HRN524290:HRN524307 IBJ524290:IBJ524307 ILF524290:ILF524307 IVB524290:IVB524307 JEX524290:JEX524307 JOT524290:JOT524307 JYP524290:JYP524307 KIL524290:KIL524307 KSH524290:KSH524307 LCD524290:LCD524307 LLZ524290:LLZ524307 LVV524290:LVV524307 MFR524290:MFR524307 MPN524290:MPN524307 MZJ524290:MZJ524307 NJF524290:NJF524307 NTB524290:NTB524307 OCX524290:OCX524307 OMT524290:OMT524307 OWP524290:OWP524307 PGL524290:PGL524307 PQH524290:PQH524307 QAD524290:QAD524307 QJZ524290:QJZ524307 QTV524290:QTV524307 RDR524290:RDR524307 RNN524290:RNN524307 RXJ524290:RXJ524307 SHF524290:SHF524307 SRB524290:SRB524307 TAX524290:TAX524307 TKT524290:TKT524307 TUP524290:TUP524307 UEL524290:UEL524307 UOH524290:UOH524307 UYD524290:UYD524307 VHZ524290:VHZ524307 VRV524290:VRV524307 WBR524290:WBR524307 WLN524290:WLN524307 WVJ524290:WVJ524307 B589826:B589843 IX589826:IX589843 ST589826:ST589843 ACP589826:ACP589843 AML589826:AML589843 AWH589826:AWH589843 BGD589826:BGD589843 BPZ589826:BPZ589843 BZV589826:BZV589843 CJR589826:CJR589843 CTN589826:CTN589843 DDJ589826:DDJ589843 DNF589826:DNF589843 DXB589826:DXB589843 EGX589826:EGX589843 EQT589826:EQT589843 FAP589826:FAP589843 FKL589826:FKL589843 FUH589826:FUH589843 GED589826:GED589843 GNZ589826:GNZ589843 GXV589826:GXV589843 HHR589826:HHR589843 HRN589826:HRN589843 IBJ589826:IBJ589843 ILF589826:ILF589843 IVB589826:IVB589843 JEX589826:JEX589843 JOT589826:JOT589843 JYP589826:JYP589843 KIL589826:KIL589843 KSH589826:KSH589843 LCD589826:LCD589843 LLZ589826:LLZ589843 LVV589826:LVV589843 MFR589826:MFR589843 MPN589826:MPN589843 MZJ589826:MZJ589843 NJF589826:NJF589843 NTB589826:NTB589843 OCX589826:OCX589843 OMT589826:OMT589843 OWP589826:OWP589843 PGL589826:PGL589843 PQH589826:PQH589843 QAD589826:QAD589843 QJZ589826:QJZ589843 QTV589826:QTV589843 RDR589826:RDR589843 RNN589826:RNN589843 RXJ589826:RXJ589843 SHF589826:SHF589843 SRB589826:SRB589843 TAX589826:TAX589843 TKT589826:TKT589843 TUP589826:TUP589843 UEL589826:UEL589843 UOH589826:UOH589843 UYD589826:UYD589843 VHZ589826:VHZ589843 VRV589826:VRV589843 WBR589826:WBR589843 WLN589826:WLN589843 WVJ589826:WVJ589843 B655362:B655379 IX655362:IX655379 ST655362:ST655379 ACP655362:ACP655379 AML655362:AML655379 AWH655362:AWH655379 BGD655362:BGD655379 BPZ655362:BPZ655379 BZV655362:BZV655379 CJR655362:CJR655379 CTN655362:CTN655379 DDJ655362:DDJ655379 DNF655362:DNF655379 DXB655362:DXB655379 EGX655362:EGX655379 EQT655362:EQT655379 FAP655362:FAP655379 FKL655362:FKL655379 FUH655362:FUH655379 GED655362:GED655379 GNZ655362:GNZ655379 GXV655362:GXV655379 HHR655362:HHR655379 HRN655362:HRN655379 IBJ655362:IBJ655379 ILF655362:ILF655379 IVB655362:IVB655379 JEX655362:JEX655379 JOT655362:JOT655379 JYP655362:JYP655379 KIL655362:KIL655379 KSH655362:KSH655379 LCD655362:LCD655379 LLZ655362:LLZ655379 LVV655362:LVV655379 MFR655362:MFR655379 MPN655362:MPN655379 MZJ655362:MZJ655379 NJF655362:NJF655379 NTB655362:NTB655379 OCX655362:OCX655379 OMT655362:OMT655379 OWP655362:OWP655379 PGL655362:PGL655379 PQH655362:PQH655379 QAD655362:QAD655379 QJZ655362:QJZ655379 QTV655362:QTV655379 RDR655362:RDR655379 RNN655362:RNN655379 RXJ655362:RXJ655379 SHF655362:SHF655379 SRB655362:SRB655379 TAX655362:TAX655379 TKT655362:TKT655379 TUP655362:TUP655379 UEL655362:UEL655379 UOH655362:UOH655379 UYD655362:UYD655379 VHZ655362:VHZ655379 VRV655362:VRV655379 WBR655362:WBR655379 WLN655362:WLN655379 WVJ655362:WVJ655379 B720898:B720915 IX720898:IX720915 ST720898:ST720915 ACP720898:ACP720915 AML720898:AML720915 AWH720898:AWH720915 BGD720898:BGD720915 BPZ720898:BPZ720915 BZV720898:BZV720915 CJR720898:CJR720915 CTN720898:CTN720915 DDJ720898:DDJ720915 DNF720898:DNF720915 DXB720898:DXB720915 EGX720898:EGX720915 EQT720898:EQT720915 FAP720898:FAP720915 FKL720898:FKL720915 FUH720898:FUH720915 GED720898:GED720915 GNZ720898:GNZ720915 GXV720898:GXV720915 HHR720898:HHR720915 HRN720898:HRN720915 IBJ720898:IBJ720915 ILF720898:ILF720915 IVB720898:IVB720915 JEX720898:JEX720915 JOT720898:JOT720915 JYP720898:JYP720915 KIL720898:KIL720915 KSH720898:KSH720915 LCD720898:LCD720915 LLZ720898:LLZ720915 LVV720898:LVV720915 MFR720898:MFR720915 MPN720898:MPN720915 MZJ720898:MZJ720915 NJF720898:NJF720915 NTB720898:NTB720915 OCX720898:OCX720915 OMT720898:OMT720915 OWP720898:OWP720915 PGL720898:PGL720915 PQH720898:PQH720915 QAD720898:QAD720915 QJZ720898:QJZ720915 QTV720898:QTV720915 RDR720898:RDR720915 RNN720898:RNN720915 RXJ720898:RXJ720915 SHF720898:SHF720915 SRB720898:SRB720915 TAX720898:TAX720915 TKT720898:TKT720915 TUP720898:TUP720915 UEL720898:UEL720915 UOH720898:UOH720915 UYD720898:UYD720915 VHZ720898:VHZ720915 VRV720898:VRV720915 WBR720898:WBR720915 WLN720898:WLN720915 WVJ720898:WVJ720915 B786434:B786451 IX786434:IX786451 ST786434:ST786451 ACP786434:ACP786451 AML786434:AML786451 AWH786434:AWH786451 BGD786434:BGD786451 BPZ786434:BPZ786451 BZV786434:BZV786451 CJR786434:CJR786451 CTN786434:CTN786451 DDJ786434:DDJ786451 DNF786434:DNF786451 DXB786434:DXB786451 EGX786434:EGX786451 EQT786434:EQT786451 FAP786434:FAP786451 FKL786434:FKL786451 FUH786434:FUH786451 GED786434:GED786451 GNZ786434:GNZ786451 GXV786434:GXV786451 HHR786434:HHR786451 HRN786434:HRN786451 IBJ786434:IBJ786451 ILF786434:ILF786451 IVB786434:IVB786451 JEX786434:JEX786451 JOT786434:JOT786451 JYP786434:JYP786451 KIL786434:KIL786451 KSH786434:KSH786451 LCD786434:LCD786451 LLZ786434:LLZ786451 LVV786434:LVV786451 MFR786434:MFR786451 MPN786434:MPN786451 MZJ786434:MZJ786451 NJF786434:NJF786451 NTB786434:NTB786451 OCX786434:OCX786451 OMT786434:OMT786451 OWP786434:OWP786451 PGL786434:PGL786451 PQH786434:PQH786451 QAD786434:QAD786451 QJZ786434:QJZ786451 QTV786434:QTV786451 RDR786434:RDR786451 RNN786434:RNN786451 RXJ786434:RXJ786451 SHF786434:SHF786451 SRB786434:SRB786451 TAX786434:TAX786451 TKT786434:TKT786451 TUP786434:TUP786451 UEL786434:UEL786451 UOH786434:UOH786451 UYD786434:UYD786451 VHZ786434:VHZ786451 VRV786434:VRV786451 WBR786434:WBR786451 WLN786434:WLN786451 WVJ786434:WVJ786451 B851970:B851987 IX851970:IX851987 ST851970:ST851987 ACP851970:ACP851987 AML851970:AML851987 AWH851970:AWH851987 BGD851970:BGD851987 BPZ851970:BPZ851987 BZV851970:BZV851987 CJR851970:CJR851987 CTN851970:CTN851987 DDJ851970:DDJ851987 DNF851970:DNF851987 DXB851970:DXB851987 EGX851970:EGX851987 EQT851970:EQT851987 FAP851970:FAP851987 FKL851970:FKL851987 FUH851970:FUH851987 GED851970:GED851987 GNZ851970:GNZ851987 GXV851970:GXV851987 HHR851970:HHR851987 HRN851970:HRN851987 IBJ851970:IBJ851987 ILF851970:ILF851987 IVB851970:IVB851987 JEX851970:JEX851987 JOT851970:JOT851987 JYP851970:JYP851987 KIL851970:KIL851987 KSH851970:KSH851987 LCD851970:LCD851987 LLZ851970:LLZ851987 LVV851970:LVV851987 MFR851970:MFR851987 MPN851970:MPN851987 MZJ851970:MZJ851987 NJF851970:NJF851987 NTB851970:NTB851987 OCX851970:OCX851987 OMT851970:OMT851987 OWP851970:OWP851987 PGL851970:PGL851987 PQH851970:PQH851987 QAD851970:QAD851987 QJZ851970:QJZ851987 QTV851970:QTV851987 RDR851970:RDR851987 RNN851970:RNN851987 RXJ851970:RXJ851987 SHF851970:SHF851987 SRB851970:SRB851987 TAX851970:TAX851987 TKT851970:TKT851987 TUP851970:TUP851987 UEL851970:UEL851987 UOH851970:UOH851987 UYD851970:UYD851987 VHZ851970:VHZ851987 VRV851970:VRV851987 WBR851970:WBR851987 WLN851970:WLN851987 WVJ851970:WVJ851987 B917506:B917523 IX917506:IX917523 ST917506:ST917523 ACP917506:ACP917523 AML917506:AML917523 AWH917506:AWH917523 BGD917506:BGD917523 BPZ917506:BPZ917523 BZV917506:BZV917523 CJR917506:CJR917523 CTN917506:CTN917523 DDJ917506:DDJ917523 DNF917506:DNF917523 DXB917506:DXB917523 EGX917506:EGX917523 EQT917506:EQT917523 FAP917506:FAP917523 FKL917506:FKL917523 FUH917506:FUH917523 GED917506:GED917523 GNZ917506:GNZ917523 GXV917506:GXV917523 HHR917506:HHR917523 HRN917506:HRN917523 IBJ917506:IBJ917523 ILF917506:ILF917523 IVB917506:IVB917523 JEX917506:JEX917523 JOT917506:JOT917523 JYP917506:JYP917523 KIL917506:KIL917523 KSH917506:KSH917523 LCD917506:LCD917523 LLZ917506:LLZ917523 LVV917506:LVV917523 MFR917506:MFR917523 MPN917506:MPN917523 MZJ917506:MZJ917523 NJF917506:NJF917523 NTB917506:NTB917523 OCX917506:OCX917523 OMT917506:OMT917523 OWP917506:OWP917523 PGL917506:PGL917523 PQH917506:PQH917523 QAD917506:QAD917523 QJZ917506:QJZ917523 QTV917506:QTV917523 RDR917506:RDR917523 RNN917506:RNN917523 RXJ917506:RXJ917523 SHF917506:SHF917523 SRB917506:SRB917523 TAX917506:TAX917523 TKT917506:TKT917523 TUP917506:TUP917523 UEL917506:UEL917523 UOH917506:UOH917523 UYD917506:UYD917523 VHZ917506:VHZ917523 VRV917506:VRV917523 WBR917506:WBR917523 WLN917506:WLN917523 WVJ917506:WVJ917523" xr:uid="{00000000-0002-0000-0800-000000000000}">
      <formula1>trung</formula1>
    </dataValidation>
    <dataValidation type="list" allowBlank="1" showInputMessage="1" showErrorMessage="1" sqref="B18" xr:uid="{00000000-0002-0000-0800-000001000000}">
      <formula1>bichphuong</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4</vt:i4>
      </vt:variant>
    </vt:vector>
  </HeadingPairs>
  <TitlesOfParts>
    <vt:vector size="81" baseType="lpstr">
      <vt:lpstr>foxz</vt:lpstr>
      <vt:lpstr>Đơn giá cây cối</vt:lpstr>
      <vt:lpstr>THPA</vt:lpstr>
      <vt:lpstr>1. Tuấn</vt:lpstr>
      <vt:lpstr>2.  Diễm Mười</vt:lpstr>
      <vt:lpstr>3. Truân</vt:lpstr>
      <vt:lpstr>4. Truân</vt:lpstr>
      <vt:lpstr>5. Đào</vt:lpstr>
      <vt:lpstr>6. Sơn Phượng</vt:lpstr>
      <vt:lpstr>7. Hạnh</vt:lpstr>
      <vt:lpstr>8. Thắm</vt:lpstr>
      <vt:lpstr>9. Mong</vt:lpstr>
      <vt:lpstr>10. Tươi</vt:lpstr>
      <vt:lpstr>11. Mong</vt:lpstr>
      <vt:lpstr>12. Hiếu</vt:lpstr>
      <vt:lpstr>13. Tùng</vt:lpstr>
      <vt:lpstr>14. Nhì</vt:lpstr>
      <vt:lpstr>15. Vượng</vt:lpstr>
      <vt:lpstr>16. Lâm</vt:lpstr>
      <vt:lpstr>17. Đức Nhung</vt:lpstr>
      <vt:lpstr>18. Đức Nhung</vt:lpstr>
      <vt:lpstr>19. Thuê</vt:lpstr>
      <vt:lpstr>20. Luyên</vt:lpstr>
      <vt:lpstr>21. Kiếm</vt:lpstr>
      <vt:lpstr>22. Việt</vt:lpstr>
      <vt:lpstr>23. Chức</vt:lpstr>
      <vt:lpstr>24. Hận</vt:lpstr>
      <vt:lpstr>25. Kiên</vt:lpstr>
      <vt:lpstr>26. Ngọc</vt:lpstr>
      <vt:lpstr>27. Xuân</vt:lpstr>
      <vt:lpstr>28. Hiển</vt:lpstr>
      <vt:lpstr>29. Thạch</vt:lpstr>
      <vt:lpstr>30. Hà</vt:lpstr>
      <vt:lpstr>31. Luật</vt:lpstr>
      <vt:lpstr>32. Thách</vt:lpstr>
      <vt:lpstr>33. Thắm</vt:lpstr>
      <vt:lpstr>34. Chính</vt:lpstr>
      <vt:lpstr>35. Thắng</vt:lpstr>
      <vt:lpstr>36. Thơi</vt:lpstr>
      <vt:lpstr>37. Thảnh Thảo</vt:lpstr>
      <vt:lpstr>38. Thại</vt:lpstr>
      <vt:lpstr>39. Thắng</vt:lpstr>
      <vt:lpstr>40. Lành</vt:lpstr>
      <vt:lpstr>41. Chiều</vt:lpstr>
      <vt:lpstr>42. Đằng</vt:lpstr>
      <vt:lpstr>43. Sơn</vt:lpstr>
      <vt:lpstr>44. Bản</vt:lpstr>
      <vt:lpstr>45. Huế</vt:lpstr>
      <vt:lpstr>46. Quang</vt:lpstr>
      <vt:lpstr>47. Biển</vt:lpstr>
      <vt:lpstr>48. Long Hồng</vt:lpstr>
      <vt:lpstr>49. Tính</vt:lpstr>
      <vt:lpstr>50. Ngọc</vt:lpstr>
      <vt:lpstr>51. Dung</vt:lpstr>
      <vt:lpstr>52. Đạt</vt:lpstr>
      <vt:lpstr>53. Sơn</vt:lpstr>
      <vt:lpstr>54. Đăng</vt:lpstr>
      <vt:lpstr>55. Mùi</vt:lpstr>
      <vt:lpstr>56. Thài</vt:lpstr>
      <vt:lpstr>57. Đồng</vt:lpstr>
      <vt:lpstr>58. Mạnh Huế</vt:lpstr>
      <vt:lpstr>59. Thương Sen</vt:lpstr>
      <vt:lpstr>60. Tiến</vt:lpstr>
      <vt:lpstr>61. Quý</vt:lpstr>
      <vt:lpstr>62. Sáng</vt:lpstr>
      <vt:lpstr>63. Minh</vt:lpstr>
      <vt:lpstr>64. Tố</vt:lpstr>
      <vt:lpstr>65. Quyên</vt:lpstr>
      <vt:lpstr>66. Năm</vt:lpstr>
      <vt:lpstr>67. Sơn</vt:lpstr>
      <vt:lpstr>68. Quang</vt:lpstr>
      <vt:lpstr>69. Hải</vt:lpstr>
      <vt:lpstr>70. Hùng Ngát</vt:lpstr>
      <vt:lpstr>71. Nghĩa</vt:lpstr>
      <vt:lpstr>72. Sơn</vt:lpstr>
      <vt:lpstr>73. Xuyên</vt:lpstr>
      <vt:lpstr>74. Dương</vt:lpstr>
      <vt:lpstr>bichphuong</vt:lpstr>
      <vt:lpstr>THPA!Print_Titles</vt:lpstr>
      <vt:lpstr>phamphuong</vt:lpstr>
      <vt:lpstr>phương</vt:lpstr>
    </vt:vector>
  </TitlesOfParts>
  <Company>TT - 98 - PNL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Bui Xuan Duong</dc:creator>
  <cp:lastModifiedBy>Admin</cp:lastModifiedBy>
  <cp:lastPrinted>2025-12-30T06:53:56Z</cp:lastPrinted>
  <dcterms:created xsi:type="dcterms:W3CDTF">2003-09-07T03:54:39Z</dcterms:created>
  <dcterms:modified xsi:type="dcterms:W3CDTF">2025-12-30T09:02:38Z</dcterms:modified>
</cp:coreProperties>
</file>